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09415339\OneDrive - csulb\Data Dell DT H Now\Finance\2020-2021\Monthly Reports\07 Jan 2021\"/>
    </mc:Choice>
  </mc:AlternateContent>
  <bookViews>
    <workbookView xWindow="0" yWindow="0" windowWidth="11070" windowHeight="555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310 (2)_5...3d931dee_QNK8R2" sheetId="17" state="hidden" r:id="rId13"/>
    <sheet name="OSR_300 &amp; 317_1C00ID4" sheetId="19" state="hidden" r:id="rId14"/>
    <sheet name="OSR_300 (2)_...6aa5a22d_14M6XO4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...853a34aa_1UNC34K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)...32d16c57_IVJ1QO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207" sheetId="62" r:id="rId48"/>
    <sheet name="Div 3" sheetId="12" r:id="rId49"/>
    <sheet name="300" sheetId="15" r:id="rId50"/>
    <sheet name="300 &amp; 317" sheetId="18" r:id="rId51"/>
    <sheet name="301" sheetId="63" r:id="rId52"/>
    <sheet name="330" sheetId="24" r:id="rId53"/>
    <sheet name="307" sheetId="68" r:id="rId54"/>
    <sheet name="308" sheetId="27" r:id="rId55"/>
    <sheet name="311" sheetId="70" r:id="rId56"/>
    <sheet name="324" sheetId="82" r:id="rId57"/>
    <sheet name="331" sheetId="30" r:id="rId58"/>
    <sheet name="315" sheetId="74" r:id="rId59"/>
    <sheet name="326" sheetId="84" r:id="rId60"/>
    <sheet name="332" sheetId="33" r:id="rId61"/>
    <sheet name="316" sheetId="75" r:id="rId62"/>
    <sheet name="Div 6" sheetId="51" r:id="rId63"/>
    <sheet name="317" sheetId="76" r:id="rId64"/>
    <sheet name="310" sheetId="21" r:id="rId65"/>
    <sheet name="309" sheetId="69" r:id="rId66"/>
    <sheet name="313" sheetId="72" r:id="rId67"/>
    <sheet name="321" sheetId="79" r:id="rId68"/>
    <sheet name="322" sheetId="80" r:id="rId69"/>
    <sheet name="325" sheetId="83" r:id="rId70"/>
    <sheet name="327" sheetId="85" r:id="rId71"/>
    <sheet name="Div 4" sheetId="36" r:id="rId72"/>
    <sheet name="310 &amp; 491" sheetId="39" r:id="rId73"/>
    <sheet name="491" sheetId="42" r:id="rId74"/>
    <sheet name="405" sheetId="87" r:id="rId75"/>
    <sheet name="406" sheetId="88" r:id="rId76"/>
    <sheet name="411" sheetId="91" r:id="rId77"/>
    <sheet name="412" sheetId="92" r:id="rId78"/>
    <sheet name="413" sheetId="93" r:id="rId79"/>
    <sheet name="414" sheetId="94" r:id="rId80"/>
    <sheet name="415" sheetId="95" r:id="rId81"/>
    <sheet name="418" sheetId="97" r:id="rId82"/>
    <sheet name="420" sheetId="98" r:id="rId83"/>
    <sheet name="423" sheetId="99" r:id="rId84"/>
    <sheet name="424" sheetId="100" r:id="rId85"/>
    <sheet name="425" sheetId="101" r:id="rId86"/>
    <sheet name="455" sheetId="108" r:id="rId87"/>
    <sheet name="492" sheetId="45" r:id="rId88"/>
    <sheet name="430" sheetId="102" r:id="rId89"/>
    <sheet name="433" sheetId="103" r:id="rId90"/>
    <sheet name="435" sheetId="104" r:id="rId91"/>
    <sheet name="444" sheetId="105" r:id="rId92"/>
    <sheet name="450" sheetId="107" r:id="rId93"/>
    <sheet name="Div 5" sheetId="48" r:id="rId94"/>
    <sheet name="501" sheetId="109" r:id="rId95"/>
    <sheet name="Dept" sheetId="110" state="hidden" r:id="rId96"/>
    <sheet name="OSR_Dept_Y0WUKY" sheetId="111" state="hidden" r:id="rId97"/>
    <sheet name="OSR_Summary (...56e5d78f_5JEYZH" sheetId="112" state="hidden" r:id="rId98"/>
  </sheets>
  <definedNames>
    <definedName name="OSRRefD13x_0" localSheetId="41">'201'!$D$13</definedName>
    <definedName name="OSRRefD13x_0" localSheetId="42">'202'!$D$13</definedName>
    <definedName name="OSRRefD13x_0" localSheetId="49">'300'!$D$13:$D$74</definedName>
    <definedName name="OSRRefD13x_0" localSheetId="50">'300 &amp; 317'!$D$13:$D$88</definedName>
    <definedName name="OSRRefD13x_0" localSheetId="53">'307'!$D$13:$D$23</definedName>
    <definedName name="OSRRefD13x_0" localSheetId="54">'308'!$D$13:$D$33</definedName>
    <definedName name="OSRRefD13x_0" localSheetId="65">'309'!$D$13</definedName>
    <definedName name="OSRRefD13x_0" localSheetId="64">'310'!$D$13:$D$17</definedName>
    <definedName name="OSRRefD13x_0" localSheetId="72">'310 &amp; 491'!$D$13:$D$21</definedName>
    <definedName name="OSRRefD13x_0" localSheetId="55">'311'!$D$13:$D$32</definedName>
    <definedName name="OSRRefD13x_0" localSheetId="66">'313'!$D$13</definedName>
    <definedName name="OSRRefD13x_0" localSheetId="58">'315'!$D$13:$D$50</definedName>
    <definedName name="OSRRefD13x_0" localSheetId="61">'316'!$D$13:$D$23</definedName>
    <definedName name="OSRRefD13x_0" localSheetId="63">'317'!$D$13:$D$30</definedName>
    <definedName name="OSRRefD13x_0" localSheetId="67">'321'!$D$13:$D$15</definedName>
    <definedName name="OSRRefD13x_0" localSheetId="68">'322'!$D$13</definedName>
    <definedName name="OSRRefD13x_0" localSheetId="56">'324'!$D$13:$D$16</definedName>
    <definedName name="OSRRefD13x_0" localSheetId="69">'325'!$D$13:$D$14</definedName>
    <definedName name="OSRRefD13x_0" localSheetId="59">'326'!$D$13:$D$33</definedName>
    <definedName name="OSRRefD13x_0" localSheetId="70">'327'!$D$13:$D$14</definedName>
    <definedName name="OSRRefD13x_0" localSheetId="52">'330'!$D$13:$D$23</definedName>
    <definedName name="OSRRefD13x_0" localSheetId="57">'331'!$D$13:$D$50</definedName>
    <definedName name="OSRRefD13x_0" localSheetId="60">'332'!$D$13:$D$23</definedName>
    <definedName name="OSRRefD13x_0" localSheetId="74">'405'!$D$13:$D$14</definedName>
    <definedName name="OSRRefD13x_0" localSheetId="77">'412'!$D$13</definedName>
    <definedName name="OSRRefD13x_0" localSheetId="78">'413'!$D$13:$D$14</definedName>
    <definedName name="OSRRefD13x_0" localSheetId="79">'414'!$D$13:$D$15</definedName>
    <definedName name="OSRRefD13x_0" localSheetId="80">'415'!$D$13:$D$16</definedName>
    <definedName name="OSRRefD13x_0" localSheetId="81">'418'!$D$13:$D$14</definedName>
    <definedName name="OSRRefD13x_0" localSheetId="82">'420'!$D$13</definedName>
    <definedName name="OSRRefD13x_0" localSheetId="89">'433'!$D$13:$D$16</definedName>
    <definedName name="OSRRefD13x_0" localSheetId="91">'444'!$D$13:$D$16</definedName>
    <definedName name="OSRRefD13x_0" localSheetId="92">'450'!$D$13:$D$14</definedName>
    <definedName name="OSRRefD13x_0" localSheetId="73">'491'!$D$13:$D$18</definedName>
    <definedName name="OSRRefD13x_0" localSheetId="87">'492'!$D$13:$D$16</definedName>
    <definedName name="OSRRefD13x_0" localSheetId="94">'501'!$D$13</definedName>
    <definedName name="OSRRefD13x_0" localSheetId="39">'Div 2'!$D$13</definedName>
    <definedName name="OSRRefD13x_0" localSheetId="48">'Div 3'!$D$13:$D$76</definedName>
    <definedName name="OSRRefD13x_0" localSheetId="71">'Div 4'!$D$13:$D$20</definedName>
    <definedName name="OSRRefD13x_0" localSheetId="93">'Div 5'!$D$13</definedName>
    <definedName name="OSRRefD13x_0" localSheetId="62">'Div 6'!$D$13:$D$30</definedName>
    <definedName name="OSRRefD13x_0" localSheetId="2">Summary!$D$13:$D$95</definedName>
    <definedName name="OSRRefD16x_0" localSheetId="49">'300'!$D$77:$D$110</definedName>
    <definedName name="OSRRefD16x_0" localSheetId="50">'300 &amp; 317'!$D$91:$D$133</definedName>
    <definedName name="OSRRefD16x_0" localSheetId="53">'307'!$D$26:$D$33</definedName>
    <definedName name="OSRRefD16x_0" localSheetId="54">'308'!$D$36:$D$50</definedName>
    <definedName name="OSRRefD16x_0" localSheetId="65">'309'!$D$16</definedName>
    <definedName name="OSRRefD16x_0" localSheetId="64">'310'!$D$20:$D$22</definedName>
    <definedName name="OSRRefD16x_0" localSheetId="72">'310 &amp; 491'!$D$24:$D$26</definedName>
    <definedName name="OSRRefD16x_0" localSheetId="55">'311'!$D$35:$D$49</definedName>
    <definedName name="OSRRefD16x_0" localSheetId="66">'313'!$D$16:$D$17</definedName>
    <definedName name="OSRRefD16x_0" localSheetId="58">'315'!$D$53:$D$74</definedName>
    <definedName name="OSRRefD16x_0" localSheetId="63">'317'!$D$33:$D$44</definedName>
    <definedName name="OSRRefD16x_0" localSheetId="67">'321'!$D$18:$D$19</definedName>
    <definedName name="OSRRefD16x_0" localSheetId="68">'322'!$D$16:$D$17</definedName>
    <definedName name="OSRRefD16x_0" localSheetId="56">'324'!$D$19:$D$21</definedName>
    <definedName name="OSRRefD16x_0" localSheetId="69">'325'!$D$17:$D$19</definedName>
    <definedName name="OSRRefD16x_0" localSheetId="59">'326'!$D$36:$D$40</definedName>
    <definedName name="OSRRefD16x_0" localSheetId="70">'327'!$D$17:$D$18</definedName>
    <definedName name="OSRRefD16x_0" localSheetId="52">'330'!$D$26:$D$33</definedName>
    <definedName name="OSRRefD16x_0" localSheetId="57">'331'!$D$53:$D$74</definedName>
    <definedName name="OSRRefD16x_0" localSheetId="74">'405'!$D$17</definedName>
    <definedName name="OSRRefD16x_0" localSheetId="77">'412'!$D$16</definedName>
    <definedName name="OSRRefD16x_0" localSheetId="78">'413'!$D$17</definedName>
    <definedName name="OSRRefD16x_0" localSheetId="79">'414'!$D$18</definedName>
    <definedName name="OSRRefD16x_0" localSheetId="80">'415'!$D$19:$D$21</definedName>
    <definedName name="OSRRefD16x_0" localSheetId="81">'418'!$D$17</definedName>
    <definedName name="OSRRefD16x_0" localSheetId="89">'433'!$D$19:$D$21</definedName>
    <definedName name="OSRRefD16x_0" localSheetId="91">'444'!$D$19:$D$21</definedName>
    <definedName name="OSRRefD16x_0" localSheetId="92">'450'!$D$17</definedName>
    <definedName name="OSRRefD16x_0" localSheetId="73">'491'!$D$21:$D$23</definedName>
    <definedName name="OSRRefD16x_0" localSheetId="87">'492'!$D$19:$D$21</definedName>
    <definedName name="OSRRefD16x_0" localSheetId="48">'Div 3'!$D$79:$D$114</definedName>
    <definedName name="OSRRefD16x_0" localSheetId="71">'Div 4'!$D$23:$D$25</definedName>
    <definedName name="OSRRefD16x_0" localSheetId="62">'Div 6'!$D$33:$D$44</definedName>
    <definedName name="OSRRefD16x_0" localSheetId="2">Summary!$D$98:$D$142</definedName>
    <definedName name="OSRRefD22_0x_0" localSheetId="40">'200'!$D$20</definedName>
    <definedName name="OSRRefD22_0x_0" localSheetId="41">'201'!$D$21:$D$29</definedName>
    <definedName name="OSRRefD22_0x_0" localSheetId="42">'202'!$D$21:$D$29</definedName>
    <definedName name="OSRRefD22_0x_0" localSheetId="43">'203'!$D$20:$D$29</definedName>
    <definedName name="OSRRefD22_0x_0" localSheetId="44">'204'!$D$20:$D$29</definedName>
    <definedName name="OSRRefD22_0x_0" localSheetId="45">'205'!$D$20:$D$28</definedName>
    <definedName name="OSRRefD22_0x_0" localSheetId="46">'206'!$D$20:$D$28</definedName>
    <definedName name="OSRRefD22_0x_0" localSheetId="49">'300'!$D$116:$D$125</definedName>
    <definedName name="OSRRefD22_0x_0" localSheetId="50">'300 &amp; 317'!$D$139:$D$148</definedName>
    <definedName name="OSRRefD22_0x_0" localSheetId="51">'301'!$D$20:$D$29</definedName>
    <definedName name="OSRRefD22_0x_0" localSheetId="53">'307'!$D$39:$D$46</definedName>
    <definedName name="OSRRefD22_0x_0" localSheetId="54">'308'!$D$56:$D$65</definedName>
    <definedName name="OSRRefD22_0x_0" localSheetId="65">'309'!$D$22:$D$29</definedName>
    <definedName name="OSRRefD22_0x_0" localSheetId="64">'310'!$D$28:$D$36</definedName>
    <definedName name="OSRRefD22_0x_0" localSheetId="72">'310 &amp; 491'!$D$32:$D$40</definedName>
    <definedName name="OSRRefD22_0x_0" localSheetId="55">'311'!$D$55:$D$64</definedName>
    <definedName name="OSRRefD22_0x_0" localSheetId="66">'313'!$D$23:$D$31</definedName>
    <definedName name="OSRRefD22_0x_0" localSheetId="58">'315'!$D$80:$D$88</definedName>
    <definedName name="OSRRefD22_0x_0" localSheetId="61">'316'!$D$31:$D$39</definedName>
    <definedName name="OSRRefD22_0x_0" localSheetId="63">'317'!$D$50:$D$59</definedName>
    <definedName name="OSRRefD22_0x_0" localSheetId="67">'321'!$D$25:$D$33</definedName>
    <definedName name="OSRRefD22_0x_0" localSheetId="68">'322'!$D$23:$D$30</definedName>
    <definedName name="OSRRefD22_0x_0" localSheetId="56">'324'!$D$27:$D$34</definedName>
    <definedName name="OSRRefD22_0x_0" localSheetId="69">'325'!$D$25:$D$32</definedName>
    <definedName name="OSRRefD22_0x_0" localSheetId="59">'326'!$D$46:$D$54</definedName>
    <definedName name="OSRRefD22_0x_0" localSheetId="70">'327'!$D$24</definedName>
    <definedName name="OSRRefD22_0x_0" localSheetId="52">'330'!$D$39:$D$46</definedName>
    <definedName name="OSRRefD22_0x_0" localSheetId="57">'331'!$D$80:$D$88</definedName>
    <definedName name="OSRRefD22_0x_0" localSheetId="60">'332'!$D$31:$D$39</definedName>
    <definedName name="OSRRefD22_0x_0" localSheetId="74">'405'!$D$23:$D$30</definedName>
    <definedName name="OSRRefD22_0x_0" localSheetId="75">'406'!$D$20</definedName>
    <definedName name="OSRRefD22_0x_0" localSheetId="76">'411'!$D$20:$D$28</definedName>
    <definedName name="OSRRefD22_0x_0" localSheetId="77">'412'!$D$22:$D$29</definedName>
    <definedName name="OSRRefD22_0x_0" localSheetId="78">'413'!$D$23:$D$31</definedName>
    <definedName name="OSRRefD22_0x_0" localSheetId="79">'414'!$D$24:$D$32</definedName>
    <definedName name="OSRRefD22_0x_0" localSheetId="80">'415'!$D$27:$D$35</definedName>
    <definedName name="OSRRefD22_0x_0" localSheetId="81">'418'!$D$23:$D$30</definedName>
    <definedName name="OSRRefD22_0x_0" localSheetId="82">'420'!$D$21</definedName>
    <definedName name="OSRRefD22_0x_0" localSheetId="83">'423'!$D$20:$D$27</definedName>
    <definedName name="OSRRefD22_0x_0" localSheetId="84">'424'!$D$20</definedName>
    <definedName name="OSRRefD22_0x_0" localSheetId="85">'425'!$D$20:$D$24</definedName>
    <definedName name="OSRRefD22_0x_0" localSheetId="88">'430'!$D$20:$D$28</definedName>
    <definedName name="OSRRefD22_0x_0" localSheetId="89">'433'!$D$27:$D$36</definedName>
    <definedName name="OSRRefD22_0x_0" localSheetId="90">'435'!$D$20</definedName>
    <definedName name="OSRRefD22_0x_0" localSheetId="91">'444'!$D$27:$D$36</definedName>
    <definedName name="OSRRefD22_0x_0" localSheetId="92">'450'!$D$23:$D$32</definedName>
    <definedName name="OSRRefD22_0x_0" localSheetId="73">'491'!$D$29:$D$37</definedName>
    <definedName name="OSRRefD22_0x_0" localSheetId="87">'492'!$D$27:$D$36</definedName>
    <definedName name="OSRRefD22_0x_0" localSheetId="94">'501'!$D$21:$D$30</definedName>
    <definedName name="OSRRefD22_0x_0" localSheetId="39">'Div 2'!$D$21:$D$31</definedName>
    <definedName name="OSRRefD22_0x_0" localSheetId="48">'Div 3'!$D$120:$D$129</definedName>
    <definedName name="OSRRefD22_0x_0" localSheetId="71">'Div 4'!$D$31:$D$40</definedName>
    <definedName name="OSRRefD22_0x_0" localSheetId="93">'Div 5'!$D$21:$D$30</definedName>
    <definedName name="OSRRefD22_0x_0" localSheetId="62">'Div 6'!$D$50:$D$59</definedName>
    <definedName name="OSRRefD22_0x_0" localSheetId="2">Summary!$D$148:$D$157</definedName>
    <definedName name="OSRRefD22_10x_0" localSheetId="41">'201'!$D$58:$D$60</definedName>
    <definedName name="OSRRefD22_10x_0" localSheetId="42">'202'!$D$62</definedName>
    <definedName name="OSRRefD22_10x_0" localSheetId="43">'203'!$D$62</definedName>
    <definedName name="OSRRefD22_10x_0" localSheetId="44">'204'!$D$62:$D$63</definedName>
    <definedName name="OSRRefD22_10x_0" localSheetId="49">'300'!$D$158:$D$159</definedName>
    <definedName name="OSRRefD22_10x_0" localSheetId="50">'300 &amp; 317'!$D$181:$D$182</definedName>
    <definedName name="OSRRefD22_10x_0" localSheetId="51">'301'!$D$60</definedName>
    <definedName name="OSRRefD22_10x_0" localSheetId="53">'307'!$D$77:$D$78</definedName>
    <definedName name="OSRRefD22_10x_0" localSheetId="54">'308'!$D$98:$D$99</definedName>
    <definedName name="OSRRefD22_10x_0" localSheetId="65">'309'!$D$62</definedName>
    <definedName name="OSRRefD22_10x_0" localSheetId="64">'310'!$D$66</definedName>
    <definedName name="OSRRefD22_10x_0" localSheetId="72">'310 &amp; 491'!$D$72</definedName>
    <definedName name="OSRRefD22_10x_0" localSheetId="55">'311'!$D$97:$D$98</definedName>
    <definedName name="OSRRefD22_10x_0" localSheetId="66">'313'!$D$64</definedName>
    <definedName name="OSRRefD22_10x_0" localSheetId="58">'315'!$D$118</definedName>
    <definedName name="OSRRefD22_10x_0" localSheetId="61">'316'!$D$74</definedName>
    <definedName name="OSRRefD22_10x_0" localSheetId="63">'317'!$D$89:$D$91</definedName>
    <definedName name="OSRRefD22_10x_0" localSheetId="67">'321'!$D$65:$D$67</definedName>
    <definedName name="OSRRefD22_10x_0" localSheetId="68">'322'!$D$64</definedName>
    <definedName name="OSRRefD22_10x_0" localSheetId="69">'325'!$D$62</definedName>
    <definedName name="OSRRefD22_10x_0" localSheetId="59">'326'!$D$84</definedName>
    <definedName name="OSRRefD22_10x_0" localSheetId="52">'330'!$D$77:$D$78</definedName>
    <definedName name="OSRRefD22_10x_0" localSheetId="57">'331'!$D$119</definedName>
    <definedName name="OSRRefD22_10x_0" localSheetId="60">'332'!$D$74</definedName>
    <definedName name="OSRRefD22_10x_0" localSheetId="74">'405'!$D$61</definedName>
    <definedName name="OSRRefD22_10x_0" localSheetId="76">'411'!$D$59:$D$62</definedName>
    <definedName name="OSRRefD22_10x_0" localSheetId="77">'412'!$D$60:$D$63</definedName>
    <definedName name="OSRRefD22_10x_0" localSheetId="78">'413'!$D$64:$D$71</definedName>
    <definedName name="OSRRefD22_10x_0" localSheetId="79">'414'!$D$62</definedName>
    <definedName name="OSRRefD22_10x_0" localSheetId="80">'415'!$D$65</definedName>
    <definedName name="OSRRefD22_10x_0" localSheetId="81">'418'!$D$63:$D$64</definedName>
    <definedName name="OSRRefD22_10x_0" localSheetId="89">'433'!$D$65</definedName>
    <definedName name="OSRRefD22_10x_0" localSheetId="91">'444'!$D$65</definedName>
    <definedName name="OSRRefD22_10x_0" localSheetId="92">'450'!$D$61</definedName>
    <definedName name="OSRRefD22_10x_0" localSheetId="73">'491'!$D$68</definedName>
    <definedName name="OSRRefD22_10x_0" localSheetId="87">'492'!$D$65</definedName>
    <definedName name="OSRRefD22_10x_0" localSheetId="94">'501'!$D$63:$D$64</definedName>
    <definedName name="OSRRefD22_10x_0" localSheetId="39">'Div 2'!$D$62</definedName>
    <definedName name="OSRRefD22_10x_0" localSheetId="48">'Div 3'!$D$162:$D$163</definedName>
    <definedName name="OSRRefD22_10x_0" localSheetId="71">'Div 4'!$D$71</definedName>
    <definedName name="OSRRefD22_10x_0" localSheetId="93">'Div 5'!$D$63:$D$64</definedName>
    <definedName name="OSRRefD22_10x_0" localSheetId="62">'Div 6'!$D$89:$D$91</definedName>
    <definedName name="OSRRefD22_10x_0" localSheetId="2">Summary!$D$191:$D$192</definedName>
    <definedName name="OSRRefD22_11x_0" localSheetId="41">'201'!$D$62</definedName>
    <definedName name="OSRRefD22_11x_0" localSheetId="42">'202'!$D$64</definedName>
    <definedName name="OSRRefD22_11x_0" localSheetId="43">'203'!$D$64:$D$66</definedName>
    <definedName name="OSRRefD22_11x_0" localSheetId="44">'204'!$D$65</definedName>
    <definedName name="OSRRefD22_11x_0" localSheetId="49">'300'!$D$161:$D$163</definedName>
    <definedName name="OSRRefD22_11x_0" localSheetId="50">'300 &amp; 317'!$D$184:$D$186</definedName>
    <definedName name="OSRRefD22_11x_0" localSheetId="51">'301'!$D$62</definedName>
    <definedName name="OSRRefD22_11x_0" localSheetId="53">'307'!$D$80:$D$83</definedName>
    <definedName name="OSRRefD22_11x_0" localSheetId="54">'308'!$D$101:$D$103</definedName>
    <definedName name="OSRRefD22_11x_0" localSheetId="64">'310'!$D$68</definedName>
    <definedName name="OSRRefD22_11x_0" localSheetId="72">'310 &amp; 491'!$D$74</definedName>
    <definedName name="OSRRefD22_11x_0" localSheetId="55">'311'!$D$100:$D$102</definedName>
    <definedName name="OSRRefD22_11x_0" localSheetId="66">'313'!$D$66</definedName>
    <definedName name="OSRRefD22_11x_0" localSheetId="58">'315'!$D$120</definedName>
    <definedName name="OSRRefD22_11x_0" localSheetId="61">'316'!$D$76</definedName>
    <definedName name="OSRRefD22_11x_0" localSheetId="63">'317'!$D$93</definedName>
    <definedName name="OSRRefD22_11x_0" localSheetId="67">'321'!$D$69:$D$70</definedName>
    <definedName name="OSRRefD22_11x_0" localSheetId="68">'322'!$D$66</definedName>
    <definedName name="OSRRefD22_11x_0" localSheetId="69">'325'!$D$64:$D$67</definedName>
    <definedName name="OSRRefD22_11x_0" localSheetId="59">'326'!$D$86</definedName>
    <definedName name="OSRRefD22_11x_0" localSheetId="52">'330'!$D$80:$D$83</definedName>
    <definedName name="OSRRefD22_11x_0" localSheetId="57">'331'!$D$121</definedName>
    <definedName name="OSRRefD22_11x_0" localSheetId="60">'332'!$D$76</definedName>
    <definedName name="OSRRefD22_11x_0" localSheetId="74">'405'!$D$63:$D$66</definedName>
    <definedName name="OSRRefD22_11x_0" localSheetId="76">'411'!$D$64</definedName>
    <definedName name="OSRRefD22_11x_0" localSheetId="77">'412'!$D$65:$D$69</definedName>
    <definedName name="OSRRefD22_11x_0" localSheetId="78">'413'!$D$73:$D$74</definedName>
    <definedName name="OSRRefD22_11x_0" localSheetId="79">'414'!$D$64</definedName>
    <definedName name="OSRRefD22_11x_0" localSheetId="80">'415'!$D$67:$D$68</definedName>
    <definedName name="OSRRefD22_11x_0" localSheetId="81">'418'!$D$66:$D$75</definedName>
    <definedName name="OSRRefD22_11x_0" localSheetId="89">'433'!$D$67:$D$69</definedName>
    <definedName name="OSRRefD22_11x_0" localSheetId="91">'444'!$D$67:$D$70</definedName>
    <definedName name="OSRRefD22_11x_0" localSheetId="92">'450'!$D$63</definedName>
    <definedName name="OSRRefD22_11x_0" localSheetId="73">'491'!$D$70</definedName>
    <definedName name="OSRRefD22_11x_0" localSheetId="87">'492'!$D$67</definedName>
    <definedName name="OSRRefD22_11x_0" localSheetId="94">'501'!$D$66</definedName>
    <definedName name="OSRRefD22_11x_0" localSheetId="39">'Div 2'!$D$64:$D$65</definedName>
    <definedName name="OSRRefD22_11x_0" localSheetId="48">'Div 3'!$D$165:$D$167</definedName>
    <definedName name="OSRRefD22_11x_0" localSheetId="71">'Div 4'!$D$73</definedName>
    <definedName name="OSRRefD22_11x_0" localSheetId="93">'Div 5'!$D$66</definedName>
    <definedName name="OSRRefD22_11x_0" localSheetId="62">'Div 6'!$D$93</definedName>
    <definedName name="OSRRefD22_11x_0" localSheetId="2">Summary!$D$194:$D$196</definedName>
    <definedName name="OSRRefD22_12x_0" localSheetId="41">'201'!$D$64</definedName>
    <definedName name="OSRRefD22_12x_0" localSheetId="42">'202'!$D$66</definedName>
    <definedName name="OSRRefD22_12x_0" localSheetId="43">'203'!$D$68</definedName>
    <definedName name="OSRRefD22_12x_0" localSheetId="44">'204'!$D$67</definedName>
    <definedName name="OSRRefD22_12x_0" localSheetId="49">'300'!$D$165</definedName>
    <definedName name="OSRRefD22_12x_0" localSheetId="50">'300 &amp; 317'!$D$188</definedName>
    <definedName name="OSRRefD22_12x_0" localSheetId="51">'301'!$D$64</definedName>
    <definedName name="OSRRefD22_12x_0" localSheetId="53">'307'!$D$85:$D$86</definedName>
    <definedName name="OSRRefD22_12x_0" localSheetId="54">'308'!$D$105:$D$106</definedName>
    <definedName name="OSRRefD22_12x_0" localSheetId="64">'310'!$D$70</definedName>
    <definedName name="OSRRefD22_12x_0" localSheetId="72">'310 &amp; 491'!$D$76</definedName>
    <definedName name="OSRRefD22_12x_0" localSheetId="55">'311'!$D$104:$D$105</definedName>
    <definedName name="OSRRefD22_12x_0" localSheetId="58">'315'!$D$122:$D$124</definedName>
    <definedName name="OSRRefD22_12x_0" localSheetId="63">'317'!$D$95</definedName>
    <definedName name="OSRRefD22_12x_0" localSheetId="67">'321'!$D$72</definedName>
    <definedName name="OSRRefD22_12x_0" localSheetId="69">'325'!$D$69:$D$71</definedName>
    <definedName name="OSRRefD22_12x_0" localSheetId="59">'326'!$D$88</definedName>
    <definedName name="OSRRefD22_12x_0" localSheetId="52">'330'!$D$85:$D$86</definedName>
    <definedName name="OSRRefD22_12x_0" localSheetId="57">'331'!$D$123</definedName>
    <definedName name="OSRRefD22_12x_0" localSheetId="74">'405'!$D$68</definedName>
    <definedName name="OSRRefD22_12x_0" localSheetId="76">'411'!$D$66:$D$72</definedName>
    <definedName name="OSRRefD22_12x_0" localSheetId="77">'412'!$D$71:$D$72</definedName>
    <definedName name="OSRRefD22_12x_0" localSheetId="78">'413'!$D$76</definedName>
    <definedName name="OSRRefD22_12x_0" localSheetId="79">'414'!$D$66:$D$68</definedName>
    <definedName name="OSRRefD22_12x_0" localSheetId="80">'415'!$D$70:$D$74</definedName>
    <definedName name="OSRRefD22_12x_0" localSheetId="81">'418'!$D$77:$D$78</definedName>
    <definedName name="OSRRefD22_12x_0" localSheetId="89">'433'!$D$71:$D$74</definedName>
    <definedName name="OSRRefD22_12x_0" localSheetId="91">'444'!$D$72:$D$75</definedName>
    <definedName name="OSRRefD22_12x_0" localSheetId="92">'450'!$D$65</definedName>
    <definedName name="OSRRefD22_12x_0" localSheetId="73">'491'!$D$72</definedName>
    <definedName name="OSRRefD22_12x_0" localSheetId="87">'492'!$D$69:$D$72</definedName>
    <definedName name="OSRRefD22_12x_0" localSheetId="39">'Div 2'!$D$67:$D$70</definedName>
    <definedName name="OSRRefD22_12x_0" localSheetId="48">'Div 3'!$D$169</definedName>
    <definedName name="OSRRefD22_12x_0" localSheetId="71">'Div 4'!$D$75</definedName>
    <definedName name="OSRRefD22_12x_0" localSheetId="62">'Div 6'!$D$95</definedName>
    <definedName name="OSRRefD22_12x_0" localSheetId="2">Summary!$D$198</definedName>
    <definedName name="OSRRefD22_13x_0" localSheetId="41">'201'!$D$66:$D$68</definedName>
    <definedName name="OSRRefD22_13x_0" localSheetId="43">'203'!$D$70</definedName>
    <definedName name="OSRRefD22_13x_0" localSheetId="49">'300'!$D$167</definedName>
    <definedName name="OSRRefD22_13x_0" localSheetId="50">'300 &amp; 317'!$D$190</definedName>
    <definedName name="OSRRefD22_13x_0" localSheetId="51">'301'!$D$66</definedName>
    <definedName name="OSRRefD22_13x_0" localSheetId="53">'307'!$D$88</definedName>
    <definedName name="OSRRefD22_13x_0" localSheetId="54">'308'!$D$108</definedName>
    <definedName name="OSRRefD22_13x_0" localSheetId="64">'310'!$D$72:$D$75</definedName>
    <definedName name="OSRRefD22_13x_0" localSheetId="72">'310 &amp; 491'!$D$78:$D$81</definedName>
    <definedName name="OSRRefD22_13x_0" localSheetId="55">'311'!$D$107</definedName>
    <definedName name="OSRRefD22_13x_0" localSheetId="58">'315'!$D$126:$D$127</definedName>
    <definedName name="OSRRefD22_13x_0" localSheetId="67">'321'!$D$74</definedName>
    <definedName name="OSRRefD22_13x_0" localSheetId="69">'325'!$D$73</definedName>
    <definedName name="OSRRefD22_13x_0" localSheetId="59">'326'!$D$90:$D$91</definedName>
    <definedName name="OSRRefD22_13x_0" localSheetId="52">'330'!$D$88</definedName>
    <definedName name="OSRRefD22_13x_0" localSheetId="57">'331'!$D$125</definedName>
    <definedName name="OSRRefD22_13x_0" localSheetId="74">'405'!$D$70:$D$78</definedName>
    <definedName name="OSRRefD22_13x_0" localSheetId="76">'411'!$D$74</definedName>
    <definedName name="OSRRefD22_13x_0" localSheetId="77">'412'!$D$74</definedName>
    <definedName name="OSRRefD22_13x_0" localSheetId="79">'414'!$D$70</definedName>
    <definedName name="OSRRefD22_13x_0" localSheetId="80">'415'!$D$76</definedName>
    <definedName name="OSRRefD22_13x_0" localSheetId="81">'418'!$D$80</definedName>
    <definedName name="OSRRefD22_13x_0" localSheetId="89">'433'!$D$76:$D$83</definedName>
    <definedName name="OSRRefD22_13x_0" localSheetId="91">'444'!$D$77</definedName>
    <definedName name="OSRRefD22_13x_0" localSheetId="92">'450'!$D$67:$D$69</definedName>
    <definedName name="OSRRefD22_13x_0" localSheetId="73">'491'!$D$74:$D$77</definedName>
    <definedName name="OSRRefD22_13x_0" localSheetId="87">'492'!$D$74:$D$77</definedName>
    <definedName name="OSRRefD22_13x_0" localSheetId="39">'Div 2'!$D$72:$D$75</definedName>
    <definedName name="OSRRefD22_13x_0" localSheetId="48">'Div 3'!$D$171</definedName>
    <definedName name="OSRRefD22_13x_0" localSheetId="71">'Div 4'!$D$77</definedName>
    <definedName name="OSRRefD22_13x_0" localSheetId="2">Summary!$D$200</definedName>
    <definedName name="OSRRefD22_14x_0" localSheetId="41">'201'!$D$70</definedName>
    <definedName name="OSRRefD22_14x_0" localSheetId="43">'203'!$D$72</definedName>
    <definedName name="OSRRefD22_14x_0" localSheetId="49">'300'!$D$169</definedName>
    <definedName name="OSRRefD22_14x_0" localSheetId="50">'300 &amp; 317'!$D$192</definedName>
    <definedName name="OSRRefD22_14x_0" localSheetId="51">'301'!$D$68:$D$71</definedName>
    <definedName name="OSRRefD22_14x_0" localSheetId="64">'310'!$D$77:$D$78</definedName>
    <definedName name="OSRRefD22_14x_0" localSheetId="72">'310 &amp; 491'!$D$83:$D$84</definedName>
    <definedName name="OSRRefD22_14x_0" localSheetId="58">'315'!$D$129:$D$135</definedName>
    <definedName name="OSRRefD22_14x_0" localSheetId="69">'325'!$D$75:$D$79</definedName>
    <definedName name="OSRRefD22_14x_0" localSheetId="59">'326'!$D$93:$D$95</definedName>
    <definedName name="OSRRefD22_14x_0" localSheetId="57">'331'!$D$127:$D$128</definedName>
    <definedName name="OSRRefD22_14x_0" localSheetId="74">'405'!$D$80</definedName>
    <definedName name="OSRRefD22_14x_0" localSheetId="76">'411'!$D$76</definedName>
    <definedName name="OSRRefD22_14x_0" localSheetId="79">'414'!$D$72</definedName>
    <definedName name="OSRRefD22_14x_0" localSheetId="80">'415'!$D$78:$D$85</definedName>
    <definedName name="OSRRefD22_14x_0" localSheetId="89">'433'!$D$85</definedName>
    <definedName name="OSRRefD22_14x_0" localSheetId="91">'444'!$D$79:$D$87</definedName>
    <definedName name="OSRRefD22_14x_0" localSheetId="92">'450'!$D$71:$D$77</definedName>
    <definedName name="OSRRefD22_14x_0" localSheetId="73">'491'!$D$79:$D$80</definedName>
    <definedName name="OSRRefD22_14x_0" localSheetId="87">'492'!$D$79</definedName>
    <definedName name="OSRRefD22_14x_0" localSheetId="39">'Div 2'!$D$77:$D$78</definedName>
    <definedName name="OSRRefD22_14x_0" localSheetId="48">'Div 3'!$D$173</definedName>
    <definedName name="OSRRefD22_14x_0" localSheetId="71">'Div 4'!$D$79</definedName>
    <definedName name="OSRRefD22_14x_0" localSheetId="2">Summary!$D$202</definedName>
    <definedName name="OSRRefD22_15x_0" localSheetId="41">'201'!$D$72</definedName>
    <definedName name="OSRRefD22_15x_0" localSheetId="49">'300'!$D$171</definedName>
    <definedName name="OSRRefD22_15x_0" localSheetId="50">'300 &amp; 317'!$D$194</definedName>
    <definedName name="OSRRefD22_15x_0" localSheetId="51">'301'!$D$73:$D$75</definedName>
    <definedName name="OSRRefD22_15x_0" localSheetId="64">'310'!$D$80:$D$83</definedName>
    <definedName name="OSRRefD22_15x_0" localSheetId="72">'310 &amp; 491'!$D$86:$D$90</definedName>
    <definedName name="OSRRefD22_15x_0" localSheetId="58">'315'!$D$137</definedName>
    <definedName name="OSRRefD22_15x_0" localSheetId="69">'325'!$D$81:$D$82</definedName>
    <definedName name="OSRRefD22_15x_0" localSheetId="59">'326'!$D$97:$D$98</definedName>
    <definedName name="OSRRefD22_15x_0" localSheetId="57">'331'!$D$130:$D$132</definedName>
    <definedName name="OSRRefD22_15x_0" localSheetId="74">'405'!$D$82</definedName>
    <definedName name="OSRRefD22_15x_0" localSheetId="76">'411'!$D$78</definedName>
    <definedName name="OSRRefD22_15x_0" localSheetId="79">'414'!$D$74</definedName>
    <definedName name="OSRRefD22_15x_0" localSheetId="80">'415'!$D$87:$D$88</definedName>
    <definedName name="OSRRefD22_15x_0" localSheetId="89">'433'!$D$87</definedName>
    <definedName name="OSRRefD22_15x_0" localSheetId="91">'444'!$D$89:$D$90</definedName>
    <definedName name="OSRRefD22_15x_0" localSheetId="92">'450'!$D$79:$D$80</definedName>
    <definedName name="OSRRefD22_15x_0" localSheetId="73">'491'!$D$82:$D$86</definedName>
    <definedName name="OSRRefD22_15x_0" localSheetId="87">'492'!$D$81:$D$90</definedName>
    <definedName name="OSRRefD22_15x_0" localSheetId="39">'Div 2'!$D$80:$D$81</definedName>
    <definedName name="OSRRefD22_15x_0" localSheetId="48">'Div 3'!$D$175</definedName>
    <definedName name="OSRRefD22_15x_0" localSheetId="71">'Div 4'!$D$81:$D$84</definedName>
    <definedName name="OSRRefD22_15x_0" localSheetId="2">Summary!$D$204</definedName>
    <definedName name="OSRRefD22_16x_0" localSheetId="41">'201'!$D$74</definedName>
    <definedName name="OSRRefD22_16x_0" localSheetId="49">'300'!$D$173:$D$176</definedName>
    <definedName name="OSRRefD22_16x_0" localSheetId="50">'300 &amp; 317'!$D$196:$D$199</definedName>
    <definedName name="OSRRefD22_16x_0" localSheetId="51">'301'!$D$77</definedName>
    <definedName name="OSRRefD22_16x_0" localSheetId="64">'310'!$D$85</definedName>
    <definedName name="OSRRefD22_16x_0" localSheetId="72">'310 &amp; 491'!$D$92:$D$93</definedName>
    <definedName name="OSRRefD22_16x_0" localSheetId="58">'315'!$D$139</definedName>
    <definedName name="OSRRefD22_16x_0" localSheetId="69">'325'!$D$84</definedName>
    <definedName name="OSRRefD22_16x_0" localSheetId="59">'326'!$D$100:$D$105</definedName>
    <definedName name="OSRRefD22_16x_0" localSheetId="57">'331'!$D$134:$D$136</definedName>
    <definedName name="OSRRefD22_16x_0" localSheetId="74">'405'!$D$84</definedName>
    <definedName name="OSRRefD22_16x_0" localSheetId="80">'415'!$D$90</definedName>
    <definedName name="OSRRefD22_16x_0" localSheetId="91">'444'!$D$92</definedName>
    <definedName name="OSRRefD22_16x_0" localSheetId="92">'450'!$D$82</definedName>
    <definedName name="OSRRefD22_16x_0" localSheetId="73">'491'!$D$88:$D$89</definedName>
    <definedName name="OSRRefD22_16x_0" localSheetId="87">'492'!$D$92:$D$93</definedName>
    <definedName name="OSRRefD22_16x_0" localSheetId="39">'Div 2'!$D$83:$D$87</definedName>
    <definedName name="OSRRefD22_16x_0" localSheetId="48">'Div 3'!$D$177</definedName>
    <definedName name="OSRRefD22_16x_0" localSheetId="71">'Div 4'!$D$86:$D$87</definedName>
    <definedName name="OSRRefD22_16x_0" localSheetId="2">Summary!$D$206</definedName>
    <definedName name="OSRRefD22_17x_0" localSheetId="49">'300'!$D$178:$D$181</definedName>
    <definedName name="OSRRefD22_17x_0" localSheetId="50">'300 &amp; 317'!$D$201:$D$204</definedName>
    <definedName name="OSRRefD22_17x_0" localSheetId="51">'301'!$D$79:$D$85</definedName>
    <definedName name="OSRRefD22_17x_0" localSheetId="64">'310'!$D$87:$D$93</definedName>
    <definedName name="OSRRefD22_17x_0" localSheetId="72">'310 &amp; 491'!$D$95:$D$105</definedName>
    <definedName name="OSRRefD22_17x_0" localSheetId="58">'315'!$D$141:$D$142</definedName>
    <definedName name="OSRRefD22_17x_0" localSheetId="69">'325'!$D$86</definedName>
    <definedName name="OSRRefD22_17x_0" localSheetId="59">'326'!$D$107:$D$108</definedName>
    <definedName name="OSRRefD22_17x_0" localSheetId="57">'331'!$D$138:$D$139</definedName>
    <definedName name="OSRRefD22_17x_0" localSheetId="74">'405'!$D$86</definedName>
    <definedName name="OSRRefD22_17x_0" localSheetId="80">'415'!$D$92:$D$93</definedName>
    <definedName name="OSRRefD22_17x_0" localSheetId="73">'491'!$D$91:$D$101</definedName>
    <definedName name="OSRRefD22_17x_0" localSheetId="87">'492'!$D$95</definedName>
    <definedName name="OSRRefD22_17x_0" localSheetId="39">'Div 2'!$D$89:$D$90</definedName>
    <definedName name="OSRRefD22_17x_0" localSheetId="48">'Div 3'!$D$179:$D$182</definedName>
    <definedName name="OSRRefD22_17x_0" localSheetId="71">'Div 4'!$D$89:$D$93</definedName>
    <definedName name="OSRRefD22_17x_0" localSheetId="2">Summary!$D$208</definedName>
    <definedName name="OSRRefD22_18x_0" localSheetId="49">'300'!$D$183:$D$186</definedName>
    <definedName name="OSRRefD22_18x_0" localSheetId="50">'300 &amp; 317'!$D$206:$D$209</definedName>
    <definedName name="OSRRefD22_18x_0" localSheetId="51">'301'!$D$87</definedName>
    <definedName name="OSRRefD22_18x_0" localSheetId="64">'310'!$D$95:$D$96</definedName>
    <definedName name="OSRRefD22_18x_0" localSheetId="72">'310 &amp; 491'!$D$107:$D$108</definedName>
    <definedName name="OSRRefD22_18x_0" localSheetId="59">'326'!$D$110</definedName>
    <definedName name="OSRRefD22_18x_0" localSheetId="57">'331'!$D$141:$D$148</definedName>
    <definedName name="OSRRefD22_18x_0" localSheetId="80">'415'!$D$95</definedName>
    <definedName name="OSRRefD22_18x_0" localSheetId="73">'491'!$D$103:$D$104</definedName>
    <definedName name="OSRRefD22_18x_0" localSheetId="87">'492'!$D$97</definedName>
    <definedName name="OSRRefD22_18x_0" localSheetId="39">'Div 2'!$D$92</definedName>
    <definedName name="OSRRefD22_18x_0" localSheetId="48">'Div 3'!$D$184:$D$187</definedName>
    <definedName name="OSRRefD22_18x_0" localSheetId="71">'Div 4'!$D$95:$D$96</definedName>
    <definedName name="OSRRefD22_18x_0" localSheetId="2">Summary!$D$210:$D$213</definedName>
    <definedName name="OSRRefD22_19x_0" localSheetId="49">'300'!$D$188:$D$189</definedName>
    <definedName name="OSRRefD22_19x_0" localSheetId="50">'300 &amp; 317'!$D$211:$D$212</definedName>
    <definedName name="OSRRefD22_19x_0" localSheetId="51">'301'!$D$89</definedName>
    <definedName name="OSRRefD22_19x_0" localSheetId="64">'310'!$D$98</definedName>
    <definedName name="OSRRefD22_19x_0" localSheetId="72">'310 &amp; 491'!$D$110</definedName>
    <definedName name="OSRRefD22_19x_0" localSheetId="59">'326'!$D$112:$D$113</definedName>
    <definedName name="OSRRefD22_19x_0" localSheetId="57">'331'!$D$150:$D$151</definedName>
    <definedName name="OSRRefD22_19x_0" localSheetId="73">'491'!$D$106</definedName>
    <definedName name="OSRRefD22_19x_0" localSheetId="39">'Div 2'!$D$94:$D$95</definedName>
    <definedName name="OSRRefD22_19x_0" localSheetId="48">'Div 3'!$D$189:$D$193</definedName>
    <definedName name="OSRRefD22_19x_0" localSheetId="71">'Div 4'!$D$98:$D$108</definedName>
    <definedName name="OSRRefD22_19x_0" localSheetId="2">Summary!$D$215:$D$218</definedName>
    <definedName name="OSRRefD22_1x_0" localSheetId="40">'200'!$D$22</definedName>
    <definedName name="OSRRefD22_1x_0" localSheetId="41">'201'!$D$31:$D$40</definedName>
    <definedName name="OSRRefD22_1x_0" localSheetId="42">'202'!$D$31:$D$40</definedName>
    <definedName name="OSRRefD22_1x_0" localSheetId="43">'203'!$D$31:$D$40</definedName>
    <definedName name="OSRRefD22_1x_0" localSheetId="44">'204'!$D$31:$D$40</definedName>
    <definedName name="OSRRefD22_1x_0" localSheetId="45">'205'!$D$30:$D$39</definedName>
    <definedName name="OSRRefD22_1x_0" localSheetId="46">'206'!$D$30:$D$39</definedName>
    <definedName name="OSRRefD22_1x_0" localSheetId="49">'300'!$D$127:$D$136</definedName>
    <definedName name="OSRRefD22_1x_0" localSheetId="50">'300 &amp; 317'!$D$150:$D$159</definedName>
    <definedName name="OSRRefD22_1x_0" localSheetId="51">'301'!$D$31:$D$40</definedName>
    <definedName name="OSRRefD22_1x_0" localSheetId="53">'307'!$D$48:$D$57</definedName>
    <definedName name="OSRRefD22_1x_0" localSheetId="54">'308'!$D$67:$D$76</definedName>
    <definedName name="OSRRefD22_1x_0" localSheetId="65">'309'!$D$31:$D$40</definedName>
    <definedName name="OSRRefD22_1x_0" localSheetId="64">'310'!$D$38:$D$47</definedName>
    <definedName name="OSRRefD22_1x_0" localSheetId="72">'310 &amp; 491'!$D$42:$D$51</definedName>
    <definedName name="OSRRefD22_1x_0" localSheetId="55">'311'!$D$66:$D$75</definedName>
    <definedName name="OSRRefD22_1x_0" localSheetId="66">'313'!$D$33:$D$42</definedName>
    <definedName name="OSRRefD22_1x_0" localSheetId="58">'315'!$D$90:$D$99</definedName>
    <definedName name="OSRRefD22_1x_0" localSheetId="61">'316'!$D$41:$D$50</definedName>
    <definedName name="OSRRefD22_1x_0" localSheetId="63">'317'!$D$61:$D$70</definedName>
    <definedName name="OSRRefD22_1x_0" localSheetId="67">'321'!$D$35:$D$44</definedName>
    <definedName name="OSRRefD22_1x_0" localSheetId="68">'322'!$D$32:$D$41</definedName>
    <definedName name="OSRRefD22_1x_0" localSheetId="56">'324'!$D$36:$D$45</definedName>
    <definedName name="OSRRefD22_1x_0" localSheetId="69">'325'!$D$34:$D$43</definedName>
    <definedName name="OSRRefD22_1x_0" localSheetId="59">'326'!$D$56:$D$65</definedName>
    <definedName name="OSRRefD22_1x_0" localSheetId="52">'330'!$D$48:$D$57</definedName>
    <definedName name="OSRRefD22_1x_0" localSheetId="57">'331'!$D$90:$D$99</definedName>
    <definedName name="OSRRefD22_1x_0" localSheetId="60">'332'!$D$41:$D$50</definedName>
    <definedName name="OSRRefD22_1x_0" localSheetId="74">'405'!$D$32:$D$41</definedName>
    <definedName name="OSRRefD22_1x_0" localSheetId="75">'406'!$D$22</definedName>
    <definedName name="OSRRefD22_1x_0" localSheetId="76">'411'!$D$30:$D$39</definedName>
    <definedName name="OSRRefD22_1x_0" localSheetId="77">'412'!$D$31:$D$40</definedName>
    <definedName name="OSRRefD22_1x_0" localSheetId="78">'413'!$D$33:$D$42</definedName>
    <definedName name="OSRRefD22_1x_0" localSheetId="79">'414'!$D$34:$D$43</definedName>
    <definedName name="OSRRefD22_1x_0" localSheetId="80">'415'!$D$37:$D$46</definedName>
    <definedName name="OSRRefD22_1x_0" localSheetId="81">'418'!$D$32:$D$41</definedName>
    <definedName name="OSRRefD22_1x_0" localSheetId="83">'423'!$D$29:$D$38</definedName>
    <definedName name="OSRRefD22_1x_0" localSheetId="84">'424'!$D$22</definedName>
    <definedName name="OSRRefD22_1x_0" localSheetId="85">'425'!$D$26</definedName>
    <definedName name="OSRRefD22_1x_0" localSheetId="88">'430'!$D$30:$D$39</definedName>
    <definedName name="OSRRefD22_1x_0" localSheetId="89">'433'!$D$38:$D$47</definedName>
    <definedName name="OSRRefD22_1x_0" localSheetId="91">'444'!$D$38:$D$47</definedName>
    <definedName name="OSRRefD22_1x_0" localSheetId="92">'450'!$D$34:$D$43</definedName>
    <definedName name="OSRRefD22_1x_0" localSheetId="73">'491'!$D$39:$D$48</definedName>
    <definedName name="OSRRefD22_1x_0" localSheetId="87">'492'!$D$38:$D$47</definedName>
    <definedName name="OSRRefD22_1x_0" localSheetId="94">'501'!$D$32:$D$41</definedName>
    <definedName name="OSRRefD22_1x_0" localSheetId="39">'Div 2'!$D$33:$D$42</definedName>
    <definedName name="OSRRefD22_1x_0" localSheetId="48">'Div 3'!$D$131:$D$140</definedName>
    <definedName name="OSRRefD22_1x_0" localSheetId="71">'Div 4'!$D$42:$D$51</definedName>
    <definedName name="OSRRefD22_1x_0" localSheetId="93">'Div 5'!$D$32:$D$41</definedName>
    <definedName name="OSRRefD22_1x_0" localSheetId="62">'Div 6'!$D$61:$D$70</definedName>
    <definedName name="OSRRefD22_1x_0" localSheetId="2">Summary!$D$159:$D$168</definedName>
    <definedName name="OSRRefD22_20x_0" localSheetId="49">'300'!$D$191:$D$199</definedName>
    <definedName name="OSRRefD22_20x_0" localSheetId="50">'300 &amp; 317'!$D$214:$D$222</definedName>
    <definedName name="OSRRefD22_20x_0" localSheetId="51">'301'!$D$91:$D$92</definedName>
    <definedName name="OSRRefD22_20x_0" localSheetId="64">'310'!$D$100</definedName>
    <definedName name="OSRRefD22_20x_0" localSheetId="72">'310 &amp; 491'!$D$112:$D$114</definedName>
    <definedName name="OSRRefD22_20x_0" localSheetId="59">'326'!$D$115</definedName>
    <definedName name="OSRRefD22_20x_0" localSheetId="57">'331'!$D$153</definedName>
    <definedName name="OSRRefD22_20x_0" localSheetId="73">'491'!$D$108:$D$110</definedName>
    <definedName name="OSRRefD22_20x_0" localSheetId="48">'Div 3'!$D$195:$D$196</definedName>
    <definedName name="OSRRefD22_20x_0" localSheetId="71">'Div 4'!$D$110:$D$111</definedName>
    <definedName name="OSRRefD22_20x_0" localSheetId="2">Summary!$D$220:$D$224</definedName>
    <definedName name="OSRRefD22_21x_0" localSheetId="49">'300'!$D$201:$D$202</definedName>
    <definedName name="OSRRefD22_21x_0" localSheetId="50">'300 &amp; 317'!$D$224:$D$225</definedName>
    <definedName name="OSRRefD22_21x_0" localSheetId="51">'301'!$D$94</definedName>
    <definedName name="OSRRefD22_21x_0" localSheetId="64">'310'!$D$102</definedName>
    <definedName name="OSRRefD22_21x_0" localSheetId="72">'310 &amp; 491'!$D$116</definedName>
    <definedName name="OSRRefD22_21x_0" localSheetId="57">'331'!$D$155:$D$156</definedName>
    <definedName name="OSRRefD22_21x_0" localSheetId="73">'491'!$D$112</definedName>
    <definedName name="OSRRefD22_21x_0" localSheetId="48">'Div 3'!$D$198:$D$206</definedName>
    <definedName name="OSRRefD22_21x_0" localSheetId="71">'Div 4'!$D$113</definedName>
    <definedName name="OSRRefD22_21x_0" localSheetId="2">Summary!$D$226:$D$227</definedName>
    <definedName name="OSRRefD22_22x_0" localSheetId="49">'300'!$D$204</definedName>
    <definedName name="OSRRefD22_22x_0" localSheetId="50">'300 &amp; 317'!$D$227</definedName>
    <definedName name="OSRRefD22_22x_0" localSheetId="57">'331'!$D$158</definedName>
    <definedName name="OSRRefD22_22x_0" localSheetId="48">'Div 3'!$D$208:$D$209</definedName>
    <definedName name="OSRRefD22_22x_0" localSheetId="71">'Div 4'!$D$115:$D$117</definedName>
    <definedName name="OSRRefD22_22x_0" localSheetId="2">Summary!$D$229:$D$239</definedName>
    <definedName name="OSRRefD22_23x_0" localSheetId="49">'300'!$D$206:$D$208</definedName>
    <definedName name="OSRRefD22_23x_0" localSheetId="50">'300 &amp; 317'!$D$229:$D$231</definedName>
    <definedName name="OSRRefD22_23x_0" localSheetId="48">'Div 3'!$D$211</definedName>
    <definedName name="OSRRefD22_23x_0" localSheetId="71">'Div 4'!$D$119</definedName>
    <definedName name="OSRRefD22_23x_0" localSheetId="2">Summary!$D$241:$D$242</definedName>
    <definedName name="OSRRefD22_24x_0" localSheetId="49">'300'!$D$210</definedName>
    <definedName name="OSRRefD22_24x_0" localSheetId="50">'300 &amp; 317'!$D$233</definedName>
    <definedName name="OSRRefD22_24x_0" localSheetId="48">'Div 3'!$D$213:$D$215</definedName>
    <definedName name="OSRRefD22_24x_0" localSheetId="2">Summary!$D$244</definedName>
    <definedName name="OSRRefD22_25x_0" localSheetId="48">'Div 3'!$D$217</definedName>
    <definedName name="OSRRefD22_25x_0" localSheetId="2">Summary!$D$246:$D$248</definedName>
    <definedName name="OSRRefD22_26x_0" localSheetId="2">Summary!$D$250</definedName>
    <definedName name="OSRRefD22_2x_0" localSheetId="40">'200'!$D$24</definedName>
    <definedName name="OSRRefD22_2x_0" localSheetId="41">'201'!$D$42</definedName>
    <definedName name="OSRRefD22_2x_0" localSheetId="42">'202'!$D$42</definedName>
    <definedName name="OSRRefD22_2x_0" localSheetId="43">'203'!$D$42</definedName>
    <definedName name="OSRRefD22_2x_0" localSheetId="44">'204'!$D$42</definedName>
    <definedName name="OSRRefD22_2x_0" localSheetId="45">'205'!$D$41</definedName>
    <definedName name="OSRRefD22_2x_0" localSheetId="46">'206'!$D$41</definedName>
    <definedName name="OSRRefD22_2x_0" localSheetId="49">'300'!$D$138</definedName>
    <definedName name="OSRRefD22_2x_0" localSheetId="50">'300 &amp; 317'!$D$161</definedName>
    <definedName name="OSRRefD22_2x_0" localSheetId="51">'301'!$D$42</definedName>
    <definedName name="OSRRefD22_2x_0" localSheetId="53">'307'!$D$59</definedName>
    <definedName name="OSRRefD22_2x_0" localSheetId="54">'308'!$D$78</definedName>
    <definedName name="OSRRefD22_2x_0" localSheetId="65">'309'!$D$42</definedName>
    <definedName name="OSRRefD22_2x_0" localSheetId="64">'310'!$D$49</definedName>
    <definedName name="OSRRefD22_2x_0" localSheetId="72">'310 &amp; 491'!$D$53</definedName>
    <definedName name="OSRRefD22_2x_0" localSheetId="55">'311'!$D$77</definedName>
    <definedName name="OSRRefD22_2x_0" localSheetId="66">'313'!$D$44</definedName>
    <definedName name="OSRRefD22_2x_0" localSheetId="58">'315'!$D$101</definedName>
    <definedName name="OSRRefD22_2x_0" localSheetId="61">'316'!$D$52</definedName>
    <definedName name="OSRRefD22_2x_0" localSheetId="63">'317'!$D$72</definedName>
    <definedName name="OSRRefD22_2x_0" localSheetId="67">'321'!$D$46</definedName>
    <definedName name="OSRRefD22_2x_0" localSheetId="68">'322'!$D$43</definedName>
    <definedName name="OSRRefD22_2x_0" localSheetId="69">'325'!$D$45</definedName>
    <definedName name="OSRRefD22_2x_0" localSheetId="59">'326'!$D$67</definedName>
    <definedName name="OSRRefD22_2x_0" localSheetId="52">'330'!$D$59</definedName>
    <definedName name="OSRRefD22_2x_0" localSheetId="57">'331'!$D$101</definedName>
    <definedName name="OSRRefD22_2x_0" localSheetId="60">'332'!$D$52</definedName>
    <definedName name="OSRRefD22_2x_0" localSheetId="74">'405'!$D$43</definedName>
    <definedName name="OSRRefD22_2x_0" localSheetId="75">'406'!$D$24</definedName>
    <definedName name="OSRRefD22_2x_0" localSheetId="76">'411'!$D$41</definedName>
    <definedName name="OSRRefD22_2x_0" localSheetId="77">'412'!$D$42</definedName>
    <definedName name="OSRRefD22_2x_0" localSheetId="78">'413'!$D$44</definedName>
    <definedName name="OSRRefD22_2x_0" localSheetId="79">'414'!$D$45</definedName>
    <definedName name="OSRRefD22_2x_0" localSheetId="80">'415'!$D$48</definedName>
    <definedName name="OSRRefD22_2x_0" localSheetId="81">'418'!$D$43</definedName>
    <definedName name="OSRRefD22_2x_0" localSheetId="83">'423'!$D$40</definedName>
    <definedName name="OSRRefD22_2x_0" localSheetId="84">'424'!$D$24</definedName>
    <definedName name="OSRRefD22_2x_0" localSheetId="85">'425'!$D$28</definedName>
    <definedName name="OSRRefD22_2x_0" localSheetId="88">'430'!$D$41</definedName>
    <definedName name="OSRRefD22_2x_0" localSheetId="89">'433'!$D$49</definedName>
    <definedName name="OSRRefD22_2x_0" localSheetId="91">'444'!$D$49</definedName>
    <definedName name="OSRRefD22_2x_0" localSheetId="92">'450'!$D$45</definedName>
    <definedName name="OSRRefD22_2x_0" localSheetId="73">'491'!$D$50</definedName>
    <definedName name="OSRRefD22_2x_0" localSheetId="87">'492'!$D$49</definedName>
    <definedName name="OSRRefD22_2x_0" localSheetId="94">'501'!$D$43</definedName>
    <definedName name="OSRRefD22_2x_0" localSheetId="39">'Div 2'!$D$44</definedName>
    <definedName name="OSRRefD22_2x_0" localSheetId="48">'Div 3'!$D$142</definedName>
    <definedName name="OSRRefD22_2x_0" localSheetId="71">'Div 4'!$D$53</definedName>
    <definedName name="OSRRefD22_2x_0" localSheetId="93">'Div 5'!$D$43</definedName>
    <definedName name="OSRRefD22_2x_0" localSheetId="62">'Div 6'!$D$72</definedName>
    <definedName name="OSRRefD22_2x_0" localSheetId="2">Summary!$D$170</definedName>
    <definedName name="OSRRefD22_3x_0" localSheetId="40">'200'!$D$26</definedName>
    <definedName name="OSRRefD22_3x_0" localSheetId="41">'201'!$D$44</definedName>
    <definedName name="OSRRefD22_3x_0" localSheetId="42">'202'!$D$44</definedName>
    <definedName name="OSRRefD22_3x_0" localSheetId="43">'203'!$D$44</definedName>
    <definedName name="OSRRefD22_3x_0" localSheetId="44">'204'!$D$44:$D$45</definedName>
    <definedName name="OSRRefD22_3x_0" localSheetId="45">'205'!$D$43</definedName>
    <definedName name="OSRRefD22_3x_0" localSheetId="46">'206'!$D$43</definedName>
    <definedName name="OSRRefD22_3x_0" localSheetId="49">'300'!$D$140:$D$141</definedName>
    <definedName name="OSRRefD22_3x_0" localSheetId="50">'300 &amp; 317'!$D$163:$D$164</definedName>
    <definedName name="OSRRefD22_3x_0" localSheetId="51">'301'!$D$44:$D$45</definedName>
    <definedName name="OSRRefD22_3x_0" localSheetId="53">'307'!$D$61</definedName>
    <definedName name="OSRRefD22_3x_0" localSheetId="54">'308'!$D$80:$D$81</definedName>
    <definedName name="OSRRefD22_3x_0" localSheetId="65">'309'!$D$44</definedName>
    <definedName name="OSRRefD22_3x_0" localSheetId="64">'310'!$D$51</definedName>
    <definedName name="OSRRefD22_3x_0" localSheetId="72">'310 &amp; 491'!$D$55</definedName>
    <definedName name="OSRRefD22_3x_0" localSheetId="55">'311'!$D$79:$D$80</definedName>
    <definedName name="OSRRefD22_3x_0" localSheetId="66">'313'!$D$46</definedName>
    <definedName name="OSRRefD22_3x_0" localSheetId="58">'315'!$D$103</definedName>
    <definedName name="OSRRefD22_3x_0" localSheetId="61">'316'!$D$54</definedName>
    <definedName name="OSRRefD22_3x_0" localSheetId="63">'317'!$D$74</definedName>
    <definedName name="OSRRefD22_3x_0" localSheetId="67">'321'!$D$48</definedName>
    <definedName name="OSRRefD22_3x_0" localSheetId="68">'322'!$D$45</definedName>
    <definedName name="OSRRefD22_3x_0" localSheetId="69">'325'!$D$47</definedName>
    <definedName name="OSRRefD22_3x_0" localSheetId="59">'326'!$D$69</definedName>
    <definedName name="OSRRefD22_3x_0" localSheetId="52">'330'!$D$61</definedName>
    <definedName name="OSRRefD22_3x_0" localSheetId="57">'331'!$D$103</definedName>
    <definedName name="OSRRefD22_3x_0" localSheetId="60">'332'!$D$54</definedName>
    <definedName name="OSRRefD22_3x_0" localSheetId="74">'405'!$D$45</definedName>
    <definedName name="OSRRefD22_3x_0" localSheetId="75">'406'!$D$26</definedName>
    <definedName name="OSRRefD22_3x_0" localSheetId="76">'411'!$D$43</definedName>
    <definedName name="OSRRefD22_3x_0" localSheetId="77">'412'!$D$44</definedName>
    <definedName name="OSRRefD22_3x_0" localSheetId="78">'413'!$D$46</definedName>
    <definedName name="OSRRefD22_3x_0" localSheetId="79">'414'!$D$47</definedName>
    <definedName name="OSRRefD22_3x_0" localSheetId="80">'415'!$D$50</definedName>
    <definedName name="OSRRefD22_3x_0" localSheetId="81">'418'!$D$45</definedName>
    <definedName name="OSRRefD22_3x_0" localSheetId="83">'423'!$D$42:$D$43</definedName>
    <definedName name="OSRRefD22_3x_0" localSheetId="84">'424'!$D$26</definedName>
    <definedName name="OSRRefD22_3x_0" localSheetId="85">'425'!$D$30</definedName>
    <definedName name="OSRRefD22_3x_0" localSheetId="88">'430'!$D$43</definedName>
    <definedName name="OSRRefD22_3x_0" localSheetId="89">'433'!$D$51</definedName>
    <definedName name="OSRRefD22_3x_0" localSheetId="91">'444'!$D$51</definedName>
    <definedName name="OSRRefD22_3x_0" localSheetId="92">'450'!$D$47</definedName>
    <definedName name="OSRRefD22_3x_0" localSheetId="73">'491'!$D$52</definedName>
    <definedName name="OSRRefD22_3x_0" localSheetId="87">'492'!$D$51</definedName>
    <definedName name="OSRRefD22_3x_0" localSheetId="94">'501'!$D$45</definedName>
    <definedName name="OSRRefD22_3x_0" localSheetId="39">'Div 2'!$D$46</definedName>
    <definedName name="OSRRefD22_3x_0" localSheetId="48">'Div 3'!$D$144:$D$145</definedName>
    <definedName name="OSRRefD22_3x_0" localSheetId="71">'Div 4'!$D$55</definedName>
    <definedName name="OSRRefD22_3x_0" localSheetId="93">'Div 5'!$D$45</definedName>
    <definedName name="OSRRefD22_3x_0" localSheetId="62">'Div 6'!$D$74</definedName>
    <definedName name="OSRRefD22_3x_0" localSheetId="2">Summary!$D$172:$D$173</definedName>
    <definedName name="OSRRefD22_4x_0" localSheetId="40">'200'!$D$28:$D$29</definedName>
    <definedName name="OSRRefD22_4x_0" localSheetId="41">'201'!$D$46</definedName>
    <definedName name="OSRRefD22_4x_0" localSheetId="42">'202'!$D$46:$D$47</definedName>
    <definedName name="OSRRefD22_4x_0" localSheetId="43">'203'!$D$46</definedName>
    <definedName name="OSRRefD22_4x_0" localSheetId="44">'204'!$D$47</definedName>
    <definedName name="OSRRefD22_4x_0" localSheetId="45">'205'!$D$45:$D$46</definedName>
    <definedName name="OSRRefD22_4x_0" localSheetId="46">'206'!$D$45</definedName>
    <definedName name="OSRRefD22_4x_0" localSheetId="49">'300'!$D$143</definedName>
    <definedName name="OSRRefD22_4x_0" localSheetId="50">'300 &amp; 317'!$D$166</definedName>
    <definedName name="OSRRefD22_4x_0" localSheetId="51">'301'!$D$47</definedName>
    <definedName name="OSRRefD22_4x_0" localSheetId="53">'307'!$D$63</definedName>
    <definedName name="OSRRefD22_4x_0" localSheetId="54">'308'!$D$83</definedName>
    <definedName name="OSRRefD22_4x_0" localSheetId="65">'309'!$D$46</definedName>
    <definedName name="OSRRefD22_4x_0" localSheetId="64">'310'!$D$53</definedName>
    <definedName name="OSRRefD22_4x_0" localSheetId="72">'310 &amp; 491'!$D$57</definedName>
    <definedName name="OSRRefD22_4x_0" localSheetId="55">'311'!$D$82</definedName>
    <definedName name="OSRRefD22_4x_0" localSheetId="66">'313'!$D$48</definedName>
    <definedName name="OSRRefD22_4x_0" localSheetId="58">'315'!$D$105</definedName>
    <definedName name="OSRRefD22_4x_0" localSheetId="61">'316'!$D$56</definedName>
    <definedName name="OSRRefD22_4x_0" localSheetId="63">'317'!$D$76</definedName>
    <definedName name="OSRRefD22_4x_0" localSheetId="67">'321'!$D$50</definedName>
    <definedName name="OSRRefD22_4x_0" localSheetId="68">'322'!$D$47</definedName>
    <definedName name="OSRRefD22_4x_0" localSheetId="69">'325'!$D$49</definedName>
    <definedName name="OSRRefD22_4x_0" localSheetId="59">'326'!$D$71</definedName>
    <definedName name="OSRRefD22_4x_0" localSheetId="52">'330'!$D$63</definedName>
    <definedName name="OSRRefD22_4x_0" localSheetId="57">'331'!$D$105</definedName>
    <definedName name="OSRRefD22_4x_0" localSheetId="60">'332'!$D$56</definedName>
    <definedName name="OSRRefD22_4x_0" localSheetId="74">'405'!$D$47:$D$48</definedName>
    <definedName name="OSRRefD22_4x_0" localSheetId="75">'406'!$D$28</definedName>
    <definedName name="OSRRefD22_4x_0" localSheetId="76">'411'!$D$45:$D$46</definedName>
    <definedName name="OSRRefD22_4x_0" localSheetId="77">'412'!$D$46:$D$47</definedName>
    <definedName name="OSRRefD22_4x_0" localSheetId="78">'413'!$D$48</definedName>
    <definedName name="OSRRefD22_4x_0" localSheetId="79">'414'!$D$49</definedName>
    <definedName name="OSRRefD22_4x_0" localSheetId="80">'415'!$D$52</definedName>
    <definedName name="OSRRefD22_4x_0" localSheetId="81">'418'!$D$47:$D$48</definedName>
    <definedName name="OSRRefD22_4x_0" localSheetId="83">'423'!$D$45</definedName>
    <definedName name="OSRRefD22_4x_0" localSheetId="85">'425'!$D$32:$D$33</definedName>
    <definedName name="OSRRefD22_4x_0" localSheetId="88">'430'!$D$45:$D$47</definedName>
    <definedName name="OSRRefD22_4x_0" localSheetId="89">'433'!$D$53</definedName>
    <definedName name="OSRRefD22_4x_0" localSheetId="91">'444'!$D$53</definedName>
    <definedName name="OSRRefD22_4x_0" localSheetId="92">'450'!$D$49</definedName>
    <definedName name="OSRRefD22_4x_0" localSheetId="73">'491'!$D$54</definedName>
    <definedName name="OSRRefD22_4x_0" localSheetId="87">'492'!$D$53</definedName>
    <definedName name="OSRRefD22_4x_0" localSheetId="94">'501'!$D$47</definedName>
    <definedName name="OSRRefD22_4x_0" localSheetId="39">'Div 2'!$D$48</definedName>
    <definedName name="OSRRefD22_4x_0" localSheetId="48">'Div 3'!$D$147</definedName>
    <definedName name="OSRRefD22_4x_0" localSheetId="71">'Div 4'!$D$57</definedName>
    <definedName name="OSRRefD22_4x_0" localSheetId="93">'Div 5'!$D$47</definedName>
    <definedName name="OSRRefD22_4x_0" localSheetId="62">'Div 6'!$D$76</definedName>
    <definedName name="OSRRefD22_4x_0" localSheetId="2">Summary!$D$175</definedName>
    <definedName name="OSRRefD22_5x_0" localSheetId="41">'201'!$D$48</definedName>
    <definedName name="OSRRefD22_5x_0" localSheetId="42">'202'!$D$49</definedName>
    <definedName name="OSRRefD22_5x_0" localSheetId="43">'203'!$D$48</definedName>
    <definedName name="OSRRefD22_5x_0" localSheetId="44">'204'!$D$49</definedName>
    <definedName name="OSRRefD22_5x_0" localSheetId="45">'205'!$D$48</definedName>
    <definedName name="OSRRefD22_5x_0" localSheetId="46">'206'!$D$47</definedName>
    <definedName name="OSRRefD22_5x_0" localSheetId="49">'300'!$D$145:$D$146</definedName>
    <definedName name="OSRRefD22_5x_0" localSheetId="50">'300 &amp; 317'!$D$168:$D$169</definedName>
    <definedName name="OSRRefD22_5x_0" localSheetId="51">'301'!$D$49:$D$50</definedName>
    <definedName name="OSRRefD22_5x_0" localSheetId="53">'307'!$D$65:$D$66</definedName>
    <definedName name="OSRRefD22_5x_0" localSheetId="54">'308'!$D$85</definedName>
    <definedName name="OSRRefD22_5x_0" localSheetId="65">'309'!$D$48</definedName>
    <definedName name="OSRRefD22_5x_0" localSheetId="64">'310'!$D$55:$D$56</definedName>
    <definedName name="OSRRefD22_5x_0" localSheetId="72">'310 &amp; 491'!$D$59:$D$61</definedName>
    <definedName name="OSRRefD22_5x_0" localSheetId="55">'311'!$D$84</definedName>
    <definedName name="OSRRefD22_5x_0" localSheetId="66">'313'!$D$50</definedName>
    <definedName name="OSRRefD22_5x_0" localSheetId="58">'315'!$D$107</definedName>
    <definedName name="OSRRefD22_5x_0" localSheetId="61">'316'!$D$58</definedName>
    <definedName name="OSRRefD22_5x_0" localSheetId="63">'317'!$D$78</definedName>
    <definedName name="OSRRefD22_5x_0" localSheetId="67">'321'!$D$52</definedName>
    <definedName name="OSRRefD22_5x_0" localSheetId="68">'322'!$D$49</definedName>
    <definedName name="OSRRefD22_5x_0" localSheetId="69">'325'!$D$51:$D$52</definedName>
    <definedName name="OSRRefD22_5x_0" localSheetId="59">'326'!$D$73</definedName>
    <definedName name="OSRRefD22_5x_0" localSheetId="52">'330'!$D$65:$D$66</definedName>
    <definedName name="OSRRefD22_5x_0" localSheetId="57">'331'!$D$107</definedName>
    <definedName name="OSRRefD22_5x_0" localSheetId="60">'332'!$D$58</definedName>
    <definedName name="OSRRefD22_5x_0" localSheetId="74">'405'!$D$50</definedName>
    <definedName name="OSRRefD22_5x_0" localSheetId="76">'411'!$D$48</definedName>
    <definedName name="OSRRefD22_5x_0" localSheetId="77">'412'!$D$49</definedName>
    <definedName name="OSRRefD22_5x_0" localSheetId="78">'413'!$D$50</definedName>
    <definedName name="OSRRefD22_5x_0" localSheetId="79">'414'!$D$51</definedName>
    <definedName name="OSRRefD22_5x_0" localSheetId="80">'415'!$D$54:$D$55</definedName>
    <definedName name="OSRRefD22_5x_0" localSheetId="81">'418'!$D$50</definedName>
    <definedName name="OSRRefD22_5x_0" localSheetId="83">'423'!$D$47</definedName>
    <definedName name="OSRRefD22_5x_0" localSheetId="85">'425'!$D$35</definedName>
    <definedName name="OSRRefD22_5x_0" localSheetId="88">'430'!$D$49:$D$50</definedName>
    <definedName name="OSRRefD22_5x_0" localSheetId="89">'433'!$D$55</definedName>
    <definedName name="OSRRefD22_5x_0" localSheetId="91">'444'!$D$55</definedName>
    <definedName name="OSRRefD22_5x_0" localSheetId="92">'450'!$D$51</definedName>
    <definedName name="OSRRefD22_5x_0" localSheetId="73">'491'!$D$56:$D$58</definedName>
    <definedName name="OSRRefD22_5x_0" localSheetId="87">'492'!$D$55</definedName>
    <definedName name="OSRRefD22_5x_0" localSheetId="94">'501'!$D$49:$D$50</definedName>
    <definedName name="OSRRefD22_5x_0" localSheetId="39">'Div 2'!$D$50:$D$51</definedName>
    <definedName name="OSRRefD22_5x_0" localSheetId="48">'Div 3'!$D$149:$D$150</definedName>
    <definedName name="OSRRefD22_5x_0" localSheetId="71">'Div 4'!$D$59:$D$61</definedName>
    <definedName name="OSRRefD22_5x_0" localSheetId="93">'Div 5'!$D$49:$D$50</definedName>
    <definedName name="OSRRefD22_5x_0" localSheetId="62">'Div 6'!$D$78</definedName>
    <definedName name="OSRRefD22_5x_0" localSheetId="2">Summary!$D$177:$D$179</definedName>
    <definedName name="OSRRefD22_6x_0" localSheetId="41">'201'!$D$50</definedName>
    <definedName name="OSRRefD22_6x_0" localSheetId="42">'202'!$D$51</definedName>
    <definedName name="OSRRefD22_6x_0" localSheetId="43">'203'!$D$50</definedName>
    <definedName name="OSRRefD22_6x_0" localSheetId="44">'204'!$D$51</definedName>
    <definedName name="OSRRefD22_6x_0" localSheetId="45">'205'!$D$50:$D$52</definedName>
    <definedName name="OSRRefD22_6x_0" localSheetId="46">'206'!$D$49</definedName>
    <definedName name="OSRRefD22_6x_0" localSheetId="49">'300'!$D$148:$D$149</definedName>
    <definedName name="OSRRefD22_6x_0" localSheetId="50">'300 &amp; 317'!$D$171:$D$172</definedName>
    <definedName name="OSRRefD22_6x_0" localSheetId="51">'301'!$D$52</definedName>
    <definedName name="OSRRefD22_6x_0" localSheetId="53">'307'!$D$68</definedName>
    <definedName name="OSRRefD22_6x_0" localSheetId="54">'308'!$D$87:$D$88</definedName>
    <definedName name="OSRRefD22_6x_0" localSheetId="65">'309'!$D$50</definedName>
    <definedName name="OSRRefD22_6x_0" localSheetId="64">'310'!$D$58</definedName>
    <definedName name="OSRRefD22_6x_0" localSheetId="72">'310 &amp; 491'!$D$63</definedName>
    <definedName name="OSRRefD22_6x_0" localSheetId="55">'311'!$D$86:$D$87</definedName>
    <definedName name="OSRRefD22_6x_0" localSheetId="66">'313'!$D$52:$D$53</definedName>
    <definedName name="OSRRefD22_6x_0" localSheetId="58">'315'!$D$109</definedName>
    <definedName name="OSRRefD22_6x_0" localSheetId="61">'316'!$D$60:$D$61</definedName>
    <definedName name="OSRRefD22_6x_0" localSheetId="63">'317'!$D$80:$D$81</definedName>
    <definedName name="OSRRefD22_6x_0" localSheetId="67">'321'!$D$54</definedName>
    <definedName name="OSRRefD22_6x_0" localSheetId="68">'322'!$D$51</definedName>
    <definedName name="OSRRefD22_6x_0" localSheetId="69">'325'!$D$54</definedName>
    <definedName name="OSRRefD22_6x_0" localSheetId="59">'326'!$D$75</definedName>
    <definedName name="OSRRefD22_6x_0" localSheetId="52">'330'!$D$68</definedName>
    <definedName name="OSRRefD22_6x_0" localSheetId="57">'331'!$D$109</definedName>
    <definedName name="OSRRefD22_6x_0" localSheetId="60">'332'!$D$60:$D$61</definedName>
    <definedName name="OSRRefD22_6x_0" localSheetId="74">'405'!$D$52</definedName>
    <definedName name="OSRRefD22_6x_0" localSheetId="76">'411'!$D$50</definedName>
    <definedName name="OSRRefD22_6x_0" localSheetId="77">'412'!$D$51</definedName>
    <definedName name="OSRRefD22_6x_0" localSheetId="78">'413'!$D$52</definedName>
    <definedName name="OSRRefD22_6x_0" localSheetId="79">'414'!$D$53</definedName>
    <definedName name="OSRRefD22_6x_0" localSheetId="80">'415'!$D$57</definedName>
    <definedName name="OSRRefD22_6x_0" localSheetId="81">'418'!$D$52</definedName>
    <definedName name="OSRRefD22_6x_0" localSheetId="83">'423'!$D$49</definedName>
    <definedName name="OSRRefD22_6x_0" localSheetId="88">'430'!$D$52</definedName>
    <definedName name="OSRRefD22_6x_0" localSheetId="89">'433'!$D$57</definedName>
    <definedName name="OSRRefD22_6x_0" localSheetId="91">'444'!$D$57</definedName>
    <definedName name="OSRRefD22_6x_0" localSheetId="92">'450'!$D$53</definedName>
    <definedName name="OSRRefD22_6x_0" localSheetId="73">'491'!$D$60</definedName>
    <definedName name="OSRRefD22_6x_0" localSheetId="87">'492'!$D$57</definedName>
    <definedName name="OSRRefD22_6x_0" localSheetId="94">'501'!$D$52</definedName>
    <definedName name="OSRRefD22_6x_0" localSheetId="39">'Div 2'!$D$53</definedName>
    <definedName name="OSRRefD22_6x_0" localSheetId="48">'Div 3'!$D$152:$D$153</definedName>
    <definedName name="OSRRefD22_6x_0" localSheetId="71">'Div 4'!$D$63</definedName>
    <definedName name="OSRRefD22_6x_0" localSheetId="93">'Div 5'!$D$52</definedName>
    <definedName name="OSRRefD22_6x_0" localSheetId="62">'Div 6'!$D$80:$D$81</definedName>
    <definedName name="OSRRefD22_6x_0" localSheetId="2">Summary!$D$181:$D$182</definedName>
    <definedName name="OSRRefD22_7x_0" localSheetId="41">'201'!$D$52</definedName>
    <definedName name="OSRRefD22_7x_0" localSheetId="42">'202'!$D$53:$D$54</definedName>
    <definedName name="OSRRefD22_7x_0" localSheetId="43">'203'!$D$52:$D$53</definedName>
    <definedName name="OSRRefD22_7x_0" localSheetId="44">'204'!$D$53:$D$55</definedName>
    <definedName name="OSRRefD22_7x_0" localSheetId="45">'205'!$D$54</definedName>
    <definedName name="OSRRefD22_7x_0" localSheetId="46">'206'!$D$51</definedName>
    <definedName name="OSRRefD22_7x_0" localSheetId="49">'300'!$D$151:$D$152</definedName>
    <definedName name="OSRRefD22_7x_0" localSheetId="50">'300 &amp; 317'!$D$174:$D$175</definedName>
    <definedName name="OSRRefD22_7x_0" localSheetId="51">'301'!$D$54</definedName>
    <definedName name="OSRRefD22_7x_0" localSheetId="53">'307'!$D$70</definedName>
    <definedName name="OSRRefD22_7x_0" localSheetId="54">'308'!$D$90:$D$91</definedName>
    <definedName name="OSRRefD22_7x_0" localSheetId="65">'309'!$D$52:$D$53</definedName>
    <definedName name="OSRRefD22_7x_0" localSheetId="64">'310'!$D$60</definedName>
    <definedName name="OSRRefD22_7x_0" localSheetId="72">'310 &amp; 491'!$D$65</definedName>
    <definedName name="OSRRefD22_7x_0" localSheetId="55">'311'!$D$89:$D$90</definedName>
    <definedName name="OSRRefD22_7x_0" localSheetId="66">'313'!$D$55</definedName>
    <definedName name="OSRRefD22_7x_0" localSheetId="58">'315'!$D$111:$D$112</definedName>
    <definedName name="OSRRefD22_7x_0" localSheetId="61">'316'!$D$63:$D$64</definedName>
    <definedName name="OSRRefD22_7x_0" localSheetId="63">'317'!$D$83</definedName>
    <definedName name="OSRRefD22_7x_0" localSheetId="67">'321'!$D$56:$D$57</definedName>
    <definedName name="OSRRefD22_7x_0" localSheetId="68">'322'!$D$53:$D$54</definedName>
    <definedName name="OSRRefD22_7x_0" localSheetId="69">'325'!$D$56</definedName>
    <definedName name="OSRRefD22_7x_0" localSheetId="59">'326'!$D$77</definedName>
    <definedName name="OSRRefD22_7x_0" localSheetId="52">'330'!$D$70</definedName>
    <definedName name="OSRRefD22_7x_0" localSheetId="57">'331'!$D$111</definedName>
    <definedName name="OSRRefD22_7x_0" localSheetId="60">'332'!$D$63:$D$64</definedName>
    <definedName name="OSRRefD22_7x_0" localSheetId="74">'405'!$D$54</definedName>
    <definedName name="OSRRefD22_7x_0" localSheetId="76">'411'!$D$52</definedName>
    <definedName name="OSRRefD22_7x_0" localSheetId="77">'412'!$D$53</definedName>
    <definedName name="OSRRefD22_7x_0" localSheetId="78">'413'!$D$54</definedName>
    <definedName name="OSRRefD22_7x_0" localSheetId="79">'414'!$D$55</definedName>
    <definedName name="OSRRefD22_7x_0" localSheetId="80">'415'!$D$59</definedName>
    <definedName name="OSRRefD22_7x_0" localSheetId="81">'418'!$D$54</definedName>
    <definedName name="OSRRefD22_7x_0" localSheetId="88">'430'!$D$54</definedName>
    <definedName name="OSRRefD22_7x_0" localSheetId="89">'433'!$D$59</definedName>
    <definedName name="OSRRefD22_7x_0" localSheetId="91">'444'!$D$59</definedName>
    <definedName name="OSRRefD22_7x_0" localSheetId="92">'450'!$D$55</definedName>
    <definedName name="OSRRefD22_7x_0" localSheetId="73">'491'!$D$62</definedName>
    <definedName name="OSRRefD22_7x_0" localSheetId="87">'492'!$D$59</definedName>
    <definedName name="OSRRefD22_7x_0" localSheetId="94">'501'!$D$54</definedName>
    <definedName name="OSRRefD22_7x_0" localSheetId="39">'Div 2'!$D$55</definedName>
    <definedName name="OSRRefD22_7x_0" localSheetId="48">'Div 3'!$D$155:$D$156</definedName>
    <definedName name="OSRRefD22_7x_0" localSheetId="71">'Div 4'!$D$65</definedName>
    <definedName name="OSRRefD22_7x_0" localSheetId="93">'Div 5'!$D$54</definedName>
    <definedName name="OSRRefD22_7x_0" localSheetId="62">'Div 6'!$D$83</definedName>
    <definedName name="OSRRefD22_7x_0" localSheetId="2">Summary!$D$184:$D$185</definedName>
    <definedName name="OSRRefD22_8x_0" localSheetId="41">'201'!$D$54</definedName>
    <definedName name="OSRRefD22_8x_0" localSheetId="42">'202'!$D$56</definedName>
    <definedName name="OSRRefD22_8x_0" localSheetId="43">'203'!$D$55:$D$57</definedName>
    <definedName name="OSRRefD22_8x_0" localSheetId="44">'204'!$D$57:$D$58</definedName>
    <definedName name="OSRRefD22_8x_0" localSheetId="46">'206'!$D$53:$D$54</definedName>
    <definedName name="OSRRefD22_8x_0" localSheetId="49">'300'!$D$154</definedName>
    <definedName name="OSRRefD22_8x_0" localSheetId="50">'300 &amp; 317'!$D$177</definedName>
    <definedName name="OSRRefD22_8x_0" localSheetId="51">'301'!$D$56</definedName>
    <definedName name="OSRRefD22_8x_0" localSheetId="53">'307'!$D$72</definedName>
    <definedName name="OSRRefD22_8x_0" localSheetId="54">'308'!$D$93</definedName>
    <definedName name="OSRRefD22_8x_0" localSheetId="65">'309'!$D$55:$D$56</definedName>
    <definedName name="OSRRefD22_8x_0" localSheetId="64">'310'!$D$62</definedName>
    <definedName name="OSRRefD22_8x_0" localSheetId="72">'310 &amp; 491'!$D$67:$D$68</definedName>
    <definedName name="OSRRefD22_8x_0" localSheetId="55">'311'!$D$92</definedName>
    <definedName name="OSRRefD22_8x_0" localSheetId="66">'313'!$D$57:$D$59</definedName>
    <definedName name="OSRRefD22_8x_0" localSheetId="58">'315'!$D$114</definedName>
    <definedName name="OSRRefD22_8x_0" localSheetId="61">'316'!$D$66</definedName>
    <definedName name="OSRRefD22_8x_0" localSheetId="63">'317'!$D$85</definedName>
    <definedName name="OSRRefD22_8x_0" localSheetId="67">'321'!$D$59:$D$60</definedName>
    <definedName name="OSRRefD22_8x_0" localSheetId="68">'322'!$D$56:$D$57</definedName>
    <definedName name="OSRRefD22_8x_0" localSheetId="69">'325'!$D$58</definedName>
    <definedName name="OSRRefD22_8x_0" localSheetId="59">'326'!$D$79:$D$80</definedName>
    <definedName name="OSRRefD22_8x_0" localSheetId="52">'330'!$D$72</definedName>
    <definedName name="OSRRefD22_8x_0" localSheetId="57">'331'!$D$113:$D$114</definedName>
    <definedName name="OSRRefD22_8x_0" localSheetId="60">'332'!$D$66</definedName>
    <definedName name="OSRRefD22_8x_0" localSheetId="74">'405'!$D$56</definedName>
    <definedName name="OSRRefD22_8x_0" localSheetId="76">'411'!$D$54</definedName>
    <definedName name="OSRRefD22_8x_0" localSheetId="77">'412'!$D$55:$D$56</definedName>
    <definedName name="OSRRefD22_8x_0" localSheetId="78">'413'!$D$56:$D$59</definedName>
    <definedName name="OSRRefD22_8x_0" localSheetId="79">'414'!$D$57:$D$58</definedName>
    <definedName name="OSRRefD22_8x_0" localSheetId="80">'415'!$D$61</definedName>
    <definedName name="OSRRefD22_8x_0" localSheetId="81">'418'!$D$56:$D$58</definedName>
    <definedName name="OSRRefD22_8x_0" localSheetId="89">'433'!$D$61</definedName>
    <definedName name="OSRRefD22_8x_0" localSheetId="91">'444'!$D$61</definedName>
    <definedName name="OSRRefD22_8x_0" localSheetId="92">'450'!$D$57</definedName>
    <definedName name="OSRRefD22_8x_0" localSheetId="73">'491'!$D$64</definedName>
    <definedName name="OSRRefD22_8x_0" localSheetId="87">'492'!$D$61</definedName>
    <definedName name="OSRRefD22_8x_0" localSheetId="94">'501'!$D$56</definedName>
    <definedName name="OSRRefD22_8x_0" localSheetId="39">'Div 2'!$D$57</definedName>
    <definedName name="OSRRefD22_8x_0" localSheetId="48">'Div 3'!$D$158</definedName>
    <definedName name="OSRRefD22_8x_0" localSheetId="71">'Div 4'!$D$67</definedName>
    <definedName name="OSRRefD22_8x_0" localSheetId="93">'Div 5'!$D$56</definedName>
    <definedName name="OSRRefD22_8x_0" localSheetId="62">'Div 6'!$D$85</definedName>
    <definedName name="OSRRefD22_8x_0" localSheetId="2">Summary!$D$187</definedName>
    <definedName name="OSRRefD22_9x_0" localSheetId="41">'201'!$D$56</definedName>
    <definedName name="OSRRefD22_9x_0" localSheetId="42">'202'!$D$58:$D$60</definedName>
    <definedName name="OSRRefD22_9x_0" localSheetId="43">'203'!$D$59:$D$60</definedName>
    <definedName name="OSRRefD22_9x_0" localSheetId="44">'204'!$D$60</definedName>
    <definedName name="OSRRefD22_9x_0" localSheetId="46">'206'!$D$56</definedName>
    <definedName name="OSRRefD22_9x_0" localSheetId="49">'300'!$D$156</definedName>
    <definedName name="OSRRefD22_9x_0" localSheetId="50">'300 &amp; 317'!$D$179</definedName>
    <definedName name="OSRRefD22_9x_0" localSheetId="51">'301'!$D$58</definedName>
    <definedName name="OSRRefD22_9x_0" localSheetId="53">'307'!$D$74:$D$75</definedName>
    <definedName name="OSRRefD22_9x_0" localSheetId="54">'308'!$D$95:$D$96</definedName>
    <definedName name="OSRRefD22_9x_0" localSheetId="65">'309'!$D$58:$D$60</definedName>
    <definedName name="OSRRefD22_9x_0" localSheetId="64">'310'!$D$64</definedName>
    <definedName name="OSRRefD22_9x_0" localSheetId="72">'310 &amp; 491'!$D$70</definedName>
    <definedName name="OSRRefD22_9x_0" localSheetId="55">'311'!$D$94:$D$95</definedName>
    <definedName name="OSRRefD22_9x_0" localSheetId="66">'313'!$D$61:$D$62</definedName>
    <definedName name="OSRRefD22_9x_0" localSheetId="58">'315'!$D$116</definedName>
    <definedName name="OSRRefD22_9x_0" localSheetId="61">'316'!$D$68:$D$72</definedName>
    <definedName name="OSRRefD22_9x_0" localSheetId="63">'317'!$D$87</definedName>
    <definedName name="OSRRefD22_9x_0" localSheetId="67">'321'!$D$62:$D$63</definedName>
    <definedName name="OSRRefD22_9x_0" localSheetId="68">'322'!$D$59:$D$62</definedName>
    <definedName name="OSRRefD22_9x_0" localSheetId="69">'325'!$D$60</definedName>
    <definedName name="OSRRefD22_9x_0" localSheetId="59">'326'!$D$82</definedName>
    <definedName name="OSRRefD22_9x_0" localSheetId="52">'330'!$D$74:$D$75</definedName>
    <definedName name="OSRRefD22_9x_0" localSheetId="57">'331'!$D$116:$D$117</definedName>
    <definedName name="OSRRefD22_9x_0" localSheetId="60">'332'!$D$68:$D$72</definedName>
    <definedName name="OSRRefD22_9x_0" localSheetId="74">'405'!$D$58:$D$59</definedName>
    <definedName name="OSRRefD22_9x_0" localSheetId="76">'411'!$D$56:$D$57</definedName>
    <definedName name="OSRRefD22_9x_0" localSheetId="77">'412'!$D$58</definedName>
    <definedName name="OSRRefD22_9x_0" localSheetId="78">'413'!$D$61:$D$62</definedName>
    <definedName name="OSRRefD22_9x_0" localSheetId="79">'414'!$D$60</definedName>
    <definedName name="OSRRefD22_9x_0" localSheetId="80">'415'!$D$63</definedName>
    <definedName name="OSRRefD22_9x_0" localSheetId="81">'418'!$D$60:$D$61</definedName>
    <definedName name="OSRRefD22_9x_0" localSheetId="89">'433'!$D$63</definedName>
    <definedName name="OSRRefD22_9x_0" localSheetId="91">'444'!$D$63</definedName>
    <definedName name="OSRRefD22_9x_0" localSheetId="92">'450'!$D$59</definedName>
    <definedName name="OSRRefD22_9x_0" localSheetId="73">'491'!$D$66</definedName>
    <definedName name="OSRRefD22_9x_0" localSheetId="87">'492'!$D$63</definedName>
    <definedName name="OSRRefD22_9x_0" localSheetId="94">'501'!$D$58:$D$61</definedName>
    <definedName name="OSRRefD22_9x_0" localSheetId="39">'Div 2'!$D$59:$D$60</definedName>
    <definedName name="OSRRefD22_9x_0" localSheetId="48">'Div 3'!$D$160</definedName>
    <definedName name="OSRRefD22_9x_0" localSheetId="71">'Div 4'!$D$69</definedName>
    <definedName name="OSRRefD22_9x_0" localSheetId="93">'Div 5'!$D$58:$D$61</definedName>
    <definedName name="OSRRefD22_9x_0" localSheetId="62">'Div 6'!$D$87</definedName>
    <definedName name="OSRRefD22_9x_0" localSheetId="2">Summary!$D$189</definedName>
    <definedName name="OSRRefD22x_0" localSheetId="40">'200'!$D$20,'200'!$D$22,'200'!$D$24,'200'!$D$26,'200'!$D$28:$D$29</definedName>
    <definedName name="OSRRefD22x_0" localSheetId="41">'201'!$D$21:$D$29,'201'!$D$31:$D$40,'201'!$D$42,'201'!$D$44,'201'!$D$46,'201'!$D$48,'201'!$D$50,'201'!$D$52,'201'!$D$54,'201'!$D$56,'201'!$D$58:$D$60,'201'!$D$62,'201'!$D$64,'201'!$D$66:$D$68,'201'!$D$70,'201'!$D$72,'201'!$D$74</definedName>
    <definedName name="OSRRefD22x_0" localSheetId="42">'202'!$D$21:$D$29,'202'!$D$31:$D$40,'202'!$D$42,'202'!$D$44,'202'!$D$46:$D$47,'202'!$D$49,'202'!$D$51,'202'!$D$53:$D$54,'202'!$D$56,'202'!$D$58:$D$60,'202'!$D$62,'202'!$D$64,'202'!$D$66</definedName>
    <definedName name="OSRRefD22x_0" localSheetId="43">'203'!$D$20:$D$29,'203'!$D$31:$D$40,'203'!$D$42,'203'!$D$44,'203'!$D$46,'203'!$D$48,'203'!$D$50,'203'!$D$52:$D$53,'203'!$D$55:$D$57,'203'!$D$59:$D$60,'203'!$D$62,'203'!$D$64:$D$66,'203'!$D$68,'203'!$D$70,'203'!$D$72</definedName>
    <definedName name="OSRRefD22x_0" localSheetId="44">'204'!$D$20:$D$29,'204'!$D$31:$D$40,'204'!$D$42,'204'!$D$44:$D$45,'204'!$D$47,'204'!$D$49,'204'!$D$51,'204'!$D$53:$D$55,'204'!$D$57:$D$58,'204'!$D$60,'204'!$D$62:$D$63,'204'!$D$65,'204'!$D$67</definedName>
    <definedName name="OSRRefD22x_0" localSheetId="45">'205'!$D$20:$D$28,'205'!$D$30:$D$39,'205'!$D$41,'205'!$D$43,'205'!$D$45:$D$46,'205'!$D$48,'205'!$D$50:$D$52,'205'!$D$54</definedName>
    <definedName name="OSRRefD22x_0" localSheetId="46">'206'!$D$20:$D$28,'206'!$D$30:$D$39,'206'!$D$41,'206'!$D$43,'206'!$D$45,'206'!$D$47,'206'!$D$49,'206'!$D$51,'206'!$D$53:$D$54,'206'!$D$56</definedName>
    <definedName name="OSRRefD22x_0" localSheetId="49">'300'!$D$116:$D$125,'300'!$D$127:$D$136,'300'!$D$138,'300'!$D$140:$D$141,'300'!$D$143,'300'!$D$145:$D$146,'300'!$D$148:$D$149,'300'!$D$151:$D$152,'300'!$D$154,'300'!$D$156,'300'!$D$158:$D$159,'300'!$D$161:$D$163,'300'!$D$165,'300'!$D$167,'300'!$D$169,'300'!$D$171,'300'!$D$173:$D$176,'300'!$D$178:$D$181,'300'!$D$183:$D$186,'300'!$D$188:$D$189,'300'!$D$191:$D$199,'300'!$D$201:$D$202,'300'!$D$204,'300'!$D$206:$D$208,'300'!$D$210</definedName>
    <definedName name="OSRRefD22x_0" localSheetId="50">'300 &amp; 317'!$D$139:$D$148,'300 &amp; 317'!$D$150:$D$159,'300 &amp; 317'!$D$161,'300 &amp; 317'!$D$163:$D$164,'300 &amp; 317'!$D$166,'300 &amp; 317'!$D$168:$D$169,'300 &amp; 317'!$D$171:$D$172,'300 &amp; 317'!$D$174:$D$175,'300 &amp; 317'!$D$177,'300 &amp; 317'!$D$179,'300 &amp; 317'!$D$181:$D$182,'300 &amp; 317'!$D$184:$D$186,'300 &amp; 317'!$D$188,'300 &amp; 317'!$D$190,'300 &amp; 317'!$D$192,'300 &amp; 317'!$D$194,'300 &amp; 317'!$D$196:$D$199,'300 &amp; 317'!$D$201:$D$204,'300 &amp; 317'!$D$206:$D$209,'300 &amp; 317'!$D$211:$D$212,'300 &amp; 317'!$D$214:$D$222,'300 &amp; 317'!$D$224:$D$225,'300 &amp; 317'!$D$227,'300 &amp; 317'!$D$229:$D$231,'300 &amp; 317'!$D$233</definedName>
    <definedName name="OSRRefD22x_0" localSheetId="51">'301'!$D$20:$D$29,'301'!$D$31:$D$40,'301'!$D$42,'301'!$D$44:$D$45,'301'!$D$47,'301'!$D$49:$D$50,'301'!$D$52,'301'!$D$54,'301'!$D$56,'301'!$D$58,'301'!$D$60,'301'!$D$62,'301'!$D$64,'301'!$D$66,'301'!$D$68:$D$71,'301'!$D$73:$D$75,'301'!$D$77,'301'!$D$79:$D$85,'301'!$D$87,'301'!$D$89,'301'!$D$91:$D$92,'301'!$D$94</definedName>
    <definedName name="OSRRefD22x_0" localSheetId="53">'307'!$D$39:$D$46,'307'!$D$48:$D$57,'307'!$D$59,'307'!$D$61,'307'!$D$63,'307'!$D$65:$D$66,'307'!$D$68,'307'!$D$70,'307'!$D$72,'307'!$D$74:$D$75,'307'!$D$77:$D$78,'307'!$D$80:$D$83,'307'!$D$85:$D$86,'307'!$D$88</definedName>
    <definedName name="OSRRefD22x_0" localSheetId="54">'308'!$D$56:$D$65,'308'!$D$67:$D$76,'308'!$D$78,'308'!$D$80:$D$81,'308'!$D$83,'308'!$D$85,'308'!$D$87:$D$88,'308'!$D$90:$D$91,'308'!$D$93,'308'!$D$95:$D$96,'308'!$D$98:$D$99,'308'!$D$101:$D$103,'308'!$D$105:$D$106,'308'!$D$108</definedName>
    <definedName name="OSRRefD22x_0" localSheetId="65">'309'!$D$22:$D$29,'309'!$D$31:$D$40,'309'!$D$42,'309'!$D$44,'309'!$D$46,'309'!$D$48,'309'!$D$50,'309'!$D$52:$D$53,'309'!$D$55:$D$56,'309'!$D$58:$D$60,'309'!$D$62</definedName>
    <definedName name="OSRRefD22x_0" localSheetId="64">'310'!$D$28:$D$36,'310'!$D$38:$D$47,'310'!$D$49,'310'!$D$51,'310'!$D$53,'310'!$D$55:$D$56,'310'!$D$58,'310'!$D$60,'310'!$D$62,'310'!$D$64,'310'!$D$66,'310'!$D$68,'310'!$D$70,'310'!$D$72:$D$75,'310'!$D$77:$D$78,'310'!$D$80:$D$83,'310'!$D$85,'310'!$D$87:$D$93,'310'!$D$95:$D$96,'310'!$D$98,'310'!$D$100,'310'!$D$102</definedName>
    <definedName name="OSRRefD22x_0" localSheetId="72">'310 &amp; 491'!$D$32:$D$40,'310 &amp; 491'!$D$42:$D$51,'310 &amp; 491'!$D$53,'310 &amp; 491'!$D$55,'310 &amp; 491'!$D$57,'310 &amp; 491'!$D$59:$D$61,'310 &amp; 491'!$D$63,'310 &amp; 491'!$D$65,'310 &amp; 491'!$D$67:$D$68,'310 &amp; 491'!$D$70,'310 &amp; 491'!$D$72,'310 &amp; 491'!$D$74,'310 &amp; 491'!$D$76,'310 &amp; 491'!$D$78:$D$81,'310 &amp; 491'!$D$83:$D$84,'310 &amp; 491'!$D$86:$D$90,'310 &amp; 491'!$D$92:$D$93,'310 &amp; 491'!$D$95:$D$105,'310 &amp; 491'!$D$107:$D$108,'310 &amp; 491'!$D$110,'310 &amp; 491'!$D$112:$D$114,'310 &amp; 491'!$D$116</definedName>
    <definedName name="OSRRefD22x_0" localSheetId="55">'311'!$D$55:$D$64,'311'!$D$66:$D$75,'311'!$D$77,'311'!$D$79:$D$80,'311'!$D$82,'311'!$D$84,'311'!$D$86:$D$87,'311'!$D$89:$D$90,'311'!$D$92,'311'!$D$94:$D$95,'311'!$D$97:$D$98,'311'!$D$100:$D$102,'311'!$D$104:$D$105,'311'!$D$107</definedName>
    <definedName name="OSRRefD22x_0" localSheetId="66">'313'!$D$23:$D$31,'313'!$D$33:$D$42,'313'!$D$44,'313'!$D$46,'313'!$D$48,'313'!$D$50,'313'!$D$52:$D$53,'313'!$D$55,'313'!$D$57:$D$59,'313'!$D$61:$D$62,'313'!$D$64,'313'!$D$66</definedName>
    <definedName name="OSRRefD22x_0" localSheetId="58">'315'!$D$80:$D$88,'315'!$D$90:$D$99,'315'!$D$101,'315'!$D$103,'315'!$D$105,'315'!$D$107,'315'!$D$109,'315'!$D$111:$D$112,'315'!$D$114,'315'!$D$116,'315'!$D$118,'315'!$D$120,'315'!$D$122:$D$124,'315'!$D$126:$D$127,'315'!$D$129:$D$135,'315'!$D$137,'315'!$D$139,'315'!$D$141:$D$142</definedName>
    <definedName name="OSRRefD22x_0" localSheetId="61">'316'!$D$31:$D$39,'316'!$D$41:$D$50,'316'!$D$52,'316'!$D$54,'316'!$D$56,'316'!$D$58,'316'!$D$60:$D$61,'316'!$D$63:$D$64,'316'!$D$66,'316'!$D$68:$D$72,'316'!$D$74,'316'!$D$76</definedName>
    <definedName name="OSRRefD22x_0" localSheetId="63">'317'!$D$50:$D$59,'317'!$D$61:$D$70,'317'!$D$72,'317'!$D$74,'317'!$D$76,'317'!$D$78,'317'!$D$80:$D$81,'317'!$D$83,'317'!$D$85,'317'!$D$87,'317'!$D$89:$D$91,'317'!$D$93,'317'!$D$95</definedName>
    <definedName name="OSRRefD22x_0" localSheetId="67">'321'!$D$25:$D$33,'321'!$D$35:$D$44,'321'!$D$46,'321'!$D$48,'321'!$D$50,'321'!$D$52,'321'!$D$54,'321'!$D$56:$D$57,'321'!$D$59:$D$60,'321'!$D$62:$D$63,'321'!$D$65:$D$67,'321'!$D$69:$D$70,'321'!$D$72,'321'!$D$74</definedName>
    <definedName name="OSRRefD22x_0" localSheetId="68">'322'!$D$23:$D$30,'322'!$D$32:$D$41,'322'!$D$43,'322'!$D$45,'322'!$D$47,'322'!$D$49,'322'!$D$51,'322'!$D$53:$D$54,'322'!$D$56:$D$57,'322'!$D$59:$D$62,'322'!$D$64,'322'!$D$66</definedName>
    <definedName name="OSRRefD22x_0" localSheetId="56">'324'!$D$27:$D$34,'324'!$D$36:$D$45</definedName>
    <definedName name="OSRRefD22x_0" localSheetId="69">'325'!$D$25:$D$32,'325'!$D$34:$D$43,'325'!$D$45,'325'!$D$47,'325'!$D$49,'325'!$D$51:$D$52,'325'!$D$54,'325'!$D$56,'325'!$D$58,'325'!$D$60,'325'!$D$62,'325'!$D$64:$D$67,'325'!$D$69:$D$71,'325'!$D$73,'325'!$D$75:$D$79,'325'!$D$81:$D$82,'325'!$D$84,'325'!$D$86</definedName>
    <definedName name="OSRRefD22x_0" localSheetId="59">'326'!$D$46:$D$54,'326'!$D$56:$D$65,'326'!$D$67,'326'!$D$69,'326'!$D$71,'326'!$D$73,'326'!$D$75,'326'!$D$77,'326'!$D$79:$D$80,'326'!$D$82,'326'!$D$84,'326'!$D$86,'326'!$D$88,'326'!$D$90:$D$91,'326'!$D$93:$D$95,'326'!$D$97:$D$98,'326'!$D$100:$D$105,'326'!$D$107:$D$108,'326'!$D$110,'326'!$D$112:$D$113,'326'!$D$115</definedName>
    <definedName name="OSRRefD22x_0" localSheetId="70">'327'!$D$24</definedName>
    <definedName name="OSRRefD22x_0" localSheetId="52">'330'!$D$39:$D$46,'330'!$D$48:$D$57,'330'!$D$59,'330'!$D$61,'330'!$D$63,'330'!$D$65:$D$66,'330'!$D$68,'330'!$D$70,'330'!$D$72,'330'!$D$74:$D$75,'330'!$D$77:$D$78,'330'!$D$80:$D$83,'330'!$D$85:$D$86,'330'!$D$88</definedName>
    <definedName name="OSRRefD22x_0" localSheetId="57">'331'!$D$80:$D$88,'331'!$D$90:$D$99,'331'!$D$101,'331'!$D$103,'331'!$D$105,'331'!$D$107,'331'!$D$109,'331'!$D$111,'331'!$D$113:$D$114,'331'!$D$116:$D$117,'331'!$D$119,'331'!$D$121,'331'!$D$123,'331'!$D$125,'331'!$D$127:$D$128,'331'!$D$130:$D$132,'331'!$D$134:$D$136,'331'!$D$138:$D$139,'331'!$D$141:$D$148,'331'!$D$150:$D$151,'331'!$D$153,'331'!$D$155:$D$156,'331'!$D$158</definedName>
    <definedName name="OSRRefD22x_0" localSheetId="60">'332'!$D$31:$D$39,'332'!$D$41:$D$50,'332'!$D$52,'332'!$D$54,'332'!$D$56,'332'!$D$58,'332'!$D$60:$D$61,'332'!$D$63:$D$64,'332'!$D$66,'332'!$D$68:$D$72,'332'!$D$74,'332'!$D$76</definedName>
    <definedName name="OSRRefD22x_0" localSheetId="74">'405'!$D$23:$D$30,'405'!$D$32:$D$41,'405'!$D$43,'405'!$D$45,'405'!$D$47:$D$48,'405'!$D$50,'405'!$D$52,'405'!$D$54,'405'!$D$56,'405'!$D$58:$D$59,'405'!$D$61,'405'!$D$63:$D$66,'405'!$D$68,'405'!$D$70:$D$78,'405'!$D$80,'405'!$D$82,'405'!$D$84,'405'!$D$86</definedName>
    <definedName name="OSRRefD22x_0" localSheetId="75">'406'!$D$20,'406'!$D$22,'406'!$D$24,'406'!$D$26,'406'!$D$28</definedName>
    <definedName name="OSRRefD22x_0" localSheetId="76">'411'!$D$20:$D$28,'411'!$D$30:$D$39,'411'!$D$41,'411'!$D$43,'411'!$D$45:$D$46,'411'!$D$48,'411'!$D$50,'411'!$D$52,'411'!$D$54,'411'!$D$56:$D$57,'411'!$D$59:$D$62,'411'!$D$64,'411'!$D$66:$D$72,'411'!$D$74,'411'!$D$76,'411'!$D$78</definedName>
    <definedName name="OSRRefD22x_0" localSheetId="77">'412'!$D$22:$D$29,'412'!$D$31:$D$40,'412'!$D$42,'412'!$D$44,'412'!$D$46:$D$47,'412'!$D$49,'412'!$D$51,'412'!$D$53,'412'!$D$55:$D$56,'412'!$D$58,'412'!$D$60:$D$63,'412'!$D$65:$D$69,'412'!$D$71:$D$72,'412'!$D$74</definedName>
    <definedName name="OSRRefD22x_0" localSheetId="78">'413'!$D$23:$D$31,'413'!$D$33:$D$42,'413'!$D$44,'413'!$D$46,'413'!$D$48,'413'!$D$50,'413'!$D$52,'413'!$D$54,'413'!$D$56:$D$59,'413'!$D$61:$D$62,'413'!$D$64:$D$71,'413'!$D$73:$D$74,'413'!$D$76</definedName>
    <definedName name="OSRRefD22x_0" localSheetId="79">'414'!$D$24:$D$32,'414'!$D$34:$D$43,'414'!$D$45,'414'!$D$47,'414'!$D$49,'414'!$D$51,'414'!$D$53,'414'!$D$55,'414'!$D$57:$D$58,'414'!$D$60,'414'!$D$62,'414'!$D$64,'414'!$D$66:$D$68,'414'!$D$70,'414'!$D$72,'414'!$D$74</definedName>
    <definedName name="OSRRefD22x_0" localSheetId="80">'415'!$D$27:$D$35,'415'!$D$37:$D$46,'415'!$D$48,'415'!$D$50,'415'!$D$52,'415'!$D$54:$D$55,'415'!$D$57,'415'!$D$59,'415'!$D$61,'415'!$D$63,'415'!$D$65,'415'!$D$67:$D$68,'415'!$D$70:$D$74,'415'!$D$76,'415'!$D$78:$D$85,'415'!$D$87:$D$88,'415'!$D$90,'415'!$D$92:$D$93,'415'!$D$95</definedName>
    <definedName name="OSRRefD22x_0" localSheetId="81">'418'!$D$23:$D$30,'418'!$D$32:$D$41,'418'!$D$43,'418'!$D$45,'418'!$D$47:$D$48,'418'!$D$50,'418'!$D$52,'418'!$D$54,'418'!$D$56:$D$58,'418'!$D$60:$D$61,'418'!$D$63:$D$64,'418'!$D$66:$D$75,'418'!$D$77:$D$78,'418'!$D$80</definedName>
    <definedName name="OSRRefD22x_0" localSheetId="82">'420'!$D$21</definedName>
    <definedName name="OSRRefD22x_0" localSheetId="83">'423'!$D$20:$D$27,'423'!$D$29:$D$38,'423'!$D$40,'423'!$D$42:$D$43,'423'!$D$45,'423'!$D$47,'423'!$D$49</definedName>
    <definedName name="OSRRefD22x_0" localSheetId="84">'424'!$D$20,'424'!$D$22,'424'!$D$24,'424'!$D$26</definedName>
    <definedName name="OSRRefD22x_0" localSheetId="85">'425'!$D$20:$D$24,'425'!$D$26,'425'!$D$28,'425'!$D$30,'425'!$D$32:$D$33,'425'!$D$35</definedName>
    <definedName name="OSRRefD22x_0" localSheetId="88">'430'!$D$20:$D$28,'430'!$D$30:$D$39,'430'!$D$41,'430'!$D$43,'430'!$D$45:$D$47,'430'!$D$49:$D$50,'430'!$D$52,'430'!$D$54</definedName>
    <definedName name="OSRRefD22x_0" localSheetId="89">'433'!$D$27:$D$36,'433'!$D$38:$D$47,'433'!$D$49,'433'!$D$51,'433'!$D$53,'433'!$D$55,'433'!$D$57,'433'!$D$59,'433'!$D$61,'433'!$D$63,'433'!$D$65,'433'!$D$67:$D$69,'433'!$D$71:$D$74,'433'!$D$76:$D$83,'433'!$D$85,'433'!$D$87</definedName>
    <definedName name="OSRRefD22x_0" localSheetId="90">'435'!$D$20</definedName>
    <definedName name="OSRRefD22x_0" localSheetId="91">'444'!$D$27:$D$36,'444'!$D$38:$D$47,'444'!$D$49,'444'!$D$51,'444'!$D$53,'444'!$D$55,'444'!$D$57,'444'!$D$59,'444'!$D$61,'444'!$D$63,'444'!$D$65,'444'!$D$67:$D$70,'444'!$D$72:$D$75,'444'!$D$77,'444'!$D$79:$D$87,'444'!$D$89:$D$90,'444'!$D$92</definedName>
    <definedName name="OSRRefD22x_0" localSheetId="92">'450'!$D$23:$D$32,'450'!$D$34:$D$43,'450'!$D$45,'450'!$D$47,'450'!$D$49,'450'!$D$51,'450'!$D$53,'450'!$D$55,'450'!$D$57,'450'!$D$59,'450'!$D$61,'450'!$D$63,'450'!$D$65,'450'!$D$67:$D$69,'450'!$D$71:$D$77,'450'!$D$79:$D$80,'450'!$D$82</definedName>
    <definedName name="OSRRefD22x_0" localSheetId="73">'491'!$D$29:$D$37,'491'!$D$39:$D$48,'491'!$D$50,'491'!$D$52,'491'!$D$54,'491'!$D$56:$D$58,'491'!$D$60,'491'!$D$62,'491'!$D$64,'491'!$D$66,'491'!$D$68,'491'!$D$70,'491'!$D$72,'491'!$D$74:$D$77,'491'!$D$79:$D$80,'491'!$D$82:$D$86,'491'!$D$88:$D$89,'491'!$D$91:$D$101,'491'!$D$103:$D$104,'491'!$D$106,'491'!$D$108:$D$110,'491'!$D$112</definedName>
    <definedName name="OSRRefD22x_0" localSheetId="87">'492'!$D$27:$D$36,'492'!$D$38:$D$47,'492'!$D$49,'492'!$D$51,'492'!$D$53,'492'!$D$55,'492'!$D$57,'492'!$D$59,'492'!$D$61,'492'!$D$63,'492'!$D$65,'492'!$D$67,'492'!$D$69:$D$72,'492'!$D$74:$D$77,'492'!$D$79,'492'!$D$81:$D$90,'492'!$D$92:$D$93,'492'!$D$95,'492'!$D$97</definedName>
    <definedName name="OSRRefD22x_0" localSheetId="94">'501'!$D$21:$D$30,'501'!$D$32:$D$41,'501'!$D$43,'501'!$D$45,'501'!$D$47,'501'!$D$49:$D$50,'501'!$D$52,'501'!$D$54,'501'!$D$56,'501'!$D$58:$D$61,'501'!$D$63:$D$64,'501'!$D$66</definedName>
    <definedName name="OSRRefD22x_0" localSheetId="39">'Div 2'!$D$21:$D$31,'Div 2'!$D$33:$D$42,'Div 2'!$D$44,'Div 2'!$D$46,'Div 2'!$D$48,'Div 2'!$D$50:$D$51,'Div 2'!$D$53,'Div 2'!$D$55,'Div 2'!$D$57,'Div 2'!$D$59:$D$60,'Div 2'!$D$62,'Div 2'!$D$64:$D$65,'Div 2'!$D$67:$D$70,'Div 2'!$D$72:$D$75,'Div 2'!$D$77:$D$78,'Div 2'!$D$80:$D$81,'Div 2'!$D$83:$D$87,'Div 2'!$D$89:$D$90,'Div 2'!$D$92,'Div 2'!$D$94:$D$95</definedName>
    <definedName name="OSRRefD22x_0" localSheetId="48">'Div 3'!$D$120:$D$129,'Div 3'!$D$131:$D$140,'Div 3'!$D$142,'Div 3'!$D$144:$D$145,'Div 3'!$D$147,'Div 3'!$D$149:$D$150,'Div 3'!$D$152:$D$153,'Div 3'!$D$155:$D$156,'Div 3'!$D$158,'Div 3'!$D$160,'Div 3'!$D$162:$D$163,'Div 3'!$D$165:$D$167,'Div 3'!$D$169,'Div 3'!$D$171,'Div 3'!$D$173,'Div 3'!$D$175,'Div 3'!$D$177,'Div 3'!$D$179:$D$182,'Div 3'!$D$184:$D$187,'Div 3'!$D$189:$D$193,'Div 3'!$D$195:$D$196,'Div 3'!$D$198:$D$206,'Div 3'!$D$208:$D$209,'Div 3'!$D$211,'Div 3'!$D$213:$D$215,'Div 3'!$D$217</definedName>
    <definedName name="OSRRefD22x_0" localSheetId="71">'Div 4'!$D$31:$D$40,'Div 4'!$D$42:$D$51,'Div 4'!$D$53,'Div 4'!$D$55,'Div 4'!$D$57,'Div 4'!$D$59:$D$61,'Div 4'!$D$63,'Div 4'!$D$65,'Div 4'!$D$67,'Div 4'!$D$69,'Div 4'!$D$71,'Div 4'!$D$73,'Div 4'!$D$75,'Div 4'!$D$77,'Div 4'!$D$79,'Div 4'!$D$81:$D$84,'Div 4'!$D$86:$D$87,'Div 4'!$D$89:$D$93,'Div 4'!$D$95:$D$96,'Div 4'!$D$98:$D$108,'Div 4'!$D$110:$D$111,'Div 4'!$D$113,'Div 4'!$D$115:$D$117,'Div 4'!$D$119</definedName>
    <definedName name="OSRRefD22x_0" localSheetId="93">'Div 5'!$D$21:$D$30,'Div 5'!$D$32:$D$41,'Div 5'!$D$43,'Div 5'!$D$45,'Div 5'!$D$47,'Div 5'!$D$49:$D$50,'Div 5'!$D$52,'Div 5'!$D$54,'Div 5'!$D$56,'Div 5'!$D$58:$D$61,'Div 5'!$D$63:$D$64,'Div 5'!$D$66</definedName>
    <definedName name="OSRRefD22x_0" localSheetId="62">'Div 6'!$D$50:$D$59,'Div 6'!$D$61:$D$70,'Div 6'!$D$72,'Div 6'!$D$74,'Div 6'!$D$76,'Div 6'!$D$78,'Div 6'!$D$80:$D$81,'Div 6'!$D$83,'Div 6'!$D$85,'Div 6'!$D$87,'Div 6'!$D$89:$D$91,'Div 6'!$D$93,'Div 6'!$D$95</definedName>
    <definedName name="OSRRefD22x_0" localSheetId="2">Summary!$D$148:$D$157,Summary!$D$159:$D$168,Summary!$D$170,Summary!$D$172:$D$173,Summary!$D$175,Summary!$D$177:$D$179,Summary!$D$181:$D$182,Summary!$D$184:$D$185,Summary!$D$187,Summary!$D$189,Summary!$D$191:$D$192,Summary!$D$194:$D$196,Summary!$D$198,Summary!$D$200,Summary!$D$202,Summary!$D$204,Summary!$D$206,Summary!$D$208,Summary!$D$210:$D$213,Summary!$D$215:$D$218,Summary!$D$220:$D$224,Summary!$D$226:$D$227,Summary!$D$229:$D$239,Summary!$D$241:$D$242,Summary!$D$244,Summary!$D$246:$D$248,Summary!$D$250</definedName>
    <definedName name="OSRRefD25x_0" localSheetId="42">'202'!$D$69:$D$71</definedName>
    <definedName name="OSRRefD25x_0" localSheetId="49">'300'!$D$213:$D$216</definedName>
    <definedName name="OSRRefD25x_0" localSheetId="50">'300 &amp; 317'!$D$236:$D$240</definedName>
    <definedName name="OSRRefD25x_0" localSheetId="51">'301'!$D$97:$D$98</definedName>
    <definedName name="OSRRefD25x_0" localSheetId="54">'308'!$D$111:$D$113</definedName>
    <definedName name="OSRRefD25x_0" localSheetId="72">'310 &amp; 491'!$D$119:$D$122</definedName>
    <definedName name="OSRRefD25x_0" localSheetId="55">'311'!$D$110:$D$112</definedName>
    <definedName name="OSRRefD25x_0" localSheetId="58">'315'!$D$145:$D$147</definedName>
    <definedName name="OSRRefD25x_0" localSheetId="61">'316'!$D$79</definedName>
    <definedName name="OSRRefD25x_0" localSheetId="63">'317'!$D$98:$D$99</definedName>
    <definedName name="OSRRefD25x_0" localSheetId="57">'331'!$D$161:$D$163</definedName>
    <definedName name="OSRRefD25x_0" localSheetId="60">'332'!$D$79</definedName>
    <definedName name="OSRRefD25x_0" localSheetId="76">'411'!$D$81:$D$82</definedName>
    <definedName name="OSRRefD25x_0" localSheetId="81">'418'!$D$83</definedName>
    <definedName name="OSRRefD25x_0" localSheetId="83">'423'!$D$52:$D$54</definedName>
    <definedName name="OSRRefD25x_0" localSheetId="86">'455'!$D$21:$D$22</definedName>
    <definedName name="OSRRefD25x_0" localSheetId="73">'491'!$D$115:$D$118</definedName>
    <definedName name="OSRRefD25x_0" localSheetId="94">'501'!$D$69</definedName>
    <definedName name="OSRRefD25x_0" localSheetId="39">'Div 2'!$D$98:$D$100</definedName>
    <definedName name="OSRRefD25x_0" localSheetId="48">'Div 3'!$D$220:$D$223</definedName>
    <definedName name="OSRRefD25x_0" localSheetId="71">'Div 4'!$D$122:$D$125</definedName>
    <definedName name="OSRRefD25x_0" localSheetId="93">'Div 5'!$D$69</definedName>
    <definedName name="OSRRefD25x_0" localSheetId="62">'Div 6'!$D$98:$D$99</definedName>
    <definedName name="OSRRefD25x_0" localSheetId="2">Summary!$D$253:$D$259</definedName>
    <definedName name="OSRRefH13x_0" localSheetId="41">'201'!$H$13</definedName>
    <definedName name="OSRRefH13x_0" localSheetId="42">'202'!$H$13</definedName>
    <definedName name="OSRRefH13x_0" localSheetId="49">'300'!$H$13:$H$74</definedName>
    <definedName name="OSRRefH13x_0" localSheetId="50">'300 &amp; 317'!$H$13:$H$88</definedName>
    <definedName name="OSRRefH13x_0" localSheetId="53">'307'!$H$13:$H$23</definedName>
    <definedName name="OSRRefH13x_0" localSheetId="54">'308'!$H$13:$H$33</definedName>
    <definedName name="OSRRefH13x_0" localSheetId="65">'309'!$H$13</definedName>
    <definedName name="OSRRefH13x_0" localSheetId="64">'310'!$H$13:$H$17</definedName>
    <definedName name="OSRRefH13x_0" localSheetId="72">'310 &amp; 491'!$H$13:$H$21</definedName>
    <definedName name="OSRRefH13x_0" localSheetId="55">'311'!$H$13:$H$32</definedName>
    <definedName name="OSRRefH13x_0" localSheetId="66">'313'!$H$13</definedName>
    <definedName name="OSRRefH13x_0" localSheetId="58">'315'!$H$13:$H$50</definedName>
    <definedName name="OSRRefH13x_0" localSheetId="61">'316'!$H$13:$H$23</definedName>
    <definedName name="OSRRefH13x_0" localSheetId="63">'317'!$H$13:$H$30</definedName>
    <definedName name="OSRRefH13x_0" localSheetId="67">'321'!$H$13:$H$15</definedName>
    <definedName name="OSRRefH13x_0" localSheetId="68">'322'!$H$13</definedName>
    <definedName name="OSRRefH13x_0" localSheetId="56">'324'!$H$13:$H$16</definedName>
    <definedName name="OSRRefH13x_0" localSheetId="69">'325'!$H$13:$H$14</definedName>
    <definedName name="OSRRefH13x_0" localSheetId="59">'326'!$H$13:$H$33</definedName>
    <definedName name="OSRRefH13x_0" localSheetId="70">'327'!$H$13:$H$14</definedName>
    <definedName name="OSRRefH13x_0" localSheetId="52">'330'!$H$13:$H$23</definedName>
    <definedName name="OSRRefH13x_0" localSheetId="57">'331'!$H$13:$H$50</definedName>
    <definedName name="OSRRefH13x_0" localSheetId="60">'332'!$H$13:$H$23</definedName>
    <definedName name="OSRRefH13x_0" localSheetId="74">'405'!$H$13:$H$14</definedName>
    <definedName name="OSRRefH13x_0" localSheetId="77">'412'!$H$13</definedName>
    <definedName name="OSRRefH13x_0" localSheetId="78">'413'!$H$13:$H$14</definedName>
    <definedName name="OSRRefH13x_0" localSheetId="79">'414'!$H$13:$H$15</definedName>
    <definedName name="OSRRefH13x_0" localSheetId="80">'415'!$H$13:$H$16</definedName>
    <definedName name="OSRRefH13x_0" localSheetId="81">'418'!$H$13:$H$14</definedName>
    <definedName name="OSRRefH13x_0" localSheetId="82">'420'!$H$13</definedName>
    <definedName name="OSRRefH13x_0" localSheetId="89">'433'!$H$13:$H$16</definedName>
    <definedName name="OSRRefH13x_0" localSheetId="91">'444'!$H$13:$H$16</definedName>
    <definedName name="OSRRefH13x_0" localSheetId="92">'450'!$H$13:$H$14</definedName>
    <definedName name="OSRRefH13x_0" localSheetId="73">'491'!$H$13:$H$18</definedName>
    <definedName name="OSRRefH13x_0" localSheetId="87">'492'!$H$13:$H$16</definedName>
    <definedName name="OSRRefH13x_0" localSheetId="94">'501'!$H$13</definedName>
    <definedName name="OSRRefH13x_0" localSheetId="39">'Div 2'!$H$13</definedName>
    <definedName name="OSRRefH13x_0" localSheetId="48">'Div 3'!$H$13:$H$76</definedName>
    <definedName name="OSRRefH13x_0" localSheetId="71">'Div 4'!$H$13:$H$20</definedName>
    <definedName name="OSRRefH13x_0" localSheetId="93">'Div 5'!$H$13</definedName>
    <definedName name="OSRRefH13x_0" localSheetId="62">'Div 6'!$H$13:$H$30</definedName>
    <definedName name="OSRRefH13x_0" localSheetId="2">Summary!$H$13:$H$95</definedName>
    <definedName name="OSRRefH16x_0" localSheetId="49">'300'!$H$77:$H$110</definedName>
    <definedName name="OSRRefH16x_0" localSheetId="50">'300 &amp; 317'!$H$91:$H$133</definedName>
    <definedName name="OSRRefH16x_0" localSheetId="53">'307'!$H$26:$H$33</definedName>
    <definedName name="OSRRefH16x_0" localSheetId="54">'308'!$H$36:$H$50</definedName>
    <definedName name="OSRRefH16x_0" localSheetId="65">'309'!$H$16</definedName>
    <definedName name="OSRRefH16x_0" localSheetId="64">'310'!$H$20:$H$22</definedName>
    <definedName name="OSRRefH16x_0" localSheetId="72">'310 &amp; 491'!$H$24:$H$26</definedName>
    <definedName name="OSRRefH16x_0" localSheetId="55">'311'!$H$35:$H$49</definedName>
    <definedName name="OSRRefH16x_0" localSheetId="66">'313'!$H$16:$H$17</definedName>
    <definedName name="OSRRefH16x_0" localSheetId="58">'315'!$H$53:$H$74</definedName>
    <definedName name="OSRRefH16x_0" localSheetId="63">'317'!$H$33:$H$44</definedName>
    <definedName name="OSRRefH16x_0" localSheetId="67">'321'!$H$18:$H$19</definedName>
    <definedName name="OSRRefH16x_0" localSheetId="68">'322'!$H$16:$H$17</definedName>
    <definedName name="OSRRefH16x_0" localSheetId="56">'324'!$H$19:$H$21</definedName>
    <definedName name="OSRRefH16x_0" localSheetId="69">'325'!$H$17:$H$19</definedName>
    <definedName name="OSRRefH16x_0" localSheetId="59">'326'!$H$36:$H$40</definedName>
    <definedName name="OSRRefH16x_0" localSheetId="70">'327'!$H$17:$H$18</definedName>
    <definedName name="OSRRefH16x_0" localSheetId="52">'330'!$H$26:$H$33</definedName>
    <definedName name="OSRRefH16x_0" localSheetId="57">'331'!$H$53:$H$74</definedName>
    <definedName name="OSRRefH16x_0" localSheetId="74">'405'!$H$17</definedName>
    <definedName name="OSRRefH16x_0" localSheetId="77">'412'!$H$16</definedName>
    <definedName name="OSRRefH16x_0" localSheetId="78">'413'!$H$17</definedName>
    <definedName name="OSRRefH16x_0" localSheetId="79">'414'!$H$18</definedName>
    <definedName name="OSRRefH16x_0" localSheetId="80">'415'!$H$19:$H$21</definedName>
    <definedName name="OSRRefH16x_0" localSheetId="81">'418'!$H$17</definedName>
    <definedName name="OSRRefH16x_0" localSheetId="89">'433'!$H$19:$H$21</definedName>
    <definedName name="OSRRefH16x_0" localSheetId="91">'444'!$H$19:$H$21</definedName>
    <definedName name="OSRRefH16x_0" localSheetId="92">'450'!$H$17</definedName>
    <definedName name="OSRRefH16x_0" localSheetId="73">'491'!$H$21:$H$23</definedName>
    <definedName name="OSRRefH16x_0" localSheetId="87">'492'!$H$19:$H$21</definedName>
    <definedName name="OSRRefH16x_0" localSheetId="48">'Div 3'!$H$79:$H$114</definedName>
    <definedName name="OSRRefH16x_0" localSheetId="71">'Div 4'!$H$23:$H$25</definedName>
    <definedName name="OSRRefH16x_0" localSheetId="62">'Div 6'!$H$33:$H$44</definedName>
    <definedName name="OSRRefH16x_0" localSheetId="2">Summary!$H$98:$H$142</definedName>
    <definedName name="OSRRefH22_0x_0" localSheetId="40">'200'!$H$20</definedName>
    <definedName name="OSRRefH22_0x_0" localSheetId="41">'201'!$H$21:$H$29</definedName>
    <definedName name="OSRRefH22_0x_0" localSheetId="42">'202'!$H$21:$H$29</definedName>
    <definedName name="OSRRefH22_0x_0" localSheetId="43">'203'!$H$20:$H$29</definedName>
    <definedName name="OSRRefH22_0x_0" localSheetId="44">'204'!$H$20:$H$29</definedName>
    <definedName name="OSRRefH22_0x_0" localSheetId="45">'205'!$H$20:$H$28</definedName>
    <definedName name="OSRRefH22_0x_0" localSheetId="46">'206'!$H$20:$H$28</definedName>
    <definedName name="OSRRefH22_0x_0" localSheetId="49">'300'!$H$116:$H$125</definedName>
    <definedName name="OSRRefH22_0x_0" localSheetId="50">'300 &amp; 317'!$H$139:$H$148</definedName>
    <definedName name="OSRRefH22_0x_0" localSheetId="51">'301'!$H$20:$H$29</definedName>
    <definedName name="OSRRefH22_0x_0" localSheetId="53">'307'!$H$39:$H$46</definedName>
    <definedName name="OSRRefH22_0x_0" localSheetId="54">'308'!$H$56:$H$65</definedName>
    <definedName name="OSRRefH22_0x_0" localSheetId="65">'309'!$H$22:$H$29</definedName>
    <definedName name="OSRRefH22_0x_0" localSheetId="64">'310'!$H$28:$H$36</definedName>
    <definedName name="OSRRefH22_0x_0" localSheetId="72">'310 &amp; 491'!$H$32:$H$40</definedName>
    <definedName name="OSRRefH22_0x_0" localSheetId="55">'311'!$H$55:$H$64</definedName>
    <definedName name="OSRRefH22_0x_0" localSheetId="66">'313'!$H$23:$H$31</definedName>
    <definedName name="OSRRefH22_0x_0" localSheetId="58">'315'!$H$80:$H$88</definedName>
    <definedName name="OSRRefH22_0x_0" localSheetId="61">'316'!$H$31:$H$39</definedName>
    <definedName name="OSRRefH22_0x_0" localSheetId="63">'317'!$H$50:$H$59</definedName>
    <definedName name="OSRRefH22_0x_0" localSheetId="67">'321'!$H$25:$H$33</definedName>
    <definedName name="OSRRefH22_0x_0" localSheetId="68">'322'!$H$23:$H$30</definedName>
    <definedName name="OSRRefH22_0x_0" localSheetId="56">'324'!$H$27:$H$34</definedName>
    <definedName name="OSRRefH22_0x_0" localSheetId="69">'325'!$H$25:$H$32</definedName>
    <definedName name="OSRRefH22_0x_0" localSheetId="59">'326'!$H$46:$H$54</definedName>
    <definedName name="OSRRefH22_0x_0" localSheetId="70">'327'!$H$24</definedName>
    <definedName name="OSRRefH22_0x_0" localSheetId="52">'330'!$H$39:$H$46</definedName>
    <definedName name="OSRRefH22_0x_0" localSheetId="57">'331'!$H$80:$H$88</definedName>
    <definedName name="OSRRefH22_0x_0" localSheetId="60">'332'!$H$31:$H$39</definedName>
    <definedName name="OSRRefH22_0x_0" localSheetId="74">'405'!$H$23:$H$30</definedName>
    <definedName name="OSRRefH22_0x_0" localSheetId="75">'406'!$H$20</definedName>
    <definedName name="OSRRefH22_0x_0" localSheetId="76">'411'!$H$20:$H$28</definedName>
    <definedName name="OSRRefH22_0x_0" localSheetId="77">'412'!$H$22:$H$29</definedName>
    <definedName name="OSRRefH22_0x_0" localSheetId="78">'413'!$H$23:$H$31</definedName>
    <definedName name="OSRRefH22_0x_0" localSheetId="79">'414'!$H$24:$H$32</definedName>
    <definedName name="OSRRefH22_0x_0" localSheetId="80">'415'!$H$27:$H$35</definedName>
    <definedName name="OSRRefH22_0x_0" localSheetId="81">'418'!$H$23:$H$30</definedName>
    <definedName name="OSRRefH22_0x_0" localSheetId="82">'420'!$H$21</definedName>
    <definedName name="OSRRefH22_0x_0" localSheetId="83">'423'!$H$20:$H$27</definedName>
    <definedName name="OSRRefH22_0x_0" localSheetId="84">'424'!$H$20</definedName>
    <definedName name="OSRRefH22_0x_0" localSheetId="85">'425'!$H$20:$H$24</definedName>
    <definedName name="OSRRefH22_0x_0" localSheetId="88">'430'!$H$20:$H$28</definedName>
    <definedName name="OSRRefH22_0x_0" localSheetId="89">'433'!$H$27:$H$36</definedName>
    <definedName name="OSRRefH22_0x_0" localSheetId="90">'435'!$H$20</definedName>
    <definedName name="OSRRefH22_0x_0" localSheetId="91">'444'!$H$27:$H$36</definedName>
    <definedName name="OSRRefH22_0x_0" localSheetId="92">'450'!$H$23:$H$32</definedName>
    <definedName name="OSRRefH22_0x_0" localSheetId="73">'491'!$H$29:$H$37</definedName>
    <definedName name="OSRRefH22_0x_0" localSheetId="87">'492'!$H$27:$H$36</definedName>
    <definedName name="OSRRefH22_0x_0" localSheetId="94">'501'!$H$21:$H$30</definedName>
    <definedName name="OSRRefH22_0x_0" localSheetId="39">'Div 2'!$H$21:$H$31</definedName>
    <definedName name="OSRRefH22_0x_0" localSheetId="48">'Div 3'!$H$120:$H$129</definedName>
    <definedName name="OSRRefH22_0x_0" localSheetId="71">'Div 4'!$H$31:$H$40</definedName>
    <definedName name="OSRRefH22_0x_0" localSheetId="93">'Div 5'!$H$21:$H$30</definedName>
    <definedName name="OSRRefH22_0x_0" localSheetId="62">'Div 6'!$H$50:$H$59</definedName>
    <definedName name="OSRRefH22_0x_0" localSheetId="2">Summary!$H$148:$H$157</definedName>
    <definedName name="OSRRefH22_10x_0" localSheetId="41">'201'!$H$58:$H$60</definedName>
    <definedName name="OSRRefH22_10x_0" localSheetId="42">'202'!$H$62</definedName>
    <definedName name="OSRRefH22_10x_0" localSheetId="43">'203'!$H$62</definedName>
    <definedName name="OSRRefH22_10x_0" localSheetId="44">'204'!$H$62:$H$63</definedName>
    <definedName name="OSRRefH22_10x_0" localSheetId="49">'300'!$H$158:$H$159</definedName>
    <definedName name="OSRRefH22_10x_0" localSheetId="50">'300 &amp; 317'!$H$181:$H$182</definedName>
    <definedName name="OSRRefH22_10x_0" localSheetId="51">'301'!$H$60</definedName>
    <definedName name="OSRRefH22_10x_0" localSheetId="53">'307'!$H$77:$H$78</definedName>
    <definedName name="OSRRefH22_10x_0" localSheetId="54">'308'!$H$98:$H$99</definedName>
    <definedName name="OSRRefH22_10x_0" localSheetId="65">'309'!$H$62</definedName>
    <definedName name="OSRRefH22_10x_0" localSheetId="64">'310'!$H$66</definedName>
    <definedName name="OSRRefH22_10x_0" localSheetId="72">'310 &amp; 491'!$H$72</definedName>
    <definedName name="OSRRefH22_10x_0" localSheetId="55">'311'!$H$97:$H$98</definedName>
    <definedName name="OSRRefH22_10x_0" localSheetId="66">'313'!$H$64</definedName>
    <definedName name="OSRRefH22_10x_0" localSheetId="58">'315'!$H$118</definedName>
    <definedName name="OSRRefH22_10x_0" localSheetId="61">'316'!$H$74</definedName>
    <definedName name="OSRRefH22_10x_0" localSheetId="63">'317'!$H$89:$H$91</definedName>
    <definedName name="OSRRefH22_10x_0" localSheetId="67">'321'!$H$65:$H$67</definedName>
    <definedName name="OSRRefH22_10x_0" localSheetId="68">'322'!$H$64</definedName>
    <definedName name="OSRRefH22_10x_0" localSheetId="69">'325'!$H$62</definedName>
    <definedName name="OSRRefH22_10x_0" localSheetId="59">'326'!$H$84</definedName>
    <definedName name="OSRRefH22_10x_0" localSheetId="52">'330'!$H$77:$H$78</definedName>
    <definedName name="OSRRefH22_10x_0" localSheetId="57">'331'!$H$119</definedName>
    <definedName name="OSRRefH22_10x_0" localSheetId="60">'332'!$H$74</definedName>
    <definedName name="OSRRefH22_10x_0" localSheetId="74">'405'!$H$61</definedName>
    <definedName name="OSRRefH22_10x_0" localSheetId="76">'411'!$H$59:$H$62</definedName>
    <definedName name="OSRRefH22_10x_0" localSheetId="77">'412'!$H$60:$H$63</definedName>
    <definedName name="OSRRefH22_10x_0" localSheetId="78">'413'!$H$64:$H$71</definedName>
    <definedName name="OSRRefH22_10x_0" localSheetId="79">'414'!$H$62</definedName>
    <definedName name="OSRRefH22_10x_0" localSheetId="80">'415'!$H$65</definedName>
    <definedName name="OSRRefH22_10x_0" localSheetId="81">'418'!$H$63:$H$64</definedName>
    <definedName name="OSRRefH22_10x_0" localSheetId="89">'433'!$H$65</definedName>
    <definedName name="OSRRefH22_10x_0" localSheetId="91">'444'!$H$65</definedName>
    <definedName name="OSRRefH22_10x_0" localSheetId="92">'450'!$H$61</definedName>
    <definedName name="OSRRefH22_10x_0" localSheetId="73">'491'!$H$68</definedName>
    <definedName name="OSRRefH22_10x_0" localSheetId="87">'492'!$H$65</definedName>
    <definedName name="OSRRefH22_10x_0" localSheetId="94">'501'!$H$63:$H$64</definedName>
    <definedName name="OSRRefH22_10x_0" localSheetId="39">'Div 2'!$H$62</definedName>
    <definedName name="OSRRefH22_10x_0" localSheetId="48">'Div 3'!$H$162:$H$163</definedName>
    <definedName name="OSRRefH22_10x_0" localSheetId="71">'Div 4'!$H$71</definedName>
    <definedName name="OSRRefH22_10x_0" localSheetId="93">'Div 5'!$H$63:$H$64</definedName>
    <definedName name="OSRRefH22_10x_0" localSheetId="62">'Div 6'!$H$89:$H$91</definedName>
    <definedName name="OSRRefH22_10x_0" localSheetId="2">Summary!$H$191:$H$192</definedName>
    <definedName name="OSRRefH22_11x_0" localSheetId="41">'201'!$H$62</definedName>
    <definedName name="OSRRefH22_11x_0" localSheetId="42">'202'!$H$64</definedName>
    <definedName name="OSRRefH22_11x_0" localSheetId="43">'203'!$H$64:$H$66</definedName>
    <definedName name="OSRRefH22_11x_0" localSheetId="44">'204'!$H$65</definedName>
    <definedName name="OSRRefH22_11x_0" localSheetId="49">'300'!$H$161:$H$163</definedName>
    <definedName name="OSRRefH22_11x_0" localSheetId="50">'300 &amp; 317'!$H$184:$H$186</definedName>
    <definedName name="OSRRefH22_11x_0" localSheetId="51">'301'!$H$62</definedName>
    <definedName name="OSRRefH22_11x_0" localSheetId="53">'307'!$H$80:$H$83</definedName>
    <definedName name="OSRRefH22_11x_0" localSheetId="54">'308'!$H$101:$H$103</definedName>
    <definedName name="OSRRefH22_11x_0" localSheetId="64">'310'!$H$68</definedName>
    <definedName name="OSRRefH22_11x_0" localSheetId="72">'310 &amp; 491'!$H$74</definedName>
    <definedName name="OSRRefH22_11x_0" localSheetId="55">'311'!$H$100:$H$102</definedName>
    <definedName name="OSRRefH22_11x_0" localSheetId="66">'313'!$H$66</definedName>
    <definedName name="OSRRefH22_11x_0" localSheetId="58">'315'!$H$120</definedName>
    <definedName name="OSRRefH22_11x_0" localSheetId="61">'316'!$H$76</definedName>
    <definedName name="OSRRefH22_11x_0" localSheetId="63">'317'!$H$93</definedName>
    <definedName name="OSRRefH22_11x_0" localSheetId="67">'321'!$H$69:$H$70</definedName>
    <definedName name="OSRRefH22_11x_0" localSheetId="68">'322'!$H$66</definedName>
    <definedName name="OSRRefH22_11x_0" localSheetId="69">'325'!$H$64:$H$67</definedName>
    <definedName name="OSRRefH22_11x_0" localSheetId="59">'326'!$H$86</definedName>
    <definedName name="OSRRefH22_11x_0" localSheetId="52">'330'!$H$80:$H$83</definedName>
    <definedName name="OSRRefH22_11x_0" localSheetId="57">'331'!$H$121</definedName>
    <definedName name="OSRRefH22_11x_0" localSheetId="60">'332'!$H$76</definedName>
    <definedName name="OSRRefH22_11x_0" localSheetId="74">'405'!$H$63:$H$66</definedName>
    <definedName name="OSRRefH22_11x_0" localSheetId="76">'411'!$H$64</definedName>
    <definedName name="OSRRefH22_11x_0" localSheetId="77">'412'!$H$65:$H$69</definedName>
    <definedName name="OSRRefH22_11x_0" localSheetId="78">'413'!$H$73:$H$74</definedName>
    <definedName name="OSRRefH22_11x_0" localSheetId="79">'414'!$H$64</definedName>
    <definedName name="OSRRefH22_11x_0" localSheetId="80">'415'!$H$67:$H$68</definedName>
    <definedName name="OSRRefH22_11x_0" localSheetId="81">'418'!$H$66:$H$75</definedName>
    <definedName name="OSRRefH22_11x_0" localSheetId="89">'433'!$H$67:$H$69</definedName>
    <definedName name="OSRRefH22_11x_0" localSheetId="91">'444'!$H$67:$H$70</definedName>
    <definedName name="OSRRefH22_11x_0" localSheetId="92">'450'!$H$63</definedName>
    <definedName name="OSRRefH22_11x_0" localSheetId="73">'491'!$H$70</definedName>
    <definedName name="OSRRefH22_11x_0" localSheetId="87">'492'!$H$67</definedName>
    <definedName name="OSRRefH22_11x_0" localSheetId="94">'501'!$H$66</definedName>
    <definedName name="OSRRefH22_11x_0" localSheetId="39">'Div 2'!$H$64:$H$65</definedName>
    <definedName name="OSRRefH22_11x_0" localSheetId="48">'Div 3'!$H$165:$H$167</definedName>
    <definedName name="OSRRefH22_11x_0" localSheetId="71">'Div 4'!$H$73</definedName>
    <definedName name="OSRRefH22_11x_0" localSheetId="93">'Div 5'!$H$66</definedName>
    <definedName name="OSRRefH22_11x_0" localSheetId="62">'Div 6'!$H$93</definedName>
    <definedName name="OSRRefH22_11x_0" localSheetId="2">Summary!$H$194:$H$196</definedName>
    <definedName name="OSRRefH22_12x_0" localSheetId="41">'201'!$H$64</definedName>
    <definedName name="OSRRefH22_12x_0" localSheetId="42">'202'!$H$66</definedName>
    <definedName name="OSRRefH22_12x_0" localSheetId="43">'203'!$H$68</definedName>
    <definedName name="OSRRefH22_12x_0" localSheetId="44">'204'!$H$67</definedName>
    <definedName name="OSRRefH22_12x_0" localSheetId="49">'300'!$H$165</definedName>
    <definedName name="OSRRefH22_12x_0" localSheetId="50">'300 &amp; 317'!$H$188</definedName>
    <definedName name="OSRRefH22_12x_0" localSheetId="51">'301'!$H$64</definedName>
    <definedName name="OSRRefH22_12x_0" localSheetId="53">'307'!$H$85:$H$86</definedName>
    <definedName name="OSRRefH22_12x_0" localSheetId="54">'308'!$H$105:$H$106</definedName>
    <definedName name="OSRRefH22_12x_0" localSheetId="64">'310'!$H$70</definedName>
    <definedName name="OSRRefH22_12x_0" localSheetId="72">'310 &amp; 491'!$H$76</definedName>
    <definedName name="OSRRefH22_12x_0" localSheetId="55">'311'!$H$104:$H$105</definedName>
    <definedName name="OSRRefH22_12x_0" localSheetId="58">'315'!$H$122:$H$124</definedName>
    <definedName name="OSRRefH22_12x_0" localSheetId="63">'317'!$H$95</definedName>
    <definedName name="OSRRefH22_12x_0" localSheetId="67">'321'!$H$72</definedName>
    <definedName name="OSRRefH22_12x_0" localSheetId="69">'325'!$H$69:$H$71</definedName>
    <definedName name="OSRRefH22_12x_0" localSheetId="59">'326'!$H$88</definedName>
    <definedName name="OSRRefH22_12x_0" localSheetId="52">'330'!$H$85:$H$86</definedName>
    <definedName name="OSRRefH22_12x_0" localSheetId="57">'331'!$H$123</definedName>
    <definedName name="OSRRefH22_12x_0" localSheetId="74">'405'!$H$68</definedName>
    <definedName name="OSRRefH22_12x_0" localSheetId="76">'411'!$H$66:$H$72</definedName>
    <definedName name="OSRRefH22_12x_0" localSheetId="77">'412'!$H$71:$H$72</definedName>
    <definedName name="OSRRefH22_12x_0" localSheetId="78">'413'!$H$76</definedName>
    <definedName name="OSRRefH22_12x_0" localSheetId="79">'414'!$H$66:$H$68</definedName>
    <definedName name="OSRRefH22_12x_0" localSheetId="80">'415'!$H$70:$H$74</definedName>
    <definedName name="OSRRefH22_12x_0" localSheetId="81">'418'!$H$77:$H$78</definedName>
    <definedName name="OSRRefH22_12x_0" localSheetId="89">'433'!$H$71:$H$74</definedName>
    <definedName name="OSRRefH22_12x_0" localSheetId="91">'444'!$H$72:$H$75</definedName>
    <definedName name="OSRRefH22_12x_0" localSheetId="92">'450'!$H$65</definedName>
    <definedName name="OSRRefH22_12x_0" localSheetId="73">'491'!$H$72</definedName>
    <definedName name="OSRRefH22_12x_0" localSheetId="87">'492'!$H$69:$H$72</definedName>
    <definedName name="OSRRefH22_12x_0" localSheetId="39">'Div 2'!$H$67:$H$70</definedName>
    <definedName name="OSRRefH22_12x_0" localSheetId="48">'Div 3'!$H$169</definedName>
    <definedName name="OSRRefH22_12x_0" localSheetId="71">'Div 4'!$H$75</definedName>
    <definedName name="OSRRefH22_12x_0" localSheetId="62">'Div 6'!$H$95</definedName>
    <definedName name="OSRRefH22_12x_0" localSheetId="2">Summary!$H$198</definedName>
    <definedName name="OSRRefH22_13x_0" localSheetId="41">'201'!$H$66:$H$68</definedName>
    <definedName name="OSRRefH22_13x_0" localSheetId="43">'203'!$H$70</definedName>
    <definedName name="OSRRefH22_13x_0" localSheetId="49">'300'!$H$167</definedName>
    <definedName name="OSRRefH22_13x_0" localSheetId="50">'300 &amp; 317'!$H$190</definedName>
    <definedName name="OSRRefH22_13x_0" localSheetId="51">'301'!$H$66</definedName>
    <definedName name="OSRRefH22_13x_0" localSheetId="53">'307'!$H$88</definedName>
    <definedName name="OSRRefH22_13x_0" localSheetId="54">'308'!$H$108</definedName>
    <definedName name="OSRRefH22_13x_0" localSheetId="64">'310'!$H$72:$H$75</definedName>
    <definedName name="OSRRefH22_13x_0" localSheetId="72">'310 &amp; 491'!$H$78:$H$81</definedName>
    <definedName name="OSRRefH22_13x_0" localSheetId="55">'311'!$H$107</definedName>
    <definedName name="OSRRefH22_13x_0" localSheetId="58">'315'!$H$126:$H$127</definedName>
    <definedName name="OSRRefH22_13x_0" localSheetId="67">'321'!$H$74</definedName>
    <definedName name="OSRRefH22_13x_0" localSheetId="69">'325'!$H$73</definedName>
    <definedName name="OSRRefH22_13x_0" localSheetId="59">'326'!$H$90:$H$91</definedName>
    <definedName name="OSRRefH22_13x_0" localSheetId="52">'330'!$H$88</definedName>
    <definedName name="OSRRefH22_13x_0" localSheetId="57">'331'!$H$125</definedName>
    <definedName name="OSRRefH22_13x_0" localSheetId="74">'405'!$H$70:$H$78</definedName>
    <definedName name="OSRRefH22_13x_0" localSheetId="76">'411'!$H$74</definedName>
    <definedName name="OSRRefH22_13x_0" localSheetId="77">'412'!$H$74</definedName>
    <definedName name="OSRRefH22_13x_0" localSheetId="79">'414'!$H$70</definedName>
    <definedName name="OSRRefH22_13x_0" localSheetId="80">'415'!$H$76</definedName>
    <definedName name="OSRRefH22_13x_0" localSheetId="81">'418'!$H$80</definedName>
    <definedName name="OSRRefH22_13x_0" localSheetId="89">'433'!$H$76:$H$83</definedName>
    <definedName name="OSRRefH22_13x_0" localSheetId="91">'444'!$H$77</definedName>
    <definedName name="OSRRefH22_13x_0" localSheetId="92">'450'!$H$67:$H$69</definedName>
    <definedName name="OSRRefH22_13x_0" localSheetId="73">'491'!$H$74:$H$77</definedName>
    <definedName name="OSRRefH22_13x_0" localSheetId="87">'492'!$H$74:$H$77</definedName>
    <definedName name="OSRRefH22_13x_0" localSheetId="39">'Div 2'!$H$72:$H$75</definedName>
    <definedName name="OSRRefH22_13x_0" localSheetId="48">'Div 3'!$H$171</definedName>
    <definedName name="OSRRefH22_13x_0" localSheetId="71">'Div 4'!$H$77</definedName>
    <definedName name="OSRRefH22_13x_0" localSheetId="2">Summary!$H$200</definedName>
    <definedName name="OSRRefH22_14x_0" localSheetId="41">'201'!$H$70</definedName>
    <definedName name="OSRRefH22_14x_0" localSheetId="43">'203'!$H$72</definedName>
    <definedName name="OSRRefH22_14x_0" localSheetId="49">'300'!$H$169</definedName>
    <definedName name="OSRRefH22_14x_0" localSheetId="50">'300 &amp; 317'!$H$192</definedName>
    <definedName name="OSRRefH22_14x_0" localSheetId="51">'301'!$H$68:$H$71</definedName>
    <definedName name="OSRRefH22_14x_0" localSheetId="64">'310'!$H$77:$H$78</definedName>
    <definedName name="OSRRefH22_14x_0" localSheetId="72">'310 &amp; 491'!$H$83:$H$84</definedName>
    <definedName name="OSRRefH22_14x_0" localSheetId="58">'315'!$H$129:$H$135</definedName>
    <definedName name="OSRRefH22_14x_0" localSheetId="69">'325'!$H$75:$H$79</definedName>
    <definedName name="OSRRefH22_14x_0" localSheetId="59">'326'!$H$93:$H$95</definedName>
    <definedName name="OSRRefH22_14x_0" localSheetId="57">'331'!$H$127:$H$128</definedName>
    <definedName name="OSRRefH22_14x_0" localSheetId="74">'405'!$H$80</definedName>
    <definedName name="OSRRefH22_14x_0" localSheetId="76">'411'!$H$76</definedName>
    <definedName name="OSRRefH22_14x_0" localSheetId="79">'414'!$H$72</definedName>
    <definedName name="OSRRefH22_14x_0" localSheetId="80">'415'!$H$78:$H$85</definedName>
    <definedName name="OSRRefH22_14x_0" localSheetId="89">'433'!$H$85</definedName>
    <definedName name="OSRRefH22_14x_0" localSheetId="91">'444'!$H$79:$H$87</definedName>
    <definedName name="OSRRefH22_14x_0" localSheetId="92">'450'!$H$71:$H$77</definedName>
    <definedName name="OSRRefH22_14x_0" localSheetId="73">'491'!$H$79:$H$80</definedName>
    <definedName name="OSRRefH22_14x_0" localSheetId="87">'492'!$H$79</definedName>
    <definedName name="OSRRefH22_14x_0" localSheetId="39">'Div 2'!$H$77:$H$78</definedName>
    <definedName name="OSRRefH22_14x_0" localSheetId="48">'Div 3'!$H$173</definedName>
    <definedName name="OSRRefH22_14x_0" localSheetId="71">'Div 4'!$H$79</definedName>
    <definedName name="OSRRefH22_14x_0" localSheetId="2">Summary!$H$202</definedName>
    <definedName name="OSRRefH22_15x_0" localSheetId="41">'201'!$H$72</definedName>
    <definedName name="OSRRefH22_15x_0" localSheetId="49">'300'!$H$171</definedName>
    <definedName name="OSRRefH22_15x_0" localSheetId="50">'300 &amp; 317'!$H$194</definedName>
    <definedName name="OSRRefH22_15x_0" localSheetId="51">'301'!$H$73:$H$75</definedName>
    <definedName name="OSRRefH22_15x_0" localSheetId="64">'310'!$H$80:$H$83</definedName>
    <definedName name="OSRRefH22_15x_0" localSheetId="72">'310 &amp; 491'!$H$86:$H$90</definedName>
    <definedName name="OSRRefH22_15x_0" localSheetId="58">'315'!$H$137</definedName>
    <definedName name="OSRRefH22_15x_0" localSheetId="69">'325'!$H$81:$H$82</definedName>
    <definedName name="OSRRefH22_15x_0" localSheetId="59">'326'!$H$97:$H$98</definedName>
    <definedName name="OSRRefH22_15x_0" localSheetId="57">'331'!$H$130:$H$132</definedName>
    <definedName name="OSRRefH22_15x_0" localSheetId="74">'405'!$H$82</definedName>
    <definedName name="OSRRefH22_15x_0" localSheetId="76">'411'!$H$78</definedName>
    <definedName name="OSRRefH22_15x_0" localSheetId="79">'414'!$H$74</definedName>
    <definedName name="OSRRefH22_15x_0" localSheetId="80">'415'!$H$87:$H$88</definedName>
    <definedName name="OSRRefH22_15x_0" localSheetId="89">'433'!$H$87</definedName>
    <definedName name="OSRRefH22_15x_0" localSheetId="91">'444'!$H$89:$H$90</definedName>
    <definedName name="OSRRefH22_15x_0" localSheetId="92">'450'!$H$79:$H$80</definedName>
    <definedName name="OSRRefH22_15x_0" localSheetId="73">'491'!$H$82:$H$86</definedName>
    <definedName name="OSRRefH22_15x_0" localSheetId="87">'492'!$H$81:$H$90</definedName>
    <definedName name="OSRRefH22_15x_0" localSheetId="39">'Div 2'!$H$80:$H$81</definedName>
    <definedName name="OSRRefH22_15x_0" localSheetId="48">'Div 3'!$H$175</definedName>
    <definedName name="OSRRefH22_15x_0" localSheetId="71">'Div 4'!$H$81:$H$84</definedName>
    <definedName name="OSRRefH22_15x_0" localSheetId="2">Summary!$H$204</definedName>
    <definedName name="OSRRefH22_16x_0" localSheetId="41">'201'!$H$74</definedName>
    <definedName name="OSRRefH22_16x_0" localSheetId="49">'300'!$H$173:$H$176</definedName>
    <definedName name="OSRRefH22_16x_0" localSheetId="50">'300 &amp; 317'!$H$196:$H$199</definedName>
    <definedName name="OSRRefH22_16x_0" localSheetId="51">'301'!$H$77</definedName>
    <definedName name="OSRRefH22_16x_0" localSheetId="64">'310'!$H$85</definedName>
    <definedName name="OSRRefH22_16x_0" localSheetId="72">'310 &amp; 491'!$H$92:$H$93</definedName>
    <definedName name="OSRRefH22_16x_0" localSheetId="58">'315'!$H$139</definedName>
    <definedName name="OSRRefH22_16x_0" localSheetId="69">'325'!$H$84</definedName>
    <definedName name="OSRRefH22_16x_0" localSheetId="59">'326'!$H$100:$H$105</definedName>
    <definedName name="OSRRefH22_16x_0" localSheetId="57">'331'!$H$134:$H$136</definedName>
    <definedName name="OSRRefH22_16x_0" localSheetId="74">'405'!$H$84</definedName>
    <definedName name="OSRRefH22_16x_0" localSheetId="80">'415'!$H$90</definedName>
    <definedName name="OSRRefH22_16x_0" localSheetId="91">'444'!$H$92</definedName>
    <definedName name="OSRRefH22_16x_0" localSheetId="92">'450'!$H$82</definedName>
    <definedName name="OSRRefH22_16x_0" localSheetId="73">'491'!$H$88:$H$89</definedName>
    <definedName name="OSRRefH22_16x_0" localSheetId="87">'492'!$H$92:$H$93</definedName>
    <definedName name="OSRRefH22_16x_0" localSheetId="39">'Div 2'!$H$83:$H$87</definedName>
    <definedName name="OSRRefH22_16x_0" localSheetId="48">'Div 3'!$H$177</definedName>
    <definedName name="OSRRefH22_16x_0" localSheetId="71">'Div 4'!$H$86:$H$87</definedName>
    <definedName name="OSRRefH22_16x_0" localSheetId="2">Summary!$H$206</definedName>
    <definedName name="OSRRefH22_17x_0" localSheetId="49">'300'!$H$178:$H$181</definedName>
    <definedName name="OSRRefH22_17x_0" localSheetId="50">'300 &amp; 317'!$H$201:$H$204</definedName>
    <definedName name="OSRRefH22_17x_0" localSheetId="51">'301'!$H$79:$H$85</definedName>
    <definedName name="OSRRefH22_17x_0" localSheetId="64">'310'!$H$87:$H$93</definedName>
    <definedName name="OSRRefH22_17x_0" localSheetId="72">'310 &amp; 491'!$H$95:$H$105</definedName>
    <definedName name="OSRRefH22_17x_0" localSheetId="58">'315'!$H$141:$H$142</definedName>
    <definedName name="OSRRefH22_17x_0" localSheetId="69">'325'!$H$86</definedName>
    <definedName name="OSRRefH22_17x_0" localSheetId="59">'326'!$H$107:$H$108</definedName>
    <definedName name="OSRRefH22_17x_0" localSheetId="57">'331'!$H$138:$H$139</definedName>
    <definedName name="OSRRefH22_17x_0" localSheetId="74">'405'!$H$86</definedName>
    <definedName name="OSRRefH22_17x_0" localSheetId="80">'415'!$H$92:$H$93</definedName>
    <definedName name="OSRRefH22_17x_0" localSheetId="73">'491'!$H$91:$H$101</definedName>
    <definedName name="OSRRefH22_17x_0" localSheetId="87">'492'!$H$95</definedName>
    <definedName name="OSRRefH22_17x_0" localSheetId="39">'Div 2'!$H$89:$H$90</definedName>
    <definedName name="OSRRefH22_17x_0" localSheetId="48">'Div 3'!$H$179:$H$182</definedName>
    <definedName name="OSRRefH22_17x_0" localSheetId="71">'Div 4'!$H$89:$H$93</definedName>
    <definedName name="OSRRefH22_17x_0" localSheetId="2">Summary!$H$208</definedName>
    <definedName name="OSRRefH22_18x_0" localSheetId="49">'300'!$H$183:$H$186</definedName>
    <definedName name="OSRRefH22_18x_0" localSheetId="50">'300 &amp; 317'!$H$206:$H$209</definedName>
    <definedName name="OSRRefH22_18x_0" localSheetId="51">'301'!$H$87</definedName>
    <definedName name="OSRRefH22_18x_0" localSheetId="64">'310'!$H$95:$H$96</definedName>
    <definedName name="OSRRefH22_18x_0" localSheetId="72">'310 &amp; 491'!$H$107:$H$108</definedName>
    <definedName name="OSRRefH22_18x_0" localSheetId="59">'326'!$H$110</definedName>
    <definedName name="OSRRefH22_18x_0" localSheetId="57">'331'!$H$141:$H$148</definedName>
    <definedName name="OSRRefH22_18x_0" localSheetId="80">'415'!$H$95</definedName>
    <definedName name="OSRRefH22_18x_0" localSheetId="73">'491'!$H$103:$H$104</definedName>
    <definedName name="OSRRefH22_18x_0" localSheetId="87">'492'!$H$97</definedName>
    <definedName name="OSRRefH22_18x_0" localSheetId="39">'Div 2'!$H$92</definedName>
    <definedName name="OSRRefH22_18x_0" localSheetId="48">'Div 3'!$H$184:$H$187</definedName>
    <definedName name="OSRRefH22_18x_0" localSheetId="71">'Div 4'!$H$95:$H$96</definedName>
    <definedName name="OSRRefH22_18x_0" localSheetId="2">Summary!$H$210:$H$213</definedName>
    <definedName name="OSRRefH22_19x_0" localSheetId="49">'300'!$H$188:$H$189</definedName>
    <definedName name="OSRRefH22_19x_0" localSheetId="50">'300 &amp; 317'!$H$211:$H$212</definedName>
    <definedName name="OSRRefH22_19x_0" localSheetId="51">'301'!$H$89</definedName>
    <definedName name="OSRRefH22_19x_0" localSheetId="64">'310'!$H$98</definedName>
    <definedName name="OSRRefH22_19x_0" localSheetId="72">'310 &amp; 491'!$H$110</definedName>
    <definedName name="OSRRefH22_19x_0" localSheetId="59">'326'!$H$112:$H$113</definedName>
    <definedName name="OSRRefH22_19x_0" localSheetId="57">'331'!$H$150:$H$151</definedName>
    <definedName name="OSRRefH22_19x_0" localSheetId="73">'491'!$H$106</definedName>
    <definedName name="OSRRefH22_19x_0" localSheetId="39">'Div 2'!$H$94:$H$95</definedName>
    <definedName name="OSRRefH22_19x_0" localSheetId="48">'Div 3'!$H$189:$H$193</definedName>
    <definedName name="OSRRefH22_19x_0" localSheetId="71">'Div 4'!$H$98:$H$108</definedName>
    <definedName name="OSRRefH22_19x_0" localSheetId="2">Summary!$H$215:$H$218</definedName>
    <definedName name="OSRRefH22_1x_0" localSheetId="40">'200'!$H$22</definedName>
    <definedName name="OSRRefH22_1x_0" localSheetId="41">'201'!$H$31:$H$40</definedName>
    <definedName name="OSRRefH22_1x_0" localSheetId="42">'202'!$H$31:$H$40</definedName>
    <definedName name="OSRRefH22_1x_0" localSheetId="43">'203'!$H$31:$H$40</definedName>
    <definedName name="OSRRefH22_1x_0" localSheetId="44">'204'!$H$31:$H$40</definedName>
    <definedName name="OSRRefH22_1x_0" localSheetId="45">'205'!$H$30:$H$39</definedName>
    <definedName name="OSRRefH22_1x_0" localSheetId="46">'206'!$H$30:$H$39</definedName>
    <definedName name="OSRRefH22_1x_0" localSheetId="49">'300'!$H$127:$H$136</definedName>
    <definedName name="OSRRefH22_1x_0" localSheetId="50">'300 &amp; 317'!$H$150:$H$159</definedName>
    <definedName name="OSRRefH22_1x_0" localSheetId="51">'301'!$H$31:$H$40</definedName>
    <definedName name="OSRRefH22_1x_0" localSheetId="53">'307'!$H$48:$H$57</definedName>
    <definedName name="OSRRefH22_1x_0" localSheetId="54">'308'!$H$67:$H$76</definedName>
    <definedName name="OSRRefH22_1x_0" localSheetId="65">'309'!$H$31:$H$40</definedName>
    <definedName name="OSRRefH22_1x_0" localSheetId="64">'310'!$H$38:$H$47</definedName>
    <definedName name="OSRRefH22_1x_0" localSheetId="72">'310 &amp; 491'!$H$42:$H$51</definedName>
    <definedName name="OSRRefH22_1x_0" localSheetId="55">'311'!$H$66:$H$75</definedName>
    <definedName name="OSRRefH22_1x_0" localSheetId="66">'313'!$H$33:$H$42</definedName>
    <definedName name="OSRRefH22_1x_0" localSheetId="58">'315'!$H$90:$H$99</definedName>
    <definedName name="OSRRefH22_1x_0" localSheetId="61">'316'!$H$41:$H$50</definedName>
    <definedName name="OSRRefH22_1x_0" localSheetId="63">'317'!$H$61:$H$70</definedName>
    <definedName name="OSRRefH22_1x_0" localSheetId="67">'321'!$H$35:$H$44</definedName>
    <definedName name="OSRRefH22_1x_0" localSheetId="68">'322'!$H$32:$H$41</definedName>
    <definedName name="OSRRefH22_1x_0" localSheetId="56">'324'!$H$36:$H$45</definedName>
    <definedName name="OSRRefH22_1x_0" localSheetId="69">'325'!$H$34:$H$43</definedName>
    <definedName name="OSRRefH22_1x_0" localSheetId="59">'326'!$H$56:$H$65</definedName>
    <definedName name="OSRRefH22_1x_0" localSheetId="52">'330'!$H$48:$H$57</definedName>
    <definedName name="OSRRefH22_1x_0" localSheetId="57">'331'!$H$90:$H$99</definedName>
    <definedName name="OSRRefH22_1x_0" localSheetId="60">'332'!$H$41:$H$50</definedName>
    <definedName name="OSRRefH22_1x_0" localSheetId="74">'405'!$H$32:$H$41</definedName>
    <definedName name="OSRRefH22_1x_0" localSheetId="75">'406'!$H$22</definedName>
    <definedName name="OSRRefH22_1x_0" localSheetId="76">'411'!$H$30:$H$39</definedName>
    <definedName name="OSRRefH22_1x_0" localSheetId="77">'412'!$H$31:$H$40</definedName>
    <definedName name="OSRRefH22_1x_0" localSheetId="78">'413'!$H$33:$H$42</definedName>
    <definedName name="OSRRefH22_1x_0" localSheetId="79">'414'!$H$34:$H$43</definedName>
    <definedName name="OSRRefH22_1x_0" localSheetId="80">'415'!$H$37:$H$46</definedName>
    <definedName name="OSRRefH22_1x_0" localSheetId="81">'418'!$H$32:$H$41</definedName>
    <definedName name="OSRRefH22_1x_0" localSheetId="83">'423'!$H$29:$H$38</definedName>
    <definedName name="OSRRefH22_1x_0" localSheetId="84">'424'!$H$22</definedName>
    <definedName name="OSRRefH22_1x_0" localSheetId="85">'425'!$H$26</definedName>
    <definedName name="OSRRefH22_1x_0" localSheetId="88">'430'!$H$30:$H$39</definedName>
    <definedName name="OSRRefH22_1x_0" localSheetId="89">'433'!$H$38:$H$47</definedName>
    <definedName name="OSRRefH22_1x_0" localSheetId="91">'444'!$H$38:$H$47</definedName>
    <definedName name="OSRRefH22_1x_0" localSheetId="92">'450'!$H$34:$H$43</definedName>
    <definedName name="OSRRefH22_1x_0" localSheetId="73">'491'!$H$39:$H$48</definedName>
    <definedName name="OSRRefH22_1x_0" localSheetId="87">'492'!$H$38:$H$47</definedName>
    <definedName name="OSRRefH22_1x_0" localSheetId="94">'501'!$H$32:$H$41</definedName>
    <definedName name="OSRRefH22_1x_0" localSheetId="39">'Div 2'!$H$33:$H$42</definedName>
    <definedName name="OSRRefH22_1x_0" localSheetId="48">'Div 3'!$H$131:$H$140</definedName>
    <definedName name="OSRRefH22_1x_0" localSheetId="71">'Div 4'!$H$42:$H$51</definedName>
    <definedName name="OSRRefH22_1x_0" localSheetId="93">'Div 5'!$H$32:$H$41</definedName>
    <definedName name="OSRRefH22_1x_0" localSheetId="62">'Div 6'!$H$61:$H$70</definedName>
    <definedName name="OSRRefH22_1x_0" localSheetId="2">Summary!$H$159:$H$168</definedName>
    <definedName name="OSRRefH22_20x_0" localSheetId="49">'300'!$H$191:$H$199</definedName>
    <definedName name="OSRRefH22_20x_0" localSheetId="50">'300 &amp; 317'!$H$214:$H$222</definedName>
    <definedName name="OSRRefH22_20x_0" localSheetId="51">'301'!$H$91:$H$92</definedName>
    <definedName name="OSRRefH22_20x_0" localSheetId="64">'310'!$H$100</definedName>
    <definedName name="OSRRefH22_20x_0" localSheetId="72">'310 &amp; 491'!$H$112:$H$114</definedName>
    <definedName name="OSRRefH22_20x_0" localSheetId="59">'326'!$H$115</definedName>
    <definedName name="OSRRefH22_20x_0" localSheetId="57">'331'!$H$153</definedName>
    <definedName name="OSRRefH22_20x_0" localSheetId="73">'491'!$H$108:$H$110</definedName>
    <definedName name="OSRRefH22_20x_0" localSheetId="48">'Div 3'!$H$195:$H$196</definedName>
    <definedName name="OSRRefH22_20x_0" localSheetId="71">'Div 4'!$H$110:$H$111</definedName>
    <definedName name="OSRRefH22_20x_0" localSheetId="2">Summary!$H$220:$H$224</definedName>
    <definedName name="OSRRefH22_21x_0" localSheetId="49">'300'!$H$201:$H$202</definedName>
    <definedName name="OSRRefH22_21x_0" localSheetId="50">'300 &amp; 317'!$H$224:$H$225</definedName>
    <definedName name="OSRRefH22_21x_0" localSheetId="51">'301'!$H$94</definedName>
    <definedName name="OSRRefH22_21x_0" localSheetId="64">'310'!$H$102</definedName>
    <definedName name="OSRRefH22_21x_0" localSheetId="72">'310 &amp; 491'!$H$116</definedName>
    <definedName name="OSRRefH22_21x_0" localSheetId="57">'331'!$H$155:$H$156</definedName>
    <definedName name="OSRRefH22_21x_0" localSheetId="73">'491'!$H$112</definedName>
    <definedName name="OSRRefH22_21x_0" localSheetId="48">'Div 3'!$H$198:$H$206</definedName>
    <definedName name="OSRRefH22_21x_0" localSheetId="71">'Div 4'!$H$113</definedName>
    <definedName name="OSRRefH22_21x_0" localSheetId="2">Summary!$H$226:$H$227</definedName>
    <definedName name="OSRRefH22_22x_0" localSheetId="49">'300'!$H$204</definedName>
    <definedName name="OSRRefH22_22x_0" localSheetId="50">'300 &amp; 317'!$H$227</definedName>
    <definedName name="OSRRefH22_22x_0" localSheetId="57">'331'!$H$158</definedName>
    <definedName name="OSRRefH22_22x_0" localSheetId="48">'Div 3'!$H$208:$H$209</definedName>
    <definedName name="OSRRefH22_22x_0" localSheetId="71">'Div 4'!$H$115:$H$117</definedName>
    <definedName name="OSRRefH22_22x_0" localSheetId="2">Summary!$H$229:$H$239</definedName>
    <definedName name="OSRRefH22_23x_0" localSheetId="49">'300'!$H$206:$H$208</definedName>
    <definedName name="OSRRefH22_23x_0" localSheetId="50">'300 &amp; 317'!$H$229:$H$231</definedName>
    <definedName name="OSRRefH22_23x_0" localSheetId="48">'Div 3'!$H$211</definedName>
    <definedName name="OSRRefH22_23x_0" localSheetId="71">'Div 4'!$H$119</definedName>
    <definedName name="OSRRefH22_23x_0" localSheetId="2">Summary!$H$241:$H$242</definedName>
    <definedName name="OSRRefH22_24x_0" localSheetId="49">'300'!$H$210</definedName>
    <definedName name="OSRRefH22_24x_0" localSheetId="50">'300 &amp; 317'!$H$233</definedName>
    <definedName name="OSRRefH22_24x_0" localSheetId="48">'Div 3'!$H$213:$H$215</definedName>
    <definedName name="OSRRefH22_24x_0" localSheetId="2">Summary!$H$244</definedName>
    <definedName name="OSRRefH22_25x_0" localSheetId="48">'Div 3'!$H$217</definedName>
    <definedName name="OSRRefH22_25x_0" localSheetId="2">Summary!$H$246:$H$248</definedName>
    <definedName name="OSRRefH22_26x_0" localSheetId="2">Summary!$H$250</definedName>
    <definedName name="OSRRefH22_2x_0" localSheetId="40">'200'!$H$24</definedName>
    <definedName name="OSRRefH22_2x_0" localSheetId="41">'201'!$H$42</definedName>
    <definedName name="OSRRefH22_2x_0" localSheetId="42">'202'!$H$42</definedName>
    <definedName name="OSRRefH22_2x_0" localSheetId="43">'203'!$H$42</definedName>
    <definedName name="OSRRefH22_2x_0" localSheetId="44">'204'!$H$42</definedName>
    <definedName name="OSRRefH22_2x_0" localSheetId="45">'205'!$H$41</definedName>
    <definedName name="OSRRefH22_2x_0" localSheetId="46">'206'!$H$41</definedName>
    <definedName name="OSRRefH22_2x_0" localSheetId="49">'300'!$H$138</definedName>
    <definedName name="OSRRefH22_2x_0" localSheetId="50">'300 &amp; 317'!$H$161</definedName>
    <definedName name="OSRRefH22_2x_0" localSheetId="51">'301'!$H$42</definedName>
    <definedName name="OSRRefH22_2x_0" localSheetId="53">'307'!$H$59</definedName>
    <definedName name="OSRRefH22_2x_0" localSheetId="54">'308'!$H$78</definedName>
    <definedName name="OSRRefH22_2x_0" localSheetId="65">'309'!$H$42</definedName>
    <definedName name="OSRRefH22_2x_0" localSheetId="64">'310'!$H$49</definedName>
    <definedName name="OSRRefH22_2x_0" localSheetId="72">'310 &amp; 491'!$H$53</definedName>
    <definedName name="OSRRefH22_2x_0" localSheetId="55">'311'!$H$77</definedName>
    <definedName name="OSRRefH22_2x_0" localSheetId="66">'313'!$H$44</definedName>
    <definedName name="OSRRefH22_2x_0" localSheetId="58">'315'!$H$101</definedName>
    <definedName name="OSRRefH22_2x_0" localSheetId="61">'316'!$H$52</definedName>
    <definedName name="OSRRefH22_2x_0" localSheetId="63">'317'!$H$72</definedName>
    <definedName name="OSRRefH22_2x_0" localSheetId="67">'321'!$H$46</definedName>
    <definedName name="OSRRefH22_2x_0" localSheetId="68">'322'!$H$43</definedName>
    <definedName name="OSRRefH22_2x_0" localSheetId="69">'325'!$H$45</definedName>
    <definedName name="OSRRefH22_2x_0" localSheetId="59">'326'!$H$67</definedName>
    <definedName name="OSRRefH22_2x_0" localSheetId="52">'330'!$H$59</definedName>
    <definedName name="OSRRefH22_2x_0" localSheetId="57">'331'!$H$101</definedName>
    <definedName name="OSRRefH22_2x_0" localSheetId="60">'332'!$H$52</definedName>
    <definedName name="OSRRefH22_2x_0" localSheetId="74">'405'!$H$43</definedName>
    <definedName name="OSRRefH22_2x_0" localSheetId="75">'406'!$H$24</definedName>
    <definedName name="OSRRefH22_2x_0" localSheetId="76">'411'!$H$41</definedName>
    <definedName name="OSRRefH22_2x_0" localSheetId="77">'412'!$H$42</definedName>
    <definedName name="OSRRefH22_2x_0" localSheetId="78">'413'!$H$44</definedName>
    <definedName name="OSRRefH22_2x_0" localSheetId="79">'414'!$H$45</definedName>
    <definedName name="OSRRefH22_2x_0" localSheetId="80">'415'!$H$48</definedName>
    <definedName name="OSRRefH22_2x_0" localSheetId="81">'418'!$H$43</definedName>
    <definedName name="OSRRefH22_2x_0" localSheetId="83">'423'!$H$40</definedName>
    <definedName name="OSRRefH22_2x_0" localSheetId="84">'424'!$H$24</definedName>
    <definedName name="OSRRefH22_2x_0" localSheetId="85">'425'!$H$28</definedName>
    <definedName name="OSRRefH22_2x_0" localSheetId="88">'430'!$H$41</definedName>
    <definedName name="OSRRefH22_2x_0" localSheetId="89">'433'!$H$49</definedName>
    <definedName name="OSRRefH22_2x_0" localSheetId="91">'444'!$H$49</definedName>
    <definedName name="OSRRefH22_2x_0" localSheetId="92">'450'!$H$45</definedName>
    <definedName name="OSRRefH22_2x_0" localSheetId="73">'491'!$H$50</definedName>
    <definedName name="OSRRefH22_2x_0" localSheetId="87">'492'!$H$49</definedName>
    <definedName name="OSRRefH22_2x_0" localSheetId="94">'501'!$H$43</definedName>
    <definedName name="OSRRefH22_2x_0" localSheetId="39">'Div 2'!$H$44</definedName>
    <definedName name="OSRRefH22_2x_0" localSheetId="48">'Div 3'!$H$142</definedName>
    <definedName name="OSRRefH22_2x_0" localSheetId="71">'Div 4'!$H$53</definedName>
    <definedName name="OSRRefH22_2x_0" localSheetId="93">'Div 5'!$H$43</definedName>
    <definedName name="OSRRefH22_2x_0" localSheetId="62">'Div 6'!$H$72</definedName>
    <definedName name="OSRRefH22_2x_0" localSheetId="2">Summary!$H$170</definedName>
    <definedName name="OSRRefH22_3x_0" localSheetId="40">'200'!$H$26</definedName>
    <definedName name="OSRRefH22_3x_0" localSheetId="41">'201'!$H$44</definedName>
    <definedName name="OSRRefH22_3x_0" localSheetId="42">'202'!$H$44</definedName>
    <definedName name="OSRRefH22_3x_0" localSheetId="43">'203'!$H$44</definedName>
    <definedName name="OSRRefH22_3x_0" localSheetId="44">'204'!$H$44:$H$45</definedName>
    <definedName name="OSRRefH22_3x_0" localSheetId="45">'205'!$H$43</definedName>
    <definedName name="OSRRefH22_3x_0" localSheetId="46">'206'!$H$43</definedName>
    <definedName name="OSRRefH22_3x_0" localSheetId="49">'300'!$H$140:$H$141</definedName>
    <definedName name="OSRRefH22_3x_0" localSheetId="50">'300 &amp; 317'!$H$163:$H$164</definedName>
    <definedName name="OSRRefH22_3x_0" localSheetId="51">'301'!$H$44:$H$45</definedName>
    <definedName name="OSRRefH22_3x_0" localSheetId="53">'307'!$H$61</definedName>
    <definedName name="OSRRefH22_3x_0" localSheetId="54">'308'!$H$80:$H$81</definedName>
    <definedName name="OSRRefH22_3x_0" localSheetId="65">'309'!$H$44</definedName>
    <definedName name="OSRRefH22_3x_0" localSheetId="64">'310'!$H$51</definedName>
    <definedName name="OSRRefH22_3x_0" localSheetId="72">'310 &amp; 491'!$H$55</definedName>
    <definedName name="OSRRefH22_3x_0" localSheetId="55">'311'!$H$79:$H$80</definedName>
    <definedName name="OSRRefH22_3x_0" localSheetId="66">'313'!$H$46</definedName>
    <definedName name="OSRRefH22_3x_0" localSheetId="58">'315'!$H$103</definedName>
    <definedName name="OSRRefH22_3x_0" localSheetId="61">'316'!$H$54</definedName>
    <definedName name="OSRRefH22_3x_0" localSheetId="63">'317'!$H$74</definedName>
    <definedName name="OSRRefH22_3x_0" localSheetId="67">'321'!$H$48</definedName>
    <definedName name="OSRRefH22_3x_0" localSheetId="68">'322'!$H$45</definedName>
    <definedName name="OSRRefH22_3x_0" localSheetId="69">'325'!$H$47</definedName>
    <definedName name="OSRRefH22_3x_0" localSheetId="59">'326'!$H$69</definedName>
    <definedName name="OSRRefH22_3x_0" localSheetId="52">'330'!$H$61</definedName>
    <definedName name="OSRRefH22_3x_0" localSheetId="57">'331'!$H$103</definedName>
    <definedName name="OSRRefH22_3x_0" localSheetId="60">'332'!$H$54</definedName>
    <definedName name="OSRRefH22_3x_0" localSheetId="74">'405'!$H$45</definedName>
    <definedName name="OSRRefH22_3x_0" localSheetId="75">'406'!$H$26</definedName>
    <definedName name="OSRRefH22_3x_0" localSheetId="76">'411'!$H$43</definedName>
    <definedName name="OSRRefH22_3x_0" localSheetId="77">'412'!$H$44</definedName>
    <definedName name="OSRRefH22_3x_0" localSheetId="78">'413'!$H$46</definedName>
    <definedName name="OSRRefH22_3x_0" localSheetId="79">'414'!$H$47</definedName>
    <definedName name="OSRRefH22_3x_0" localSheetId="80">'415'!$H$50</definedName>
    <definedName name="OSRRefH22_3x_0" localSheetId="81">'418'!$H$45</definedName>
    <definedName name="OSRRefH22_3x_0" localSheetId="83">'423'!$H$42:$H$43</definedName>
    <definedName name="OSRRefH22_3x_0" localSheetId="84">'424'!$H$26</definedName>
    <definedName name="OSRRefH22_3x_0" localSheetId="85">'425'!$H$30</definedName>
    <definedName name="OSRRefH22_3x_0" localSheetId="88">'430'!$H$43</definedName>
    <definedName name="OSRRefH22_3x_0" localSheetId="89">'433'!$H$51</definedName>
    <definedName name="OSRRefH22_3x_0" localSheetId="91">'444'!$H$51</definedName>
    <definedName name="OSRRefH22_3x_0" localSheetId="92">'450'!$H$47</definedName>
    <definedName name="OSRRefH22_3x_0" localSheetId="73">'491'!$H$52</definedName>
    <definedName name="OSRRefH22_3x_0" localSheetId="87">'492'!$H$51</definedName>
    <definedName name="OSRRefH22_3x_0" localSheetId="94">'501'!$H$45</definedName>
    <definedName name="OSRRefH22_3x_0" localSheetId="39">'Div 2'!$H$46</definedName>
    <definedName name="OSRRefH22_3x_0" localSheetId="48">'Div 3'!$H$144:$H$145</definedName>
    <definedName name="OSRRefH22_3x_0" localSheetId="71">'Div 4'!$H$55</definedName>
    <definedName name="OSRRefH22_3x_0" localSheetId="93">'Div 5'!$H$45</definedName>
    <definedName name="OSRRefH22_3x_0" localSheetId="62">'Div 6'!$H$74</definedName>
    <definedName name="OSRRefH22_3x_0" localSheetId="2">Summary!$H$172:$H$173</definedName>
    <definedName name="OSRRefH22_4x_0" localSheetId="40">'200'!$H$28:$H$29</definedName>
    <definedName name="OSRRefH22_4x_0" localSheetId="41">'201'!$H$46</definedName>
    <definedName name="OSRRefH22_4x_0" localSheetId="42">'202'!$H$46:$H$47</definedName>
    <definedName name="OSRRefH22_4x_0" localSheetId="43">'203'!$H$46</definedName>
    <definedName name="OSRRefH22_4x_0" localSheetId="44">'204'!$H$47</definedName>
    <definedName name="OSRRefH22_4x_0" localSheetId="45">'205'!$H$45:$H$46</definedName>
    <definedName name="OSRRefH22_4x_0" localSheetId="46">'206'!$H$45</definedName>
    <definedName name="OSRRefH22_4x_0" localSheetId="49">'300'!$H$143</definedName>
    <definedName name="OSRRefH22_4x_0" localSheetId="50">'300 &amp; 317'!$H$166</definedName>
    <definedName name="OSRRefH22_4x_0" localSheetId="51">'301'!$H$47</definedName>
    <definedName name="OSRRefH22_4x_0" localSheetId="53">'307'!$H$63</definedName>
    <definedName name="OSRRefH22_4x_0" localSheetId="54">'308'!$H$83</definedName>
    <definedName name="OSRRefH22_4x_0" localSheetId="65">'309'!$H$46</definedName>
    <definedName name="OSRRefH22_4x_0" localSheetId="64">'310'!$H$53</definedName>
    <definedName name="OSRRefH22_4x_0" localSheetId="72">'310 &amp; 491'!$H$57</definedName>
    <definedName name="OSRRefH22_4x_0" localSheetId="55">'311'!$H$82</definedName>
    <definedName name="OSRRefH22_4x_0" localSheetId="66">'313'!$H$48</definedName>
    <definedName name="OSRRefH22_4x_0" localSheetId="58">'315'!$H$105</definedName>
    <definedName name="OSRRefH22_4x_0" localSheetId="61">'316'!$H$56</definedName>
    <definedName name="OSRRefH22_4x_0" localSheetId="63">'317'!$H$76</definedName>
    <definedName name="OSRRefH22_4x_0" localSheetId="67">'321'!$H$50</definedName>
    <definedName name="OSRRefH22_4x_0" localSheetId="68">'322'!$H$47</definedName>
    <definedName name="OSRRefH22_4x_0" localSheetId="69">'325'!$H$49</definedName>
    <definedName name="OSRRefH22_4x_0" localSheetId="59">'326'!$H$71</definedName>
    <definedName name="OSRRefH22_4x_0" localSheetId="52">'330'!$H$63</definedName>
    <definedName name="OSRRefH22_4x_0" localSheetId="57">'331'!$H$105</definedName>
    <definedName name="OSRRefH22_4x_0" localSheetId="60">'332'!$H$56</definedName>
    <definedName name="OSRRefH22_4x_0" localSheetId="74">'405'!$H$47:$H$48</definedName>
    <definedName name="OSRRefH22_4x_0" localSheetId="75">'406'!$H$28</definedName>
    <definedName name="OSRRefH22_4x_0" localSheetId="76">'411'!$H$45:$H$46</definedName>
    <definedName name="OSRRefH22_4x_0" localSheetId="77">'412'!$H$46:$H$47</definedName>
    <definedName name="OSRRefH22_4x_0" localSheetId="78">'413'!$H$48</definedName>
    <definedName name="OSRRefH22_4x_0" localSheetId="79">'414'!$H$49</definedName>
    <definedName name="OSRRefH22_4x_0" localSheetId="80">'415'!$H$52</definedName>
    <definedName name="OSRRefH22_4x_0" localSheetId="81">'418'!$H$47:$H$48</definedName>
    <definedName name="OSRRefH22_4x_0" localSheetId="83">'423'!$H$45</definedName>
    <definedName name="OSRRefH22_4x_0" localSheetId="85">'425'!$H$32:$H$33</definedName>
    <definedName name="OSRRefH22_4x_0" localSheetId="88">'430'!$H$45:$H$47</definedName>
    <definedName name="OSRRefH22_4x_0" localSheetId="89">'433'!$H$53</definedName>
    <definedName name="OSRRefH22_4x_0" localSheetId="91">'444'!$H$53</definedName>
    <definedName name="OSRRefH22_4x_0" localSheetId="92">'450'!$H$49</definedName>
    <definedName name="OSRRefH22_4x_0" localSheetId="73">'491'!$H$54</definedName>
    <definedName name="OSRRefH22_4x_0" localSheetId="87">'492'!$H$53</definedName>
    <definedName name="OSRRefH22_4x_0" localSheetId="94">'501'!$H$47</definedName>
    <definedName name="OSRRefH22_4x_0" localSheetId="39">'Div 2'!$H$48</definedName>
    <definedName name="OSRRefH22_4x_0" localSheetId="48">'Div 3'!$H$147</definedName>
    <definedName name="OSRRefH22_4x_0" localSheetId="71">'Div 4'!$H$57</definedName>
    <definedName name="OSRRefH22_4x_0" localSheetId="93">'Div 5'!$H$47</definedName>
    <definedName name="OSRRefH22_4x_0" localSheetId="62">'Div 6'!$H$76</definedName>
    <definedName name="OSRRefH22_4x_0" localSheetId="2">Summary!$H$175</definedName>
    <definedName name="OSRRefH22_5x_0" localSheetId="41">'201'!$H$48</definedName>
    <definedName name="OSRRefH22_5x_0" localSheetId="42">'202'!$H$49</definedName>
    <definedName name="OSRRefH22_5x_0" localSheetId="43">'203'!$H$48</definedName>
    <definedName name="OSRRefH22_5x_0" localSheetId="44">'204'!$H$49</definedName>
    <definedName name="OSRRefH22_5x_0" localSheetId="45">'205'!$H$48</definedName>
    <definedName name="OSRRefH22_5x_0" localSheetId="46">'206'!$H$47</definedName>
    <definedName name="OSRRefH22_5x_0" localSheetId="49">'300'!$H$145:$H$146</definedName>
    <definedName name="OSRRefH22_5x_0" localSheetId="50">'300 &amp; 317'!$H$168:$H$169</definedName>
    <definedName name="OSRRefH22_5x_0" localSheetId="51">'301'!$H$49:$H$50</definedName>
    <definedName name="OSRRefH22_5x_0" localSheetId="53">'307'!$H$65:$H$66</definedName>
    <definedName name="OSRRefH22_5x_0" localSheetId="54">'308'!$H$85</definedName>
    <definedName name="OSRRefH22_5x_0" localSheetId="65">'309'!$H$48</definedName>
    <definedName name="OSRRefH22_5x_0" localSheetId="64">'310'!$H$55:$H$56</definedName>
    <definedName name="OSRRefH22_5x_0" localSheetId="72">'310 &amp; 491'!$H$59:$H$61</definedName>
    <definedName name="OSRRefH22_5x_0" localSheetId="55">'311'!$H$84</definedName>
    <definedName name="OSRRefH22_5x_0" localSheetId="66">'313'!$H$50</definedName>
    <definedName name="OSRRefH22_5x_0" localSheetId="58">'315'!$H$107</definedName>
    <definedName name="OSRRefH22_5x_0" localSheetId="61">'316'!$H$58</definedName>
    <definedName name="OSRRefH22_5x_0" localSheetId="63">'317'!$H$78</definedName>
    <definedName name="OSRRefH22_5x_0" localSheetId="67">'321'!$H$52</definedName>
    <definedName name="OSRRefH22_5x_0" localSheetId="68">'322'!$H$49</definedName>
    <definedName name="OSRRefH22_5x_0" localSheetId="69">'325'!$H$51:$H$52</definedName>
    <definedName name="OSRRefH22_5x_0" localSheetId="59">'326'!$H$73</definedName>
    <definedName name="OSRRefH22_5x_0" localSheetId="52">'330'!$H$65:$H$66</definedName>
    <definedName name="OSRRefH22_5x_0" localSheetId="57">'331'!$H$107</definedName>
    <definedName name="OSRRefH22_5x_0" localSheetId="60">'332'!$H$58</definedName>
    <definedName name="OSRRefH22_5x_0" localSheetId="74">'405'!$H$50</definedName>
    <definedName name="OSRRefH22_5x_0" localSheetId="76">'411'!$H$48</definedName>
    <definedName name="OSRRefH22_5x_0" localSheetId="77">'412'!$H$49</definedName>
    <definedName name="OSRRefH22_5x_0" localSheetId="78">'413'!$H$50</definedName>
    <definedName name="OSRRefH22_5x_0" localSheetId="79">'414'!$H$51</definedName>
    <definedName name="OSRRefH22_5x_0" localSheetId="80">'415'!$H$54:$H$55</definedName>
    <definedName name="OSRRefH22_5x_0" localSheetId="81">'418'!$H$50</definedName>
    <definedName name="OSRRefH22_5x_0" localSheetId="83">'423'!$H$47</definedName>
    <definedName name="OSRRefH22_5x_0" localSheetId="85">'425'!$H$35</definedName>
    <definedName name="OSRRefH22_5x_0" localSheetId="88">'430'!$H$49:$H$50</definedName>
    <definedName name="OSRRefH22_5x_0" localSheetId="89">'433'!$H$55</definedName>
    <definedName name="OSRRefH22_5x_0" localSheetId="91">'444'!$H$55</definedName>
    <definedName name="OSRRefH22_5x_0" localSheetId="92">'450'!$H$51</definedName>
    <definedName name="OSRRefH22_5x_0" localSheetId="73">'491'!$H$56:$H$58</definedName>
    <definedName name="OSRRefH22_5x_0" localSheetId="87">'492'!$H$55</definedName>
    <definedName name="OSRRefH22_5x_0" localSheetId="94">'501'!$H$49:$H$50</definedName>
    <definedName name="OSRRefH22_5x_0" localSheetId="39">'Div 2'!$H$50:$H$51</definedName>
    <definedName name="OSRRefH22_5x_0" localSheetId="48">'Div 3'!$H$149:$H$150</definedName>
    <definedName name="OSRRefH22_5x_0" localSheetId="71">'Div 4'!$H$59:$H$61</definedName>
    <definedName name="OSRRefH22_5x_0" localSheetId="93">'Div 5'!$H$49:$H$50</definedName>
    <definedName name="OSRRefH22_5x_0" localSheetId="62">'Div 6'!$H$78</definedName>
    <definedName name="OSRRefH22_5x_0" localSheetId="2">Summary!$H$177:$H$179</definedName>
    <definedName name="OSRRefH22_6x_0" localSheetId="41">'201'!$H$50</definedName>
    <definedName name="OSRRefH22_6x_0" localSheetId="42">'202'!$H$51</definedName>
    <definedName name="OSRRefH22_6x_0" localSheetId="43">'203'!$H$50</definedName>
    <definedName name="OSRRefH22_6x_0" localSheetId="44">'204'!$H$51</definedName>
    <definedName name="OSRRefH22_6x_0" localSheetId="45">'205'!$H$50:$H$52</definedName>
    <definedName name="OSRRefH22_6x_0" localSheetId="46">'206'!$H$49</definedName>
    <definedName name="OSRRefH22_6x_0" localSheetId="49">'300'!$H$148:$H$149</definedName>
    <definedName name="OSRRefH22_6x_0" localSheetId="50">'300 &amp; 317'!$H$171:$H$172</definedName>
    <definedName name="OSRRefH22_6x_0" localSheetId="51">'301'!$H$52</definedName>
    <definedName name="OSRRefH22_6x_0" localSheetId="53">'307'!$H$68</definedName>
    <definedName name="OSRRefH22_6x_0" localSheetId="54">'308'!$H$87:$H$88</definedName>
    <definedName name="OSRRefH22_6x_0" localSheetId="65">'309'!$H$50</definedName>
    <definedName name="OSRRefH22_6x_0" localSheetId="64">'310'!$H$58</definedName>
    <definedName name="OSRRefH22_6x_0" localSheetId="72">'310 &amp; 491'!$H$63</definedName>
    <definedName name="OSRRefH22_6x_0" localSheetId="55">'311'!$H$86:$H$87</definedName>
    <definedName name="OSRRefH22_6x_0" localSheetId="66">'313'!$H$52:$H$53</definedName>
    <definedName name="OSRRefH22_6x_0" localSheetId="58">'315'!$H$109</definedName>
    <definedName name="OSRRefH22_6x_0" localSheetId="61">'316'!$H$60:$H$61</definedName>
    <definedName name="OSRRefH22_6x_0" localSheetId="63">'317'!$H$80:$H$81</definedName>
    <definedName name="OSRRefH22_6x_0" localSheetId="67">'321'!$H$54</definedName>
    <definedName name="OSRRefH22_6x_0" localSheetId="68">'322'!$H$51</definedName>
    <definedName name="OSRRefH22_6x_0" localSheetId="69">'325'!$H$54</definedName>
    <definedName name="OSRRefH22_6x_0" localSheetId="59">'326'!$H$75</definedName>
    <definedName name="OSRRefH22_6x_0" localSheetId="52">'330'!$H$68</definedName>
    <definedName name="OSRRefH22_6x_0" localSheetId="57">'331'!$H$109</definedName>
    <definedName name="OSRRefH22_6x_0" localSheetId="60">'332'!$H$60:$H$61</definedName>
    <definedName name="OSRRefH22_6x_0" localSheetId="74">'405'!$H$52</definedName>
    <definedName name="OSRRefH22_6x_0" localSheetId="76">'411'!$H$50</definedName>
    <definedName name="OSRRefH22_6x_0" localSheetId="77">'412'!$H$51</definedName>
    <definedName name="OSRRefH22_6x_0" localSheetId="78">'413'!$H$52</definedName>
    <definedName name="OSRRefH22_6x_0" localSheetId="79">'414'!$H$53</definedName>
    <definedName name="OSRRefH22_6x_0" localSheetId="80">'415'!$H$57</definedName>
    <definedName name="OSRRefH22_6x_0" localSheetId="81">'418'!$H$52</definedName>
    <definedName name="OSRRefH22_6x_0" localSheetId="83">'423'!$H$49</definedName>
    <definedName name="OSRRefH22_6x_0" localSheetId="88">'430'!$H$52</definedName>
    <definedName name="OSRRefH22_6x_0" localSheetId="89">'433'!$H$57</definedName>
    <definedName name="OSRRefH22_6x_0" localSheetId="91">'444'!$H$57</definedName>
    <definedName name="OSRRefH22_6x_0" localSheetId="92">'450'!$H$53</definedName>
    <definedName name="OSRRefH22_6x_0" localSheetId="73">'491'!$H$60</definedName>
    <definedName name="OSRRefH22_6x_0" localSheetId="87">'492'!$H$57</definedName>
    <definedName name="OSRRefH22_6x_0" localSheetId="94">'501'!$H$52</definedName>
    <definedName name="OSRRefH22_6x_0" localSheetId="39">'Div 2'!$H$53</definedName>
    <definedName name="OSRRefH22_6x_0" localSheetId="48">'Div 3'!$H$152:$H$153</definedName>
    <definedName name="OSRRefH22_6x_0" localSheetId="71">'Div 4'!$H$63</definedName>
    <definedName name="OSRRefH22_6x_0" localSheetId="93">'Div 5'!$H$52</definedName>
    <definedName name="OSRRefH22_6x_0" localSheetId="62">'Div 6'!$H$80:$H$81</definedName>
    <definedName name="OSRRefH22_6x_0" localSheetId="2">Summary!$H$181:$H$182</definedName>
    <definedName name="OSRRefH22_7x_0" localSheetId="41">'201'!$H$52</definedName>
    <definedName name="OSRRefH22_7x_0" localSheetId="42">'202'!$H$53:$H$54</definedName>
    <definedName name="OSRRefH22_7x_0" localSheetId="43">'203'!$H$52:$H$53</definedName>
    <definedName name="OSRRefH22_7x_0" localSheetId="44">'204'!$H$53:$H$55</definedName>
    <definedName name="OSRRefH22_7x_0" localSheetId="45">'205'!$H$54</definedName>
    <definedName name="OSRRefH22_7x_0" localSheetId="46">'206'!$H$51</definedName>
    <definedName name="OSRRefH22_7x_0" localSheetId="49">'300'!$H$151:$H$152</definedName>
    <definedName name="OSRRefH22_7x_0" localSheetId="50">'300 &amp; 317'!$H$174:$H$175</definedName>
    <definedName name="OSRRefH22_7x_0" localSheetId="51">'301'!$H$54</definedName>
    <definedName name="OSRRefH22_7x_0" localSheetId="53">'307'!$H$70</definedName>
    <definedName name="OSRRefH22_7x_0" localSheetId="54">'308'!$H$90:$H$91</definedName>
    <definedName name="OSRRefH22_7x_0" localSheetId="65">'309'!$H$52:$H$53</definedName>
    <definedName name="OSRRefH22_7x_0" localSheetId="64">'310'!$H$60</definedName>
    <definedName name="OSRRefH22_7x_0" localSheetId="72">'310 &amp; 491'!$H$65</definedName>
    <definedName name="OSRRefH22_7x_0" localSheetId="55">'311'!$H$89:$H$90</definedName>
    <definedName name="OSRRefH22_7x_0" localSheetId="66">'313'!$H$55</definedName>
    <definedName name="OSRRefH22_7x_0" localSheetId="58">'315'!$H$111:$H$112</definedName>
    <definedName name="OSRRefH22_7x_0" localSheetId="61">'316'!$H$63:$H$64</definedName>
    <definedName name="OSRRefH22_7x_0" localSheetId="63">'317'!$H$83</definedName>
    <definedName name="OSRRefH22_7x_0" localSheetId="67">'321'!$H$56:$H$57</definedName>
    <definedName name="OSRRefH22_7x_0" localSheetId="68">'322'!$H$53:$H$54</definedName>
    <definedName name="OSRRefH22_7x_0" localSheetId="69">'325'!$H$56</definedName>
    <definedName name="OSRRefH22_7x_0" localSheetId="59">'326'!$H$77</definedName>
    <definedName name="OSRRefH22_7x_0" localSheetId="52">'330'!$H$70</definedName>
    <definedName name="OSRRefH22_7x_0" localSheetId="57">'331'!$H$111</definedName>
    <definedName name="OSRRefH22_7x_0" localSheetId="60">'332'!$H$63:$H$64</definedName>
    <definedName name="OSRRefH22_7x_0" localSheetId="74">'405'!$H$54</definedName>
    <definedName name="OSRRefH22_7x_0" localSheetId="76">'411'!$H$52</definedName>
    <definedName name="OSRRefH22_7x_0" localSheetId="77">'412'!$H$53</definedName>
    <definedName name="OSRRefH22_7x_0" localSheetId="78">'413'!$H$54</definedName>
    <definedName name="OSRRefH22_7x_0" localSheetId="79">'414'!$H$55</definedName>
    <definedName name="OSRRefH22_7x_0" localSheetId="80">'415'!$H$59</definedName>
    <definedName name="OSRRefH22_7x_0" localSheetId="81">'418'!$H$54</definedName>
    <definedName name="OSRRefH22_7x_0" localSheetId="88">'430'!$H$54</definedName>
    <definedName name="OSRRefH22_7x_0" localSheetId="89">'433'!$H$59</definedName>
    <definedName name="OSRRefH22_7x_0" localSheetId="91">'444'!$H$59</definedName>
    <definedName name="OSRRefH22_7x_0" localSheetId="92">'450'!$H$55</definedName>
    <definedName name="OSRRefH22_7x_0" localSheetId="73">'491'!$H$62</definedName>
    <definedName name="OSRRefH22_7x_0" localSheetId="87">'492'!$H$59</definedName>
    <definedName name="OSRRefH22_7x_0" localSheetId="94">'501'!$H$54</definedName>
    <definedName name="OSRRefH22_7x_0" localSheetId="39">'Div 2'!$H$55</definedName>
    <definedName name="OSRRefH22_7x_0" localSheetId="48">'Div 3'!$H$155:$H$156</definedName>
    <definedName name="OSRRefH22_7x_0" localSheetId="71">'Div 4'!$H$65</definedName>
    <definedName name="OSRRefH22_7x_0" localSheetId="93">'Div 5'!$H$54</definedName>
    <definedName name="OSRRefH22_7x_0" localSheetId="62">'Div 6'!$H$83</definedName>
    <definedName name="OSRRefH22_7x_0" localSheetId="2">Summary!$H$184:$H$185</definedName>
    <definedName name="OSRRefH22_8x_0" localSheetId="41">'201'!$H$54</definedName>
    <definedName name="OSRRefH22_8x_0" localSheetId="42">'202'!$H$56</definedName>
    <definedName name="OSRRefH22_8x_0" localSheetId="43">'203'!$H$55:$H$57</definedName>
    <definedName name="OSRRefH22_8x_0" localSheetId="44">'204'!$H$57:$H$58</definedName>
    <definedName name="OSRRefH22_8x_0" localSheetId="46">'206'!$H$53:$H$54</definedName>
    <definedName name="OSRRefH22_8x_0" localSheetId="49">'300'!$H$154</definedName>
    <definedName name="OSRRefH22_8x_0" localSheetId="50">'300 &amp; 317'!$H$177</definedName>
    <definedName name="OSRRefH22_8x_0" localSheetId="51">'301'!$H$56</definedName>
    <definedName name="OSRRefH22_8x_0" localSheetId="53">'307'!$H$72</definedName>
    <definedName name="OSRRefH22_8x_0" localSheetId="54">'308'!$H$93</definedName>
    <definedName name="OSRRefH22_8x_0" localSheetId="65">'309'!$H$55:$H$56</definedName>
    <definedName name="OSRRefH22_8x_0" localSheetId="64">'310'!$H$62</definedName>
    <definedName name="OSRRefH22_8x_0" localSheetId="72">'310 &amp; 491'!$H$67:$H$68</definedName>
    <definedName name="OSRRefH22_8x_0" localSheetId="55">'311'!$H$92</definedName>
    <definedName name="OSRRefH22_8x_0" localSheetId="66">'313'!$H$57:$H$59</definedName>
    <definedName name="OSRRefH22_8x_0" localSheetId="58">'315'!$H$114</definedName>
    <definedName name="OSRRefH22_8x_0" localSheetId="61">'316'!$H$66</definedName>
    <definedName name="OSRRefH22_8x_0" localSheetId="63">'317'!$H$85</definedName>
    <definedName name="OSRRefH22_8x_0" localSheetId="67">'321'!$H$59:$H$60</definedName>
    <definedName name="OSRRefH22_8x_0" localSheetId="68">'322'!$H$56:$H$57</definedName>
    <definedName name="OSRRefH22_8x_0" localSheetId="69">'325'!$H$58</definedName>
    <definedName name="OSRRefH22_8x_0" localSheetId="59">'326'!$H$79:$H$80</definedName>
    <definedName name="OSRRefH22_8x_0" localSheetId="52">'330'!$H$72</definedName>
    <definedName name="OSRRefH22_8x_0" localSheetId="57">'331'!$H$113:$H$114</definedName>
    <definedName name="OSRRefH22_8x_0" localSheetId="60">'332'!$H$66</definedName>
    <definedName name="OSRRefH22_8x_0" localSheetId="74">'405'!$H$56</definedName>
    <definedName name="OSRRefH22_8x_0" localSheetId="76">'411'!$H$54</definedName>
    <definedName name="OSRRefH22_8x_0" localSheetId="77">'412'!$H$55:$H$56</definedName>
    <definedName name="OSRRefH22_8x_0" localSheetId="78">'413'!$H$56:$H$59</definedName>
    <definedName name="OSRRefH22_8x_0" localSheetId="79">'414'!$H$57:$H$58</definedName>
    <definedName name="OSRRefH22_8x_0" localSheetId="80">'415'!$H$61</definedName>
    <definedName name="OSRRefH22_8x_0" localSheetId="81">'418'!$H$56:$H$58</definedName>
    <definedName name="OSRRefH22_8x_0" localSheetId="89">'433'!$H$61</definedName>
    <definedName name="OSRRefH22_8x_0" localSheetId="91">'444'!$H$61</definedName>
    <definedName name="OSRRefH22_8x_0" localSheetId="92">'450'!$H$57</definedName>
    <definedName name="OSRRefH22_8x_0" localSheetId="73">'491'!$H$64</definedName>
    <definedName name="OSRRefH22_8x_0" localSheetId="87">'492'!$H$61</definedName>
    <definedName name="OSRRefH22_8x_0" localSheetId="94">'501'!$H$56</definedName>
    <definedName name="OSRRefH22_8x_0" localSheetId="39">'Div 2'!$H$57</definedName>
    <definedName name="OSRRefH22_8x_0" localSheetId="48">'Div 3'!$H$158</definedName>
    <definedName name="OSRRefH22_8x_0" localSheetId="71">'Div 4'!$H$67</definedName>
    <definedName name="OSRRefH22_8x_0" localSheetId="93">'Div 5'!$H$56</definedName>
    <definedName name="OSRRefH22_8x_0" localSheetId="62">'Div 6'!$H$85</definedName>
    <definedName name="OSRRefH22_8x_0" localSheetId="2">Summary!$H$187</definedName>
    <definedName name="OSRRefH22_9x_0" localSheetId="41">'201'!$H$56</definedName>
    <definedName name="OSRRefH22_9x_0" localSheetId="42">'202'!$H$58:$H$60</definedName>
    <definedName name="OSRRefH22_9x_0" localSheetId="43">'203'!$H$59:$H$60</definedName>
    <definedName name="OSRRefH22_9x_0" localSheetId="44">'204'!$H$60</definedName>
    <definedName name="OSRRefH22_9x_0" localSheetId="46">'206'!$H$56</definedName>
    <definedName name="OSRRefH22_9x_0" localSheetId="49">'300'!$H$156</definedName>
    <definedName name="OSRRefH22_9x_0" localSheetId="50">'300 &amp; 317'!$H$179</definedName>
    <definedName name="OSRRefH22_9x_0" localSheetId="51">'301'!$H$58</definedName>
    <definedName name="OSRRefH22_9x_0" localSheetId="53">'307'!$H$74:$H$75</definedName>
    <definedName name="OSRRefH22_9x_0" localSheetId="54">'308'!$H$95:$H$96</definedName>
    <definedName name="OSRRefH22_9x_0" localSheetId="65">'309'!$H$58:$H$60</definedName>
    <definedName name="OSRRefH22_9x_0" localSheetId="64">'310'!$H$64</definedName>
    <definedName name="OSRRefH22_9x_0" localSheetId="72">'310 &amp; 491'!$H$70</definedName>
    <definedName name="OSRRefH22_9x_0" localSheetId="55">'311'!$H$94:$H$95</definedName>
    <definedName name="OSRRefH22_9x_0" localSheetId="66">'313'!$H$61:$H$62</definedName>
    <definedName name="OSRRefH22_9x_0" localSheetId="58">'315'!$H$116</definedName>
    <definedName name="OSRRefH22_9x_0" localSheetId="61">'316'!$H$68:$H$72</definedName>
    <definedName name="OSRRefH22_9x_0" localSheetId="63">'317'!$H$87</definedName>
    <definedName name="OSRRefH22_9x_0" localSheetId="67">'321'!$H$62:$H$63</definedName>
    <definedName name="OSRRefH22_9x_0" localSheetId="68">'322'!$H$59:$H$62</definedName>
    <definedName name="OSRRefH22_9x_0" localSheetId="69">'325'!$H$60</definedName>
    <definedName name="OSRRefH22_9x_0" localSheetId="59">'326'!$H$82</definedName>
    <definedName name="OSRRefH22_9x_0" localSheetId="52">'330'!$H$74:$H$75</definedName>
    <definedName name="OSRRefH22_9x_0" localSheetId="57">'331'!$H$116:$H$117</definedName>
    <definedName name="OSRRefH22_9x_0" localSheetId="60">'332'!$H$68:$H$72</definedName>
    <definedName name="OSRRefH22_9x_0" localSheetId="74">'405'!$H$58:$H$59</definedName>
    <definedName name="OSRRefH22_9x_0" localSheetId="76">'411'!$H$56:$H$57</definedName>
    <definedName name="OSRRefH22_9x_0" localSheetId="77">'412'!$H$58</definedName>
    <definedName name="OSRRefH22_9x_0" localSheetId="78">'413'!$H$61:$H$62</definedName>
    <definedName name="OSRRefH22_9x_0" localSheetId="79">'414'!$H$60</definedName>
    <definedName name="OSRRefH22_9x_0" localSheetId="80">'415'!$H$63</definedName>
    <definedName name="OSRRefH22_9x_0" localSheetId="81">'418'!$H$60:$H$61</definedName>
    <definedName name="OSRRefH22_9x_0" localSheetId="89">'433'!$H$63</definedName>
    <definedName name="OSRRefH22_9x_0" localSheetId="91">'444'!$H$63</definedName>
    <definedName name="OSRRefH22_9x_0" localSheetId="92">'450'!$H$59</definedName>
    <definedName name="OSRRefH22_9x_0" localSheetId="73">'491'!$H$66</definedName>
    <definedName name="OSRRefH22_9x_0" localSheetId="87">'492'!$H$63</definedName>
    <definedName name="OSRRefH22_9x_0" localSheetId="94">'501'!$H$58:$H$61</definedName>
    <definedName name="OSRRefH22_9x_0" localSheetId="39">'Div 2'!$H$59:$H$60</definedName>
    <definedName name="OSRRefH22_9x_0" localSheetId="48">'Div 3'!$H$160</definedName>
    <definedName name="OSRRefH22_9x_0" localSheetId="71">'Div 4'!$H$69</definedName>
    <definedName name="OSRRefH22_9x_0" localSheetId="93">'Div 5'!$H$58:$H$61</definedName>
    <definedName name="OSRRefH22_9x_0" localSheetId="62">'Div 6'!$H$87</definedName>
    <definedName name="OSRRefH22_9x_0" localSheetId="2">Summary!$H$189</definedName>
    <definedName name="OSRRefH22x_0" localSheetId="40">'200'!$H$20,'200'!$H$22,'200'!$H$24,'200'!$H$26,'200'!$H$28:$H$29</definedName>
    <definedName name="OSRRefH22x_0" localSheetId="41">'201'!$H$21:$H$29,'201'!$H$31:$H$40,'201'!$H$42,'201'!$H$44,'201'!$H$46,'201'!$H$48,'201'!$H$50,'201'!$H$52,'201'!$H$54,'201'!$H$56,'201'!$H$58:$H$60,'201'!$H$62,'201'!$H$64,'201'!$H$66:$H$68,'201'!$H$70,'201'!$H$72,'201'!$H$74</definedName>
    <definedName name="OSRRefH22x_0" localSheetId="42">'202'!$H$21:$H$29,'202'!$H$31:$H$40,'202'!$H$42,'202'!$H$44,'202'!$H$46:$H$47,'202'!$H$49,'202'!$H$51,'202'!$H$53:$H$54,'202'!$H$56,'202'!$H$58:$H$60,'202'!$H$62,'202'!$H$64,'202'!$H$66</definedName>
    <definedName name="OSRRefH22x_0" localSheetId="43">'203'!$H$20:$H$29,'203'!$H$31:$H$40,'203'!$H$42,'203'!$H$44,'203'!$H$46,'203'!$H$48,'203'!$H$50,'203'!$H$52:$H$53,'203'!$H$55:$H$57,'203'!$H$59:$H$60,'203'!$H$62,'203'!$H$64:$H$66,'203'!$H$68,'203'!$H$70,'203'!$H$72</definedName>
    <definedName name="OSRRefH22x_0" localSheetId="44">'204'!$H$20:$H$29,'204'!$H$31:$H$40,'204'!$H$42,'204'!$H$44:$H$45,'204'!$H$47,'204'!$H$49,'204'!$H$51,'204'!$H$53:$H$55,'204'!$H$57:$H$58,'204'!$H$60,'204'!$H$62:$H$63,'204'!$H$65,'204'!$H$67</definedName>
    <definedName name="OSRRefH22x_0" localSheetId="45">'205'!$H$20:$H$28,'205'!$H$30:$H$39,'205'!$H$41,'205'!$H$43,'205'!$H$45:$H$46,'205'!$H$48,'205'!$H$50:$H$52,'205'!$H$54</definedName>
    <definedName name="OSRRefH22x_0" localSheetId="46">'206'!$H$20:$H$28,'206'!$H$30:$H$39,'206'!$H$41,'206'!$H$43,'206'!$H$45,'206'!$H$47,'206'!$H$49,'206'!$H$51,'206'!$H$53:$H$54,'206'!$H$56</definedName>
    <definedName name="OSRRefH22x_0" localSheetId="49">'300'!$H$116:$H$125,'300'!$H$127:$H$136,'300'!$H$138,'300'!$H$140:$H$141,'300'!$H$143,'300'!$H$145:$H$146,'300'!$H$148:$H$149,'300'!$H$151:$H$152,'300'!$H$154,'300'!$H$156,'300'!$H$158:$H$159,'300'!$H$161:$H$163,'300'!$H$165,'300'!$H$167,'300'!$H$169,'300'!$H$171,'300'!$H$173:$H$176,'300'!$H$178:$H$181,'300'!$H$183:$H$186,'300'!$H$188:$H$189,'300'!$H$191:$H$199,'300'!$H$201:$H$202,'300'!$H$204,'300'!$H$206:$H$208,'300'!$H$210</definedName>
    <definedName name="OSRRefH22x_0" localSheetId="50">'300 &amp; 317'!$H$139:$H$148,'300 &amp; 317'!$H$150:$H$159,'300 &amp; 317'!$H$161,'300 &amp; 317'!$H$163:$H$164,'300 &amp; 317'!$H$166,'300 &amp; 317'!$H$168:$H$169,'300 &amp; 317'!$H$171:$H$172,'300 &amp; 317'!$H$174:$H$175,'300 &amp; 317'!$H$177,'300 &amp; 317'!$H$179,'300 &amp; 317'!$H$181:$H$182,'300 &amp; 317'!$H$184:$H$186,'300 &amp; 317'!$H$188,'300 &amp; 317'!$H$190,'300 &amp; 317'!$H$192,'300 &amp; 317'!$H$194,'300 &amp; 317'!$H$196:$H$199,'300 &amp; 317'!$H$201:$H$204,'300 &amp; 317'!$H$206:$H$209,'300 &amp; 317'!$H$211:$H$212,'300 &amp; 317'!$H$214:$H$222,'300 &amp; 317'!$H$224:$H$225,'300 &amp; 317'!$H$227,'300 &amp; 317'!$H$229:$H$231,'300 &amp; 317'!$H$233</definedName>
    <definedName name="OSRRefH22x_0" localSheetId="51">'301'!$H$20:$H$29,'301'!$H$31:$H$40,'301'!$H$42,'301'!$H$44:$H$45,'301'!$H$47,'301'!$H$49:$H$50,'301'!$H$52,'301'!$H$54,'301'!$H$56,'301'!$H$58,'301'!$H$60,'301'!$H$62,'301'!$H$64,'301'!$H$66,'301'!$H$68:$H$71,'301'!$H$73:$H$75,'301'!$H$77,'301'!$H$79:$H$85,'301'!$H$87,'301'!$H$89,'301'!$H$91:$H$92,'301'!$H$94</definedName>
    <definedName name="OSRRefH22x_0" localSheetId="53">'307'!$H$39:$H$46,'307'!$H$48:$H$57,'307'!$H$59,'307'!$H$61,'307'!$H$63,'307'!$H$65:$H$66,'307'!$H$68,'307'!$H$70,'307'!$H$72,'307'!$H$74:$H$75,'307'!$H$77:$H$78,'307'!$H$80:$H$83,'307'!$H$85:$H$86,'307'!$H$88</definedName>
    <definedName name="OSRRefH22x_0" localSheetId="54">'308'!$H$56:$H$65,'308'!$H$67:$H$76,'308'!$H$78,'308'!$H$80:$H$81,'308'!$H$83,'308'!$H$85,'308'!$H$87:$H$88,'308'!$H$90:$H$91,'308'!$H$93,'308'!$H$95:$H$96,'308'!$H$98:$H$99,'308'!$H$101:$H$103,'308'!$H$105:$H$106,'308'!$H$108</definedName>
    <definedName name="OSRRefH22x_0" localSheetId="65">'309'!$H$22:$H$29,'309'!$H$31:$H$40,'309'!$H$42,'309'!$H$44,'309'!$H$46,'309'!$H$48,'309'!$H$50,'309'!$H$52:$H$53,'309'!$H$55:$H$56,'309'!$H$58:$H$60,'309'!$H$62</definedName>
    <definedName name="OSRRefH22x_0" localSheetId="64">'310'!$H$28:$H$36,'310'!$H$38:$H$47,'310'!$H$49,'310'!$H$51,'310'!$H$53,'310'!$H$55:$H$56,'310'!$H$58,'310'!$H$60,'310'!$H$62,'310'!$H$64,'310'!$H$66,'310'!$H$68,'310'!$H$70,'310'!$H$72:$H$75,'310'!$H$77:$H$78,'310'!$H$80:$H$83,'310'!$H$85,'310'!$H$87:$H$93,'310'!$H$95:$H$96,'310'!$H$98,'310'!$H$100,'310'!$H$102</definedName>
    <definedName name="OSRRefH22x_0" localSheetId="72">'310 &amp; 491'!$H$32:$H$40,'310 &amp; 491'!$H$42:$H$51,'310 &amp; 491'!$H$53,'310 &amp; 491'!$H$55,'310 &amp; 491'!$H$57,'310 &amp; 491'!$H$59:$H$61,'310 &amp; 491'!$H$63,'310 &amp; 491'!$H$65,'310 &amp; 491'!$H$67:$H$68,'310 &amp; 491'!$H$70,'310 &amp; 491'!$H$72,'310 &amp; 491'!$H$74,'310 &amp; 491'!$H$76,'310 &amp; 491'!$H$78:$H$81,'310 &amp; 491'!$H$83:$H$84,'310 &amp; 491'!$H$86:$H$90,'310 &amp; 491'!$H$92:$H$93,'310 &amp; 491'!$H$95:$H$105,'310 &amp; 491'!$H$107:$H$108,'310 &amp; 491'!$H$110,'310 &amp; 491'!$H$112:$H$114,'310 &amp; 491'!$H$116</definedName>
    <definedName name="OSRRefH22x_0" localSheetId="55">'311'!$H$55:$H$64,'311'!$H$66:$H$75,'311'!$H$77,'311'!$H$79:$H$80,'311'!$H$82,'311'!$H$84,'311'!$H$86:$H$87,'311'!$H$89:$H$90,'311'!$H$92,'311'!$H$94:$H$95,'311'!$H$97:$H$98,'311'!$H$100:$H$102,'311'!$H$104:$H$105,'311'!$H$107</definedName>
    <definedName name="OSRRefH22x_0" localSheetId="66">'313'!$H$23:$H$31,'313'!$H$33:$H$42,'313'!$H$44,'313'!$H$46,'313'!$H$48,'313'!$H$50,'313'!$H$52:$H$53,'313'!$H$55,'313'!$H$57:$H$59,'313'!$H$61:$H$62,'313'!$H$64,'313'!$H$66</definedName>
    <definedName name="OSRRefH22x_0" localSheetId="58">'315'!$H$80:$H$88,'315'!$H$90:$H$99,'315'!$H$101,'315'!$H$103,'315'!$H$105,'315'!$H$107,'315'!$H$109,'315'!$H$111:$H$112,'315'!$H$114,'315'!$H$116,'315'!$H$118,'315'!$H$120,'315'!$H$122:$H$124,'315'!$H$126:$H$127,'315'!$H$129:$H$135,'315'!$H$137,'315'!$H$139,'315'!$H$141:$H$142</definedName>
    <definedName name="OSRRefH22x_0" localSheetId="61">'316'!$H$31:$H$39,'316'!$H$41:$H$50,'316'!$H$52,'316'!$H$54,'316'!$H$56,'316'!$H$58,'316'!$H$60:$H$61,'316'!$H$63:$H$64,'316'!$H$66,'316'!$H$68:$H$72,'316'!$H$74,'316'!$H$76</definedName>
    <definedName name="OSRRefH22x_0" localSheetId="63">'317'!$H$50:$H$59,'317'!$H$61:$H$70,'317'!$H$72,'317'!$H$74,'317'!$H$76,'317'!$H$78,'317'!$H$80:$H$81,'317'!$H$83,'317'!$H$85,'317'!$H$87,'317'!$H$89:$H$91,'317'!$H$93,'317'!$H$95</definedName>
    <definedName name="OSRRefH22x_0" localSheetId="67">'321'!$H$25:$H$33,'321'!$H$35:$H$44,'321'!$H$46,'321'!$H$48,'321'!$H$50,'321'!$H$52,'321'!$H$54,'321'!$H$56:$H$57,'321'!$H$59:$H$60,'321'!$H$62:$H$63,'321'!$H$65:$H$67,'321'!$H$69:$H$70,'321'!$H$72,'321'!$H$74</definedName>
    <definedName name="OSRRefH22x_0" localSheetId="68">'322'!$H$23:$H$30,'322'!$H$32:$H$41,'322'!$H$43,'322'!$H$45,'322'!$H$47,'322'!$H$49,'322'!$H$51,'322'!$H$53:$H$54,'322'!$H$56:$H$57,'322'!$H$59:$H$62,'322'!$H$64,'322'!$H$66</definedName>
    <definedName name="OSRRefH22x_0" localSheetId="56">'324'!$H$27:$H$34,'324'!$H$36:$H$45</definedName>
    <definedName name="OSRRefH22x_0" localSheetId="69">'325'!$H$25:$H$32,'325'!$H$34:$H$43,'325'!$H$45,'325'!$H$47,'325'!$H$49,'325'!$H$51:$H$52,'325'!$H$54,'325'!$H$56,'325'!$H$58,'325'!$H$60,'325'!$H$62,'325'!$H$64:$H$67,'325'!$H$69:$H$71,'325'!$H$73,'325'!$H$75:$H$79,'325'!$H$81:$H$82,'325'!$H$84,'325'!$H$86</definedName>
    <definedName name="OSRRefH22x_0" localSheetId="59">'326'!$H$46:$H$54,'326'!$H$56:$H$65,'326'!$H$67,'326'!$H$69,'326'!$H$71,'326'!$H$73,'326'!$H$75,'326'!$H$77,'326'!$H$79:$H$80,'326'!$H$82,'326'!$H$84,'326'!$H$86,'326'!$H$88,'326'!$H$90:$H$91,'326'!$H$93:$H$95,'326'!$H$97:$H$98,'326'!$H$100:$H$105,'326'!$H$107:$H$108,'326'!$H$110,'326'!$H$112:$H$113,'326'!$H$115</definedName>
    <definedName name="OSRRefH22x_0" localSheetId="70">'327'!$H$24</definedName>
    <definedName name="OSRRefH22x_0" localSheetId="52">'330'!$H$39:$H$46,'330'!$H$48:$H$57,'330'!$H$59,'330'!$H$61,'330'!$H$63,'330'!$H$65:$H$66,'330'!$H$68,'330'!$H$70,'330'!$H$72,'330'!$H$74:$H$75,'330'!$H$77:$H$78,'330'!$H$80:$H$83,'330'!$H$85:$H$86,'330'!$H$88</definedName>
    <definedName name="OSRRefH22x_0" localSheetId="57">'331'!$H$80:$H$88,'331'!$H$90:$H$99,'331'!$H$101,'331'!$H$103,'331'!$H$105,'331'!$H$107,'331'!$H$109,'331'!$H$111,'331'!$H$113:$H$114,'331'!$H$116:$H$117,'331'!$H$119,'331'!$H$121,'331'!$H$123,'331'!$H$125,'331'!$H$127:$H$128,'331'!$H$130:$H$132,'331'!$H$134:$H$136,'331'!$H$138:$H$139,'331'!$H$141:$H$148,'331'!$H$150:$H$151,'331'!$H$153,'331'!$H$155:$H$156,'331'!$H$158</definedName>
    <definedName name="OSRRefH22x_0" localSheetId="60">'332'!$H$31:$H$39,'332'!$H$41:$H$50,'332'!$H$52,'332'!$H$54,'332'!$H$56,'332'!$H$58,'332'!$H$60:$H$61,'332'!$H$63:$H$64,'332'!$H$66,'332'!$H$68:$H$72,'332'!$H$74,'332'!$H$76</definedName>
    <definedName name="OSRRefH22x_0" localSheetId="74">'405'!$H$23:$H$30,'405'!$H$32:$H$41,'405'!$H$43,'405'!$H$45,'405'!$H$47:$H$48,'405'!$H$50,'405'!$H$52,'405'!$H$54,'405'!$H$56,'405'!$H$58:$H$59,'405'!$H$61,'405'!$H$63:$H$66,'405'!$H$68,'405'!$H$70:$H$78,'405'!$H$80,'405'!$H$82,'405'!$H$84,'405'!$H$86</definedName>
    <definedName name="OSRRefH22x_0" localSheetId="75">'406'!$H$20,'406'!$H$22,'406'!$H$24,'406'!$H$26,'406'!$H$28</definedName>
    <definedName name="OSRRefH22x_0" localSheetId="76">'411'!$H$20:$H$28,'411'!$H$30:$H$39,'411'!$H$41,'411'!$H$43,'411'!$H$45:$H$46,'411'!$H$48,'411'!$H$50,'411'!$H$52,'411'!$H$54,'411'!$H$56:$H$57,'411'!$H$59:$H$62,'411'!$H$64,'411'!$H$66:$H$72,'411'!$H$74,'411'!$H$76,'411'!$H$78</definedName>
    <definedName name="OSRRefH22x_0" localSheetId="77">'412'!$H$22:$H$29,'412'!$H$31:$H$40,'412'!$H$42,'412'!$H$44,'412'!$H$46:$H$47,'412'!$H$49,'412'!$H$51,'412'!$H$53,'412'!$H$55:$H$56,'412'!$H$58,'412'!$H$60:$H$63,'412'!$H$65:$H$69,'412'!$H$71:$H$72,'412'!$H$74</definedName>
    <definedName name="OSRRefH22x_0" localSheetId="78">'413'!$H$23:$H$31,'413'!$H$33:$H$42,'413'!$H$44,'413'!$H$46,'413'!$H$48,'413'!$H$50,'413'!$H$52,'413'!$H$54,'413'!$H$56:$H$59,'413'!$H$61:$H$62,'413'!$H$64:$H$71,'413'!$H$73:$H$74,'413'!$H$76</definedName>
    <definedName name="OSRRefH22x_0" localSheetId="79">'414'!$H$24:$H$32,'414'!$H$34:$H$43,'414'!$H$45,'414'!$H$47,'414'!$H$49,'414'!$H$51,'414'!$H$53,'414'!$H$55,'414'!$H$57:$H$58,'414'!$H$60,'414'!$H$62,'414'!$H$64,'414'!$H$66:$H$68,'414'!$H$70,'414'!$H$72,'414'!$H$74</definedName>
    <definedName name="OSRRefH22x_0" localSheetId="80">'415'!$H$27:$H$35,'415'!$H$37:$H$46,'415'!$H$48,'415'!$H$50,'415'!$H$52,'415'!$H$54:$H$55,'415'!$H$57,'415'!$H$59,'415'!$H$61,'415'!$H$63,'415'!$H$65,'415'!$H$67:$H$68,'415'!$H$70:$H$74,'415'!$H$76,'415'!$H$78:$H$85,'415'!$H$87:$H$88,'415'!$H$90,'415'!$H$92:$H$93,'415'!$H$95</definedName>
    <definedName name="OSRRefH22x_0" localSheetId="81">'418'!$H$23:$H$30,'418'!$H$32:$H$41,'418'!$H$43,'418'!$H$45,'418'!$H$47:$H$48,'418'!$H$50,'418'!$H$52,'418'!$H$54,'418'!$H$56:$H$58,'418'!$H$60:$H$61,'418'!$H$63:$H$64,'418'!$H$66:$H$75,'418'!$H$77:$H$78,'418'!$H$80</definedName>
    <definedName name="OSRRefH22x_0" localSheetId="82">'420'!$H$21</definedName>
    <definedName name="OSRRefH22x_0" localSheetId="83">'423'!$H$20:$H$27,'423'!$H$29:$H$38,'423'!$H$40,'423'!$H$42:$H$43,'423'!$H$45,'423'!$H$47,'423'!$H$49</definedName>
    <definedName name="OSRRefH22x_0" localSheetId="84">'424'!$H$20,'424'!$H$22,'424'!$H$24,'424'!$H$26</definedName>
    <definedName name="OSRRefH22x_0" localSheetId="85">'425'!$H$20:$H$24,'425'!$H$26,'425'!$H$28,'425'!$H$30,'425'!$H$32:$H$33,'425'!$H$35</definedName>
    <definedName name="OSRRefH22x_0" localSheetId="88">'430'!$H$20:$H$28,'430'!$H$30:$H$39,'430'!$H$41,'430'!$H$43,'430'!$H$45:$H$47,'430'!$H$49:$H$50,'430'!$H$52,'430'!$H$54</definedName>
    <definedName name="OSRRefH22x_0" localSheetId="89">'433'!$H$27:$H$36,'433'!$H$38:$H$47,'433'!$H$49,'433'!$H$51,'433'!$H$53,'433'!$H$55,'433'!$H$57,'433'!$H$59,'433'!$H$61,'433'!$H$63,'433'!$H$65,'433'!$H$67:$H$69,'433'!$H$71:$H$74,'433'!$H$76:$H$83,'433'!$H$85,'433'!$H$87</definedName>
    <definedName name="OSRRefH22x_0" localSheetId="90">'435'!$H$20</definedName>
    <definedName name="OSRRefH22x_0" localSheetId="91">'444'!$H$27:$H$36,'444'!$H$38:$H$47,'444'!$H$49,'444'!$H$51,'444'!$H$53,'444'!$H$55,'444'!$H$57,'444'!$H$59,'444'!$H$61,'444'!$H$63,'444'!$H$65,'444'!$H$67:$H$70,'444'!$H$72:$H$75,'444'!$H$77,'444'!$H$79:$H$87,'444'!$H$89:$H$90,'444'!$H$92</definedName>
    <definedName name="OSRRefH22x_0" localSheetId="92">'450'!$H$23:$H$32,'450'!$H$34:$H$43,'450'!$H$45,'450'!$H$47,'450'!$H$49,'450'!$H$51,'450'!$H$53,'450'!$H$55,'450'!$H$57,'450'!$H$59,'450'!$H$61,'450'!$H$63,'450'!$H$65,'450'!$H$67:$H$69,'450'!$H$71:$H$77,'450'!$H$79:$H$80,'450'!$H$82</definedName>
    <definedName name="OSRRefH22x_0" localSheetId="73">'491'!$H$29:$H$37,'491'!$H$39:$H$48,'491'!$H$50,'491'!$H$52,'491'!$H$54,'491'!$H$56:$H$58,'491'!$H$60,'491'!$H$62,'491'!$H$64,'491'!$H$66,'491'!$H$68,'491'!$H$70,'491'!$H$72,'491'!$H$74:$H$77,'491'!$H$79:$H$80,'491'!$H$82:$H$86,'491'!$H$88:$H$89,'491'!$H$91:$H$101,'491'!$H$103:$H$104,'491'!$H$106,'491'!$H$108:$H$110,'491'!$H$112</definedName>
    <definedName name="OSRRefH22x_0" localSheetId="87">'492'!$H$27:$H$36,'492'!$H$38:$H$47,'492'!$H$49,'492'!$H$51,'492'!$H$53,'492'!$H$55,'492'!$H$57,'492'!$H$59,'492'!$H$61,'492'!$H$63,'492'!$H$65,'492'!$H$67,'492'!$H$69:$H$72,'492'!$H$74:$H$77,'492'!$H$79,'492'!$H$81:$H$90,'492'!$H$92:$H$93,'492'!$H$95,'492'!$H$97</definedName>
    <definedName name="OSRRefH22x_0" localSheetId="94">'501'!$H$21:$H$30,'501'!$H$32:$H$41,'501'!$H$43,'501'!$H$45,'501'!$H$47,'501'!$H$49:$H$50,'501'!$H$52,'501'!$H$54,'501'!$H$56,'501'!$H$58:$H$61,'501'!$H$63:$H$64,'501'!$H$66</definedName>
    <definedName name="OSRRefH22x_0" localSheetId="39">'Div 2'!$H$21:$H$31,'Div 2'!$H$33:$H$42,'Div 2'!$H$44,'Div 2'!$H$46,'Div 2'!$H$48,'Div 2'!$H$50:$H$51,'Div 2'!$H$53,'Div 2'!$H$55,'Div 2'!$H$57,'Div 2'!$H$59:$H$60,'Div 2'!$H$62,'Div 2'!$H$64:$H$65,'Div 2'!$H$67:$H$70,'Div 2'!$H$72:$H$75,'Div 2'!$H$77:$H$78,'Div 2'!$H$80:$H$81,'Div 2'!$H$83:$H$87,'Div 2'!$H$89:$H$90,'Div 2'!$H$92,'Div 2'!$H$94:$H$95</definedName>
    <definedName name="OSRRefH22x_0" localSheetId="48">'Div 3'!$H$120:$H$129,'Div 3'!$H$131:$H$140,'Div 3'!$H$142,'Div 3'!$H$144:$H$145,'Div 3'!$H$147,'Div 3'!$H$149:$H$150,'Div 3'!$H$152:$H$153,'Div 3'!$H$155:$H$156,'Div 3'!$H$158,'Div 3'!$H$160,'Div 3'!$H$162:$H$163,'Div 3'!$H$165:$H$167,'Div 3'!$H$169,'Div 3'!$H$171,'Div 3'!$H$173,'Div 3'!$H$175,'Div 3'!$H$177,'Div 3'!$H$179:$H$182,'Div 3'!$H$184:$H$187,'Div 3'!$H$189:$H$193,'Div 3'!$H$195:$H$196,'Div 3'!$H$198:$H$206,'Div 3'!$H$208:$H$209,'Div 3'!$H$211,'Div 3'!$H$213:$H$215,'Div 3'!$H$217</definedName>
    <definedName name="OSRRefH22x_0" localSheetId="71">'Div 4'!$H$31:$H$40,'Div 4'!$H$42:$H$51,'Div 4'!$H$53,'Div 4'!$H$55,'Div 4'!$H$57,'Div 4'!$H$59:$H$61,'Div 4'!$H$63,'Div 4'!$H$65,'Div 4'!$H$67,'Div 4'!$H$69,'Div 4'!$H$71,'Div 4'!$H$73,'Div 4'!$H$75,'Div 4'!$H$77,'Div 4'!$H$79,'Div 4'!$H$81:$H$84,'Div 4'!$H$86:$H$87,'Div 4'!$H$89:$H$93,'Div 4'!$H$95:$H$96,'Div 4'!$H$98:$H$108,'Div 4'!$H$110:$H$111,'Div 4'!$H$113,'Div 4'!$H$115:$H$117,'Div 4'!$H$119</definedName>
    <definedName name="OSRRefH22x_0" localSheetId="93">'Div 5'!$H$21:$H$30,'Div 5'!$H$32:$H$41,'Div 5'!$H$43,'Div 5'!$H$45,'Div 5'!$H$47,'Div 5'!$H$49:$H$50,'Div 5'!$H$52,'Div 5'!$H$54,'Div 5'!$H$56,'Div 5'!$H$58:$H$61,'Div 5'!$H$63:$H$64,'Div 5'!$H$66</definedName>
    <definedName name="OSRRefH22x_0" localSheetId="62">'Div 6'!$H$50:$H$59,'Div 6'!$H$61:$H$70,'Div 6'!$H$72,'Div 6'!$H$74,'Div 6'!$H$76,'Div 6'!$H$78,'Div 6'!$H$80:$H$81,'Div 6'!$H$83,'Div 6'!$H$85,'Div 6'!$H$87,'Div 6'!$H$89:$H$91,'Div 6'!$H$93,'Div 6'!$H$95</definedName>
    <definedName name="OSRRefH22x_0" localSheetId="2">Summary!$H$148:$H$157,Summary!$H$159:$H$168,Summary!$H$170,Summary!$H$172:$H$173,Summary!$H$175,Summary!$H$177:$H$179,Summary!$H$181:$H$182,Summary!$H$184:$H$185,Summary!$H$187,Summary!$H$189,Summary!$H$191:$H$192,Summary!$H$194:$H$196,Summary!$H$198,Summary!$H$200,Summary!$H$202,Summary!$H$204,Summary!$H$206,Summary!$H$208,Summary!$H$210:$H$213,Summary!$H$215:$H$218,Summary!$H$220:$H$224,Summary!$H$226:$H$227,Summary!$H$229:$H$239,Summary!$H$241:$H$242,Summary!$H$244,Summary!$H$246:$H$248,Summary!$H$250</definedName>
    <definedName name="OSRRefH25x_0" localSheetId="42">'202'!$H$69:$H$71</definedName>
    <definedName name="OSRRefH25x_0" localSheetId="49">'300'!$H$213:$H$216</definedName>
    <definedName name="OSRRefH25x_0" localSheetId="50">'300 &amp; 317'!$H$236:$H$240</definedName>
    <definedName name="OSRRefH25x_0" localSheetId="51">'301'!$H$97:$H$98</definedName>
    <definedName name="OSRRefH25x_0" localSheetId="54">'308'!$H$111:$H$113</definedName>
    <definedName name="OSRRefH25x_0" localSheetId="72">'310 &amp; 491'!$H$119:$H$122</definedName>
    <definedName name="OSRRefH25x_0" localSheetId="55">'311'!$H$110:$H$112</definedName>
    <definedName name="OSRRefH25x_0" localSheetId="58">'315'!$H$145:$H$147</definedName>
    <definedName name="OSRRefH25x_0" localSheetId="61">'316'!$H$79</definedName>
    <definedName name="OSRRefH25x_0" localSheetId="63">'317'!$H$98:$H$99</definedName>
    <definedName name="OSRRefH25x_0" localSheetId="57">'331'!$H$161:$H$163</definedName>
    <definedName name="OSRRefH25x_0" localSheetId="60">'332'!$H$79</definedName>
    <definedName name="OSRRefH25x_0" localSheetId="76">'411'!$H$81:$H$82</definedName>
    <definedName name="OSRRefH25x_0" localSheetId="81">'418'!$H$83</definedName>
    <definedName name="OSRRefH25x_0" localSheetId="83">'423'!$H$52:$H$54</definedName>
    <definedName name="OSRRefH25x_0" localSheetId="86">'455'!$H$21:$H$22</definedName>
    <definedName name="OSRRefH25x_0" localSheetId="73">'491'!$H$115:$H$118</definedName>
    <definedName name="OSRRefH25x_0" localSheetId="94">'501'!$H$69</definedName>
    <definedName name="OSRRefH25x_0" localSheetId="39">'Div 2'!$H$98:$H$100</definedName>
    <definedName name="OSRRefH25x_0" localSheetId="48">'Div 3'!$H$220:$H$223</definedName>
    <definedName name="OSRRefH25x_0" localSheetId="71">'Div 4'!$H$122:$H$125</definedName>
    <definedName name="OSRRefH25x_0" localSheetId="93">'Div 5'!$H$69</definedName>
    <definedName name="OSRRefH25x_0" localSheetId="62">'Div 6'!$H$98:$H$99</definedName>
    <definedName name="OSRRefH25x_0" localSheetId="2">Summary!$H$253:$H$259</definedName>
    <definedName name="OSRRefP13x_0" localSheetId="41">'201'!$P$13</definedName>
    <definedName name="OSRRefP13x_0" localSheetId="42">'202'!$P$13</definedName>
    <definedName name="OSRRefP13x_0" localSheetId="49">'300'!$P$13:$P$74</definedName>
    <definedName name="OSRRefP13x_0" localSheetId="50">'300 &amp; 317'!$P$13:$P$88</definedName>
    <definedName name="OSRRefP13x_0" localSheetId="53">'307'!$P$13:$P$23</definedName>
    <definedName name="OSRRefP13x_0" localSheetId="54">'308'!$P$13:$P$33</definedName>
    <definedName name="OSRRefP13x_0" localSheetId="65">'309'!$P$13</definedName>
    <definedName name="OSRRefP13x_0" localSheetId="64">'310'!$P$13:$P$17</definedName>
    <definedName name="OSRRefP13x_0" localSheetId="72">'310 &amp; 491'!$P$13:$P$21</definedName>
    <definedName name="OSRRefP13x_0" localSheetId="55">'311'!$P$13:$P$32</definedName>
    <definedName name="OSRRefP13x_0" localSheetId="66">'313'!$P$13</definedName>
    <definedName name="OSRRefP13x_0" localSheetId="58">'315'!$P$13:$P$50</definedName>
    <definedName name="OSRRefP13x_0" localSheetId="61">'316'!$P$13:$P$23</definedName>
    <definedName name="OSRRefP13x_0" localSheetId="63">'317'!$P$13:$P$30</definedName>
    <definedName name="OSRRefP13x_0" localSheetId="67">'321'!$P$13:$P$15</definedName>
    <definedName name="OSRRefP13x_0" localSheetId="68">'322'!$P$13</definedName>
    <definedName name="OSRRefP13x_0" localSheetId="56">'324'!$P$13:$P$16</definedName>
    <definedName name="OSRRefP13x_0" localSheetId="69">'325'!$P$13:$P$14</definedName>
    <definedName name="OSRRefP13x_0" localSheetId="59">'326'!$P$13:$P$33</definedName>
    <definedName name="OSRRefP13x_0" localSheetId="70">'327'!$P$13:$P$14</definedName>
    <definedName name="OSRRefP13x_0" localSheetId="52">'330'!$P$13:$P$23</definedName>
    <definedName name="OSRRefP13x_0" localSheetId="57">'331'!$P$13:$P$50</definedName>
    <definedName name="OSRRefP13x_0" localSheetId="60">'332'!$P$13:$P$23</definedName>
    <definedName name="OSRRefP13x_0" localSheetId="74">'405'!$P$13:$P$14</definedName>
    <definedName name="OSRRefP13x_0" localSheetId="77">'412'!$P$13</definedName>
    <definedName name="OSRRefP13x_0" localSheetId="78">'413'!$P$13:$P$14</definedName>
    <definedName name="OSRRefP13x_0" localSheetId="79">'414'!$P$13:$P$15</definedName>
    <definedName name="OSRRefP13x_0" localSheetId="80">'415'!$P$13:$P$16</definedName>
    <definedName name="OSRRefP13x_0" localSheetId="81">'418'!$P$13:$P$14</definedName>
    <definedName name="OSRRefP13x_0" localSheetId="82">'420'!$P$13</definedName>
    <definedName name="OSRRefP13x_0" localSheetId="89">'433'!$P$13:$P$16</definedName>
    <definedName name="OSRRefP13x_0" localSheetId="91">'444'!$P$13:$P$16</definedName>
    <definedName name="OSRRefP13x_0" localSheetId="92">'450'!$P$13:$P$14</definedName>
    <definedName name="OSRRefP13x_0" localSheetId="73">'491'!$P$13:$P$18</definedName>
    <definedName name="OSRRefP13x_0" localSheetId="87">'492'!$P$13:$P$16</definedName>
    <definedName name="OSRRefP13x_0" localSheetId="94">'501'!$P$13</definedName>
    <definedName name="OSRRefP13x_0" localSheetId="39">'Div 2'!$P$13</definedName>
    <definedName name="OSRRefP13x_0" localSheetId="48">'Div 3'!$P$13:$P$76</definedName>
    <definedName name="OSRRefP13x_0" localSheetId="71">'Div 4'!$P$13:$P$20</definedName>
    <definedName name="OSRRefP13x_0" localSheetId="93">'Div 5'!$P$13</definedName>
    <definedName name="OSRRefP13x_0" localSheetId="62">'Div 6'!$P$13:$P$30</definedName>
    <definedName name="OSRRefP13x_0" localSheetId="2">Summary!$P$13:$P$95</definedName>
    <definedName name="OSRRefP16x_0" localSheetId="49">'300'!$P$77:$P$110</definedName>
    <definedName name="OSRRefP16x_0" localSheetId="50">'300 &amp; 317'!$P$91:$P$133</definedName>
    <definedName name="OSRRefP16x_0" localSheetId="53">'307'!$P$26:$P$33</definedName>
    <definedName name="OSRRefP16x_0" localSheetId="54">'308'!$P$36:$P$50</definedName>
    <definedName name="OSRRefP16x_0" localSheetId="65">'309'!$P$16</definedName>
    <definedName name="OSRRefP16x_0" localSheetId="64">'310'!$P$20:$P$22</definedName>
    <definedName name="OSRRefP16x_0" localSheetId="72">'310 &amp; 491'!$P$24:$P$26</definedName>
    <definedName name="OSRRefP16x_0" localSheetId="55">'311'!$P$35:$P$49</definedName>
    <definedName name="OSRRefP16x_0" localSheetId="66">'313'!$P$16:$P$17</definedName>
    <definedName name="OSRRefP16x_0" localSheetId="58">'315'!$P$53:$P$74</definedName>
    <definedName name="OSRRefP16x_0" localSheetId="63">'317'!$P$33:$P$44</definedName>
    <definedName name="OSRRefP16x_0" localSheetId="67">'321'!$P$18:$P$19</definedName>
    <definedName name="OSRRefP16x_0" localSheetId="68">'322'!$P$16:$P$17</definedName>
    <definedName name="OSRRefP16x_0" localSheetId="56">'324'!$P$19:$P$21</definedName>
    <definedName name="OSRRefP16x_0" localSheetId="69">'325'!$P$17:$P$19</definedName>
    <definedName name="OSRRefP16x_0" localSheetId="59">'326'!$P$36:$P$40</definedName>
    <definedName name="OSRRefP16x_0" localSheetId="70">'327'!$P$17:$P$18</definedName>
    <definedName name="OSRRefP16x_0" localSheetId="52">'330'!$P$26:$P$33</definedName>
    <definedName name="OSRRefP16x_0" localSheetId="57">'331'!$P$53:$P$74</definedName>
    <definedName name="OSRRefP16x_0" localSheetId="74">'405'!$P$17</definedName>
    <definedName name="OSRRefP16x_0" localSheetId="77">'412'!$P$16</definedName>
    <definedName name="OSRRefP16x_0" localSheetId="78">'413'!$P$17</definedName>
    <definedName name="OSRRefP16x_0" localSheetId="79">'414'!$P$18</definedName>
    <definedName name="OSRRefP16x_0" localSheetId="80">'415'!$P$19:$P$21</definedName>
    <definedName name="OSRRefP16x_0" localSheetId="81">'418'!$P$17</definedName>
    <definedName name="OSRRefP16x_0" localSheetId="89">'433'!$P$19:$P$21</definedName>
    <definedName name="OSRRefP16x_0" localSheetId="91">'444'!$P$19:$P$21</definedName>
    <definedName name="OSRRefP16x_0" localSheetId="92">'450'!$P$17</definedName>
    <definedName name="OSRRefP16x_0" localSheetId="73">'491'!$P$21:$P$23</definedName>
    <definedName name="OSRRefP16x_0" localSheetId="87">'492'!$P$19:$P$21</definedName>
    <definedName name="OSRRefP16x_0" localSheetId="48">'Div 3'!$P$79:$P$114</definedName>
    <definedName name="OSRRefP16x_0" localSheetId="71">'Div 4'!$P$23:$P$25</definedName>
    <definedName name="OSRRefP16x_0" localSheetId="62">'Div 6'!$P$33:$P$44</definedName>
    <definedName name="OSRRefP16x_0" localSheetId="2">Summary!$P$98:$P$142</definedName>
    <definedName name="OSRRefP22_0x_0" localSheetId="40">'200'!$P$20</definedName>
    <definedName name="OSRRefP22_0x_0" localSheetId="41">'201'!$P$21:$P$29</definedName>
    <definedName name="OSRRefP22_0x_0" localSheetId="42">'202'!$P$21:$P$29</definedName>
    <definedName name="OSRRefP22_0x_0" localSheetId="43">'203'!$P$20:$P$29</definedName>
    <definedName name="OSRRefP22_0x_0" localSheetId="44">'204'!$P$20:$P$29</definedName>
    <definedName name="OSRRefP22_0x_0" localSheetId="45">'205'!$P$20:$P$28</definedName>
    <definedName name="OSRRefP22_0x_0" localSheetId="46">'206'!$P$20:$P$28</definedName>
    <definedName name="OSRRefP22_0x_0" localSheetId="49">'300'!$P$116:$P$125</definedName>
    <definedName name="OSRRefP22_0x_0" localSheetId="50">'300 &amp; 317'!$P$139:$P$148</definedName>
    <definedName name="OSRRefP22_0x_0" localSheetId="51">'301'!$P$20:$P$29</definedName>
    <definedName name="OSRRefP22_0x_0" localSheetId="53">'307'!$P$39:$P$46</definedName>
    <definedName name="OSRRefP22_0x_0" localSheetId="54">'308'!$P$56:$P$65</definedName>
    <definedName name="OSRRefP22_0x_0" localSheetId="65">'309'!$P$22:$P$29</definedName>
    <definedName name="OSRRefP22_0x_0" localSheetId="64">'310'!$P$28:$P$36</definedName>
    <definedName name="OSRRefP22_0x_0" localSheetId="72">'310 &amp; 491'!$P$32:$P$40</definedName>
    <definedName name="OSRRefP22_0x_0" localSheetId="55">'311'!$P$55:$P$64</definedName>
    <definedName name="OSRRefP22_0x_0" localSheetId="66">'313'!$P$23:$P$31</definedName>
    <definedName name="OSRRefP22_0x_0" localSheetId="58">'315'!$P$80:$P$88</definedName>
    <definedName name="OSRRefP22_0x_0" localSheetId="61">'316'!$P$31:$P$39</definedName>
    <definedName name="OSRRefP22_0x_0" localSheetId="63">'317'!$P$50:$P$59</definedName>
    <definedName name="OSRRefP22_0x_0" localSheetId="67">'321'!$P$25:$P$33</definedName>
    <definedName name="OSRRefP22_0x_0" localSheetId="68">'322'!$P$23:$P$30</definedName>
    <definedName name="OSRRefP22_0x_0" localSheetId="56">'324'!$P$27:$P$34</definedName>
    <definedName name="OSRRefP22_0x_0" localSheetId="69">'325'!$P$25:$P$32</definedName>
    <definedName name="OSRRefP22_0x_0" localSheetId="59">'326'!$P$46:$P$54</definedName>
    <definedName name="OSRRefP22_0x_0" localSheetId="70">'327'!$P$24</definedName>
    <definedName name="OSRRefP22_0x_0" localSheetId="52">'330'!$P$39:$P$46</definedName>
    <definedName name="OSRRefP22_0x_0" localSheetId="57">'331'!$P$80:$P$88</definedName>
    <definedName name="OSRRefP22_0x_0" localSheetId="60">'332'!$P$31:$P$39</definedName>
    <definedName name="OSRRefP22_0x_0" localSheetId="74">'405'!$P$23:$P$30</definedName>
    <definedName name="OSRRefP22_0x_0" localSheetId="75">'406'!$P$20</definedName>
    <definedName name="OSRRefP22_0x_0" localSheetId="76">'411'!$P$20:$P$28</definedName>
    <definedName name="OSRRefP22_0x_0" localSheetId="77">'412'!$P$22:$P$29</definedName>
    <definedName name="OSRRefP22_0x_0" localSheetId="78">'413'!$P$23:$P$31</definedName>
    <definedName name="OSRRefP22_0x_0" localSheetId="79">'414'!$P$24:$P$32</definedName>
    <definedName name="OSRRefP22_0x_0" localSheetId="80">'415'!$P$27:$P$35</definedName>
    <definedName name="OSRRefP22_0x_0" localSheetId="81">'418'!$P$23:$P$30</definedName>
    <definedName name="OSRRefP22_0x_0" localSheetId="82">'420'!$P$21</definedName>
    <definedName name="OSRRefP22_0x_0" localSheetId="83">'423'!$P$20:$P$27</definedName>
    <definedName name="OSRRefP22_0x_0" localSheetId="84">'424'!$P$20</definedName>
    <definedName name="OSRRefP22_0x_0" localSheetId="85">'425'!$P$20:$P$24</definedName>
    <definedName name="OSRRefP22_0x_0" localSheetId="88">'430'!$P$20:$P$28</definedName>
    <definedName name="OSRRefP22_0x_0" localSheetId="89">'433'!$P$27:$P$36</definedName>
    <definedName name="OSRRefP22_0x_0" localSheetId="90">'435'!$P$20</definedName>
    <definedName name="OSRRefP22_0x_0" localSheetId="91">'444'!$P$27:$P$36</definedName>
    <definedName name="OSRRefP22_0x_0" localSheetId="92">'450'!$P$23:$P$32</definedName>
    <definedName name="OSRRefP22_0x_0" localSheetId="73">'491'!$P$29:$P$37</definedName>
    <definedName name="OSRRefP22_0x_0" localSheetId="87">'492'!$P$27:$P$36</definedName>
    <definedName name="OSRRefP22_0x_0" localSheetId="94">'501'!$P$21:$P$30</definedName>
    <definedName name="OSRRefP22_0x_0" localSheetId="39">'Div 2'!$P$21:$P$31</definedName>
    <definedName name="OSRRefP22_0x_0" localSheetId="48">'Div 3'!$P$120:$P$129</definedName>
    <definedName name="OSRRefP22_0x_0" localSheetId="71">'Div 4'!$P$31:$P$40</definedName>
    <definedName name="OSRRefP22_0x_0" localSheetId="93">'Div 5'!$P$21:$P$30</definedName>
    <definedName name="OSRRefP22_0x_0" localSheetId="62">'Div 6'!$P$50:$P$59</definedName>
    <definedName name="OSRRefP22_0x_0" localSheetId="2">Summary!$P$148:$P$157</definedName>
    <definedName name="OSRRefP22_10x_0" localSheetId="41">'201'!$P$58:$P$60</definedName>
    <definedName name="OSRRefP22_10x_0" localSheetId="42">'202'!$P$62</definedName>
    <definedName name="OSRRefP22_10x_0" localSheetId="43">'203'!$P$62</definedName>
    <definedName name="OSRRefP22_10x_0" localSheetId="44">'204'!$P$62:$P$63</definedName>
    <definedName name="OSRRefP22_10x_0" localSheetId="49">'300'!$P$158:$P$159</definedName>
    <definedName name="OSRRefP22_10x_0" localSheetId="50">'300 &amp; 317'!$P$181:$P$182</definedName>
    <definedName name="OSRRefP22_10x_0" localSheetId="51">'301'!$P$60</definedName>
    <definedName name="OSRRefP22_10x_0" localSheetId="53">'307'!$P$77:$P$78</definedName>
    <definedName name="OSRRefP22_10x_0" localSheetId="54">'308'!$P$98:$P$99</definedName>
    <definedName name="OSRRefP22_10x_0" localSheetId="65">'309'!$P$62</definedName>
    <definedName name="OSRRefP22_10x_0" localSheetId="64">'310'!$P$66</definedName>
    <definedName name="OSRRefP22_10x_0" localSheetId="72">'310 &amp; 491'!$P$72</definedName>
    <definedName name="OSRRefP22_10x_0" localSheetId="55">'311'!$P$97:$P$98</definedName>
    <definedName name="OSRRefP22_10x_0" localSheetId="66">'313'!$P$64</definedName>
    <definedName name="OSRRefP22_10x_0" localSheetId="58">'315'!$P$118</definedName>
    <definedName name="OSRRefP22_10x_0" localSheetId="61">'316'!$P$74</definedName>
    <definedName name="OSRRefP22_10x_0" localSheetId="63">'317'!$P$89:$P$91</definedName>
    <definedName name="OSRRefP22_10x_0" localSheetId="67">'321'!$P$65:$P$67</definedName>
    <definedName name="OSRRefP22_10x_0" localSheetId="68">'322'!$P$64</definedName>
    <definedName name="OSRRefP22_10x_0" localSheetId="69">'325'!$P$62</definedName>
    <definedName name="OSRRefP22_10x_0" localSheetId="59">'326'!$P$84</definedName>
    <definedName name="OSRRefP22_10x_0" localSheetId="52">'330'!$P$77:$P$78</definedName>
    <definedName name="OSRRefP22_10x_0" localSheetId="57">'331'!$P$119</definedName>
    <definedName name="OSRRefP22_10x_0" localSheetId="60">'332'!$P$74</definedName>
    <definedName name="OSRRefP22_10x_0" localSheetId="74">'405'!$P$61</definedName>
    <definedName name="OSRRefP22_10x_0" localSheetId="76">'411'!$P$59:$P$62</definedName>
    <definedName name="OSRRefP22_10x_0" localSheetId="77">'412'!$P$60:$P$63</definedName>
    <definedName name="OSRRefP22_10x_0" localSheetId="78">'413'!$P$64:$P$71</definedName>
    <definedName name="OSRRefP22_10x_0" localSheetId="79">'414'!$P$62</definedName>
    <definedName name="OSRRefP22_10x_0" localSheetId="80">'415'!$P$65</definedName>
    <definedName name="OSRRefP22_10x_0" localSheetId="81">'418'!$P$63:$P$64</definedName>
    <definedName name="OSRRefP22_10x_0" localSheetId="89">'433'!$P$65</definedName>
    <definedName name="OSRRefP22_10x_0" localSheetId="91">'444'!$P$65</definedName>
    <definedName name="OSRRefP22_10x_0" localSheetId="92">'450'!$P$61</definedName>
    <definedName name="OSRRefP22_10x_0" localSheetId="73">'491'!$P$68</definedName>
    <definedName name="OSRRefP22_10x_0" localSheetId="87">'492'!$P$65</definedName>
    <definedName name="OSRRefP22_10x_0" localSheetId="94">'501'!$P$63:$P$64</definedName>
    <definedName name="OSRRefP22_10x_0" localSheetId="39">'Div 2'!$P$62</definedName>
    <definedName name="OSRRefP22_10x_0" localSheetId="48">'Div 3'!$P$162:$P$163</definedName>
    <definedName name="OSRRefP22_10x_0" localSheetId="71">'Div 4'!$P$71</definedName>
    <definedName name="OSRRefP22_10x_0" localSheetId="93">'Div 5'!$P$63:$P$64</definedName>
    <definedName name="OSRRefP22_10x_0" localSheetId="62">'Div 6'!$P$89:$P$91</definedName>
    <definedName name="OSRRefP22_10x_0" localSheetId="2">Summary!$P$191:$P$192</definedName>
    <definedName name="OSRRefP22_11x_0" localSheetId="41">'201'!$P$62</definedName>
    <definedName name="OSRRefP22_11x_0" localSheetId="42">'202'!$P$64</definedName>
    <definedName name="OSRRefP22_11x_0" localSheetId="43">'203'!$P$64:$P$66</definedName>
    <definedName name="OSRRefP22_11x_0" localSheetId="44">'204'!$P$65</definedName>
    <definedName name="OSRRefP22_11x_0" localSheetId="49">'300'!$P$161:$P$163</definedName>
    <definedName name="OSRRefP22_11x_0" localSheetId="50">'300 &amp; 317'!$P$184:$P$186</definedName>
    <definedName name="OSRRefP22_11x_0" localSheetId="51">'301'!$P$62</definedName>
    <definedName name="OSRRefP22_11x_0" localSheetId="53">'307'!$P$80:$P$83</definedName>
    <definedName name="OSRRefP22_11x_0" localSheetId="54">'308'!$P$101:$P$103</definedName>
    <definedName name="OSRRefP22_11x_0" localSheetId="64">'310'!$P$68</definedName>
    <definedName name="OSRRefP22_11x_0" localSheetId="72">'310 &amp; 491'!$P$74</definedName>
    <definedName name="OSRRefP22_11x_0" localSheetId="55">'311'!$P$100:$P$102</definedName>
    <definedName name="OSRRefP22_11x_0" localSheetId="66">'313'!$P$66</definedName>
    <definedName name="OSRRefP22_11x_0" localSheetId="58">'315'!$P$120</definedName>
    <definedName name="OSRRefP22_11x_0" localSheetId="61">'316'!$P$76</definedName>
    <definedName name="OSRRefP22_11x_0" localSheetId="63">'317'!$P$93</definedName>
    <definedName name="OSRRefP22_11x_0" localSheetId="67">'321'!$P$69:$P$70</definedName>
    <definedName name="OSRRefP22_11x_0" localSheetId="68">'322'!$P$66</definedName>
    <definedName name="OSRRefP22_11x_0" localSheetId="69">'325'!$P$64:$P$67</definedName>
    <definedName name="OSRRefP22_11x_0" localSheetId="59">'326'!$P$86</definedName>
    <definedName name="OSRRefP22_11x_0" localSheetId="52">'330'!$P$80:$P$83</definedName>
    <definedName name="OSRRefP22_11x_0" localSheetId="57">'331'!$P$121</definedName>
    <definedName name="OSRRefP22_11x_0" localSheetId="60">'332'!$P$76</definedName>
    <definedName name="OSRRefP22_11x_0" localSheetId="74">'405'!$P$63:$P$66</definedName>
    <definedName name="OSRRefP22_11x_0" localSheetId="76">'411'!$P$64</definedName>
    <definedName name="OSRRefP22_11x_0" localSheetId="77">'412'!$P$65:$P$69</definedName>
    <definedName name="OSRRefP22_11x_0" localSheetId="78">'413'!$P$73:$P$74</definedName>
    <definedName name="OSRRefP22_11x_0" localSheetId="79">'414'!$P$64</definedName>
    <definedName name="OSRRefP22_11x_0" localSheetId="80">'415'!$P$67:$P$68</definedName>
    <definedName name="OSRRefP22_11x_0" localSheetId="81">'418'!$P$66:$P$75</definedName>
    <definedName name="OSRRefP22_11x_0" localSheetId="89">'433'!$P$67:$P$69</definedName>
    <definedName name="OSRRefP22_11x_0" localSheetId="91">'444'!$P$67:$P$70</definedName>
    <definedName name="OSRRefP22_11x_0" localSheetId="92">'450'!$P$63</definedName>
    <definedName name="OSRRefP22_11x_0" localSheetId="73">'491'!$P$70</definedName>
    <definedName name="OSRRefP22_11x_0" localSheetId="87">'492'!$P$67</definedName>
    <definedName name="OSRRefP22_11x_0" localSheetId="94">'501'!$P$66</definedName>
    <definedName name="OSRRefP22_11x_0" localSheetId="39">'Div 2'!$P$64:$P$65</definedName>
    <definedName name="OSRRefP22_11x_0" localSheetId="48">'Div 3'!$P$165:$P$167</definedName>
    <definedName name="OSRRefP22_11x_0" localSheetId="71">'Div 4'!$P$73</definedName>
    <definedName name="OSRRefP22_11x_0" localSheetId="93">'Div 5'!$P$66</definedName>
    <definedName name="OSRRefP22_11x_0" localSheetId="62">'Div 6'!$P$93</definedName>
    <definedName name="OSRRefP22_11x_0" localSheetId="2">Summary!$P$194:$P$196</definedName>
    <definedName name="OSRRefP22_12x_0" localSheetId="41">'201'!$P$64</definedName>
    <definedName name="OSRRefP22_12x_0" localSheetId="42">'202'!$P$66</definedName>
    <definedName name="OSRRefP22_12x_0" localSheetId="43">'203'!$P$68</definedName>
    <definedName name="OSRRefP22_12x_0" localSheetId="44">'204'!$P$67</definedName>
    <definedName name="OSRRefP22_12x_0" localSheetId="49">'300'!$P$165</definedName>
    <definedName name="OSRRefP22_12x_0" localSheetId="50">'300 &amp; 317'!$P$188</definedName>
    <definedName name="OSRRefP22_12x_0" localSheetId="51">'301'!$P$64</definedName>
    <definedName name="OSRRefP22_12x_0" localSheetId="53">'307'!$P$85:$P$86</definedName>
    <definedName name="OSRRefP22_12x_0" localSheetId="54">'308'!$P$105:$P$106</definedName>
    <definedName name="OSRRefP22_12x_0" localSheetId="64">'310'!$P$70</definedName>
    <definedName name="OSRRefP22_12x_0" localSheetId="72">'310 &amp; 491'!$P$76</definedName>
    <definedName name="OSRRefP22_12x_0" localSheetId="55">'311'!$P$104:$P$105</definedName>
    <definedName name="OSRRefP22_12x_0" localSheetId="58">'315'!$P$122:$P$124</definedName>
    <definedName name="OSRRefP22_12x_0" localSheetId="63">'317'!$P$95</definedName>
    <definedName name="OSRRefP22_12x_0" localSheetId="67">'321'!$P$72</definedName>
    <definedName name="OSRRefP22_12x_0" localSheetId="69">'325'!$P$69:$P$71</definedName>
    <definedName name="OSRRefP22_12x_0" localSheetId="59">'326'!$P$88</definedName>
    <definedName name="OSRRefP22_12x_0" localSheetId="52">'330'!$P$85:$P$86</definedName>
    <definedName name="OSRRefP22_12x_0" localSheetId="57">'331'!$P$123</definedName>
    <definedName name="OSRRefP22_12x_0" localSheetId="74">'405'!$P$68</definedName>
    <definedName name="OSRRefP22_12x_0" localSheetId="76">'411'!$P$66:$P$72</definedName>
    <definedName name="OSRRefP22_12x_0" localSheetId="77">'412'!$P$71:$P$72</definedName>
    <definedName name="OSRRefP22_12x_0" localSheetId="78">'413'!$P$76</definedName>
    <definedName name="OSRRefP22_12x_0" localSheetId="79">'414'!$P$66:$P$68</definedName>
    <definedName name="OSRRefP22_12x_0" localSheetId="80">'415'!$P$70:$P$74</definedName>
    <definedName name="OSRRefP22_12x_0" localSheetId="81">'418'!$P$77:$P$78</definedName>
    <definedName name="OSRRefP22_12x_0" localSheetId="89">'433'!$P$71:$P$74</definedName>
    <definedName name="OSRRefP22_12x_0" localSheetId="91">'444'!$P$72:$P$75</definedName>
    <definedName name="OSRRefP22_12x_0" localSheetId="92">'450'!$P$65</definedName>
    <definedName name="OSRRefP22_12x_0" localSheetId="73">'491'!$P$72</definedName>
    <definedName name="OSRRefP22_12x_0" localSheetId="87">'492'!$P$69:$P$72</definedName>
    <definedName name="OSRRefP22_12x_0" localSheetId="39">'Div 2'!$P$67:$P$70</definedName>
    <definedName name="OSRRefP22_12x_0" localSheetId="48">'Div 3'!$P$169</definedName>
    <definedName name="OSRRefP22_12x_0" localSheetId="71">'Div 4'!$P$75</definedName>
    <definedName name="OSRRefP22_12x_0" localSheetId="62">'Div 6'!$P$95</definedName>
    <definedName name="OSRRefP22_12x_0" localSheetId="2">Summary!$P$198</definedName>
    <definedName name="OSRRefP22_13x_0" localSheetId="41">'201'!$P$66:$P$68</definedName>
    <definedName name="OSRRefP22_13x_0" localSheetId="43">'203'!$P$70</definedName>
    <definedName name="OSRRefP22_13x_0" localSheetId="49">'300'!$P$167</definedName>
    <definedName name="OSRRefP22_13x_0" localSheetId="50">'300 &amp; 317'!$P$190</definedName>
    <definedName name="OSRRefP22_13x_0" localSheetId="51">'301'!$P$66</definedName>
    <definedName name="OSRRefP22_13x_0" localSheetId="53">'307'!$P$88</definedName>
    <definedName name="OSRRefP22_13x_0" localSheetId="54">'308'!$P$108</definedName>
    <definedName name="OSRRefP22_13x_0" localSheetId="64">'310'!$P$72:$P$75</definedName>
    <definedName name="OSRRefP22_13x_0" localSheetId="72">'310 &amp; 491'!$P$78:$P$81</definedName>
    <definedName name="OSRRefP22_13x_0" localSheetId="55">'311'!$P$107</definedName>
    <definedName name="OSRRefP22_13x_0" localSheetId="58">'315'!$P$126:$P$127</definedName>
    <definedName name="OSRRefP22_13x_0" localSheetId="67">'321'!$P$74</definedName>
    <definedName name="OSRRefP22_13x_0" localSheetId="69">'325'!$P$73</definedName>
    <definedName name="OSRRefP22_13x_0" localSheetId="59">'326'!$P$90:$P$91</definedName>
    <definedName name="OSRRefP22_13x_0" localSheetId="52">'330'!$P$88</definedName>
    <definedName name="OSRRefP22_13x_0" localSheetId="57">'331'!$P$125</definedName>
    <definedName name="OSRRefP22_13x_0" localSheetId="74">'405'!$P$70:$P$78</definedName>
    <definedName name="OSRRefP22_13x_0" localSheetId="76">'411'!$P$74</definedName>
    <definedName name="OSRRefP22_13x_0" localSheetId="77">'412'!$P$74</definedName>
    <definedName name="OSRRefP22_13x_0" localSheetId="79">'414'!$P$70</definedName>
    <definedName name="OSRRefP22_13x_0" localSheetId="80">'415'!$P$76</definedName>
    <definedName name="OSRRefP22_13x_0" localSheetId="81">'418'!$P$80</definedName>
    <definedName name="OSRRefP22_13x_0" localSheetId="89">'433'!$P$76:$P$83</definedName>
    <definedName name="OSRRefP22_13x_0" localSheetId="91">'444'!$P$77</definedName>
    <definedName name="OSRRefP22_13x_0" localSheetId="92">'450'!$P$67:$P$69</definedName>
    <definedName name="OSRRefP22_13x_0" localSheetId="73">'491'!$P$74:$P$77</definedName>
    <definedName name="OSRRefP22_13x_0" localSheetId="87">'492'!$P$74:$P$77</definedName>
    <definedName name="OSRRefP22_13x_0" localSheetId="39">'Div 2'!$P$72:$P$75</definedName>
    <definedName name="OSRRefP22_13x_0" localSheetId="48">'Div 3'!$P$171</definedName>
    <definedName name="OSRRefP22_13x_0" localSheetId="71">'Div 4'!$P$77</definedName>
    <definedName name="OSRRefP22_13x_0" localSheetId="2">Summary!$P$200</definedName>
    <definedName name="OSRRefP22_14x_0" localSheetId="41">'201'!$P$70</definedName>
    <definedName name="OSRRefP22_14x_0" localSheetId="43">'203'!$P$72</definedName>
    <definedName name="OSRRefP22_14x_0" localSheetId="49">'300'!$P$169</definedName>
    <definedName name="OSRRefP22_14x_0" localSheetId="50">'300 &amp; 317'!$P$192</definedName>
    <definedName name="OSRRefP22_14x_0" localSheetId="51">'301'!$P$68:$P$71</definedName>
    <definedName name="OSRRefP22_14x_0" localSheetId="64">'310'!$P$77:$P$78</definedName>
    <definedName name="OSRRefP22_14x_0" localSheetId="72">'310 &amp; 491'!$P$83:$P$84</definedName>
    <definedName name="OSRRefP22_14x_0" localSheetId="58">'315'!$P$129:$P$135</definedName>
    <definedName name="OSRRefP22_14x_0" localSheetId="69">'325'!$P$75:$P$79</definedName>
    <definedName name="OSRRefP22_14x_0" localSheetId="59">'326'!$P$93:$P$95</definedName>
    <definedName name="OSRRefP22_14x_0" localSheetId="57">'331'!$P$127:$P$128</definedName>
    <definedName name="OSRRefP22_14x_0" localSheetId="74">'405'!$P$80</definedName>
    <definedName name="OSRRefP22_14x_0" localSheetId="76">'411'!$P$76</definedName>
    <definedName name="OSRRefP22_14x_0" localSheetId="79">'414'!$P$72</definedName>
    <definedName name="OSRRefP22_14x_0" localSheetId="80">'415'!$P$78:$P$85</definedName>
    <definedName name="OSRRefP22_14x_0" localSheetId="89">'433'!$P$85</definedName>
    <definedName name="OSRRefP22_14x_0" localSheetId="91">'444'!$P$79:$P$87</definedName>
    <definedName name="OSRRefP22_14x_0" localSheetId="92">'450'!$P$71:$P$77</definedName>
    <definedName name="OSRRefP22_14x_0" localSheetId="73">'491'!$P$79:$P$80</definedName>
    <definedName name="OSRRefP22_14x_0" localSheetId="87">'492'!$P$79</definedName>
    <definedName name="OSRRefP22_14x_0" localSheetId="39">'Div 2'!$P$77:$P$78</definedName>
    <definedName name="OSRRefP22_14x_0" localSheetId="48">'Div 3'!$P$173</definedName>
    <definedName name="OSRRefP22_14x_0" localSheetId="71">'Div 4'!$P$79</definedName>
    <definedName name="OSRRefP22_14x_0" localSheetId="2">Summary!$P$202</definedName>
    <definedName name="OSRRefP22_15x_0" localSheetId="41">'201'!$P$72</definedName>
    <definedName name="OSRRefP22_15x_0" localSheetId="49">'300'!$P$171</definedName>
    <definedName name="OSRRefP22_15x_0" localSheetId="50">'300 &amp; 317'!$P$194</definedName>
    <definedName name="OSRRefP22_15x_0" localSheetId="51">'301'!$P$73:$P$75</definedName>
    <definedName name="OSRRefP22_15x_0" localSheetId="64">'310'!$P$80:$P$83</definedName>
    <definedName name="OSRRefP22_15x_0" localSheetId="72">'310 &amp; 491'!$P$86:$P$90</definedName>
    <definedName name="OSRRefP22_15x_0" localSheetId="58">'315'!$P$137</definedName>
    <definedName name="OSRRefP22_15x_0" localSheetId="69">'325'!$P$81:$P$82</definedName>
    <definedName name="OSRRefP22_15x_0" localSheetId="59">'326'!$P$97:$P$98</definedName>
    <definedName name="OSRRefP22_15x_0" localSheetId="57">'331'!$P$130:$P$132</definedName>
    <definedName name="OSRRefP22_15x_0" localSheetId="74">'405'!$P$82</definedName>
    <definedName name="OSRRefP22_15x_0" localSheetId="76">'411'!$P$78</definedName>
    <definedName name="OSRRefP22_15x_0" localSheetId="79">'414'!$P$74</definedName>
    <definedName name="OSRRefP22_15x_0" localSheetId="80">'415'!$P$87:$P$88</definedName>
    <definedName name="OSRRefP22_15x_0" localSheetId="89">'433'!$P$87</definedName>
    <definedName name="OSRRefP22_15x_0" localSheetId="91">'444'!$P$89:$P$90</definedName>
    <definedName name="OSRRefP22_15x_0" localSheetId="92">'450'!$P$79:$P$80</definedName>
    <definedName name="OSRRefP22_15x_0" localSheetId="73">'491'!$P$82:$P$86</definedName>
    <definedName name="OSRRefP22_15x_0" localSheetId="87">'492'!$P$81:$P$90</definedName>
    <definedName name="OSRRefP22_15x_0" localSheetId="39">'Div 2'!$P$80:$P$81</definedName>
    <definedName name="OSRRefP22_15x_0" localSheetId="48">'Div 3'!$P$175</definedName>
    <definedName name="OSRRefP22_15x_0" localSheetId="71">'Div 4'!$P$81:$P$84</definedName>
    <definedName name="OSRRefP22_15x_0" localSheetId="2">Summary!$P$204</definedName>
    <definedName name="OSRRefP22_16x_0" localSheetId="41">'201'!$P$74</definedName>
    <definedName name="OSRRefP22_16x_0" localSheetId="49">'300'!$P$173:$P$176</definedName>
    <definedName name="OSRRefP22_16x_0" localSheetId="50">'300 &amp; 317'!$P$196:$P$199</definedName>
    <definedName name="OSRRefP22_16x_0" localSheetId="51">'301'!$P$77</definedName>
    <definedName name="OSRRefP22_16x_0" localSheetId="64">'310'!$P$85</definedName>
    <definedName name="OSRRefP22_16x_0" localSheetId="72">'310 &amp; 491'!$P$92:$P$93</definedName>
    <definedName name="OSRRefP22_16x_0" localSheetId="58">'315'!$P$139</definedName>
    <definedName name="OSRRefP22_16x_0" localSheetId="69">'325'!$P$84</definedName>
    <definedName name="OSRRefP22_16x_0" localSheetId="59">'326'!$P$100:$P$105</definedName>
    <definedName name="OSRRefP22_16x_0" localSheetId="57">'331'!$P$134:$P$136</definedName>
    <definedName name="OSRRefP22_16x_0" localSheetId="74">'405'!$P$84</definedName>
    <definedName name="OSRRefP22_16x_0" localSheetId="80">'415'!$P$90</definedName>
    <definedName name="OSRRefP22_16x_0" localSheetId="91">'444'!$P$92</definedName>
    <definedName name="OSRRefP22_16x_0" localSheetId="92">'450'!$P$82</definedName>
    <definedName name="OSRRefP22_16x_0" localSheetId="73">'491'!$P$88:$P$89</definedName>
    <definedName name="OSRRefP22_16x_0" localSheetId="87">'492'!$P$92:$P$93</definedName>
    <definedName name="OSRRefP22_16x_0" localSheetId="39">'Div 2'!$P$83:$P$87</definedName>
    <definedName name="OSRRefP22_16x_0" localSheetId="48">'Div 3'!$P$177</definedName>
    <definedName name="OSRRefP22_16x_0" localSheetId="71">'Div 4'!$P$86:$P$87</definedName>
    <definedName name="OSRRefP22_16x_0" localSheetId="2">Summary!$P$206</definedName>
    <definedName name="OSRRefP22_17x_0" localSheetId="49">'300'!$P$178:$P$181</definedName>
    <definedName name="OSRRefP22_17x_0" localSheetId="50">'300 &amp; 317'!$P$201:$P$204</definedName>
    <definedName name="OSRRefP22_17x_0" localSheetId="51">'301'!$P$79:$P$85</definedName>
    <definedName name="OSRRefP22_17x_0" localSheetId="64">'310'!$P$87:$P$93</definedName>
    <definedName name="OSRRefP22_17x_0" localSheetId="72">'310 &amp; 491'!$P$95:$P$105</definedName>
    <definedName name="OSRRefP22_17x_0" localSheetId="58">'315'!$P$141:$P$142</definedName>
    <definedName name="OSRRefP22_17x_0" localSheetId="69">'325'!$P$86</definedName>
    <definedName name="OSRRefP22_17x_0" localSheetId="59">'326'!$P$107:$P$108</definedName>
    <definedName name="OSRRefP22_17x_0" localSheetId="57">'331'!$P$138:$P$139</definedName>
    <definedName name="OSRRefP22_17x_0" localSheetId="74">'405'!$P$86</definedName>
    <definedName name="OSRRefP22_17x_0" localSheetId="80">'415'!$P$92:$P$93</definedName>
    <definedName name="OSRRefP22_17x_0" localSheetId="73">'491'!$P$91:$P$101</definedName>
    <definedName name="OSRRefP22_17x_0" localSheetId="87">'492'!$P$95</definedName>
    <definedName name="OSRRefP22_17x_0" localSheetId="39">'Div 2'!$P$89:$P$90</definedName>
    <definedName name="OSRRefP22_17x_0" localSheetId="48">'Div 3'!$P$179:$P$182</definedName>
    <definedName name="OSRRefP22_17x_0" localSheetId="71">'Div 4'!$P$89:$P$93</definedName>
    <definedName name="OSRRefP22_17x_0" localSheetId="2">Summary!$P$208</definedName>
    <definedName name="OSRRefP22_18x_0" localSheetId="49">'300'!$P$183:$P$186</definedName>
    <definedName name="OSRRefP22_18x_0" localSheetId="50">'300 &amp; 317'!$P$206:$P$209</definedName>
    <definedName name="OSRRefP22_18x_0" localSheetId="51">'301'!$P$87</definedName>
    <definedName name="OSRRefP22_18x_0" localSheetId="64">'310'!$P$95:$P$96</definedName>
    <definedName name="OSRRefP22_18x_0" localSheetId="72">'310 &amp; 491'!$P$107:$P$108</definedName>
    <definedName name="OSRRefP22_18x_0" localSheetId="59">'326'!$P$110</definedName>
    <definedName name="OSRRefP22_18x_0" localSheetId="57">'331'!$P$141:$P$148</definedName>
    <definedName name="OSRRefP22_18x_0" localSheetId="80">'415'!$P$95</definedName>
    <definedName name="OSRRefP22_18x_0" localSheetId="73">'491'!$P$103:$P$104</definedName>
    <definedName name="OSRRefP22_18x_0" localSheetId="87">'492'!$P$97</definedName>
    <definedName name="OSRRefP22_18x_0" localSheetId="39">'Div 2'!$P$92</definedName>
    <definedName name="OSRRefP22_18x_0" localSheetId="48">'Div 3'!$P$184:$P$187</definedName>
    <definedName name="OSRRefP22_18x_0" localSheetId="71">'Div 4'!$P$95:$P$96</definedName>
    <definedName name="OSRRefP22_18x_0" localSheetId="2">Summary!$P$210:$P$213</definedName>
    <definedName name="OSRRefP22_19x_0" localSheetId="49">'300'!$P$188:$P$189</definedName>
    <definedName name="OSRRefP22_19x_0" localSheetId="50">'300 &amp; 317'!$P$211:$P$212</definedName>
    <definedName name="OSRRefP22_19x_0" localSheetId="51">'301'!$P$89</definedName>
    <definedName name="OSRRefP22_19x_0" localSheetId="64">'310'!$P$98</definedName>
    <definedName name="OSRRefP22_19x_0" localSheetId="72">'310 &amp; 491'!$P$110</definedName>
    <definedName name="OSRRefP22_19x_0" localSheetId="59">'326'!$P$112:$P$113</definedName>
    <definedName name="OSRRefP22_19x_0" localSheetId="57">'331'!$P$150:$P$151</definedName>
    <definedName name="OSRRefP22_19x_0" localSheetId="73">'491'!$P$106</definedName>
    <definedName name="OSRRefP22_19x_0" localSheetId="39">'Div 2'!$P$94:$P$95</definedName>
    <definedName name="OSRRefP22_19x_0" localSheetId="48">'Div 3'!$P$189:$P$193</definedName>
    <definedName name="OSRRefP22_19x_0" localSheetId="71">'Div 4'!$P$98:$P$108</definedName>
    <definedName name="OSRRefP22_19x_0" localSheetId="2">Summary!$P$215:$P$218</definedName>
    <definedName name="OSRRefP22_1x_0" localSheetId="40">'200'!$P$22</definedName>
    <definedName name="OSRRefP22_1x_0" localSheetId="41">'201'!$P$31:$P$40</definedName>
    <definedName name="OSRRefP22_1x_0" localSheetId="42">'202'!$P$31:$P$40</definedName>
    <definedName name="OSRRefP22_1x_0" localSheetId="43">'203'!$P$31:$P$40</definedName>
    <definedName name="OSRRefP22_1x_0" localSheetId="44">'204'!$P$31:$P$40</definedName>
    <definedName name="OSRRefP22_1x_0" localSheetId="45">'205'!$P$30:$P$39</definedName>
    <definedName name="OSRRefP22_1x_0" localSheetId="46">'206'!$P$30:$P$39</definedName>
    <definedName name="OSRRefP22_1x_0" localSheetId="49">'300'!$P$127:$P$136</definedName>
    <definedName name="OSRRefP22_1x_0" localSheetId="50">'300 &amp; 317'!$P$150:$P$159</definedName>
    <definedName name="OSRRefP22_1x_0" localSheetId="51">'301'!$P$31:$P$40</definedName>
    <definedName name="OSRRefP22_1x_0" localSheetId="53">'307'!$P$48:$P$57</definedName>
    <definedName name="OSRRefP22_1x_0" localSheetId="54">'308'!$P$67:$P$76</definedName>
    <definedName name="OSRRefP22_1x_0" localSheetId="65">'309'!$P$31:$P$40</definedName>
    <definedName name="OSRRefP22_1x_0" localSheetId="64">'310'!$P$38:$P$47</definedName>
    <definedName name="OSRRefP22_1x_0" localSheetId="72">'310 &amp; 491'!$P$42:$P$51</definedName>
    <definedName name="OSRRefP22_1x_0" localSheetId="55">'311'!$P$66:$P$75</definedName>
    <definedName name="OSRRefP22_1x_0" localSheetId="66">'313'!$P$33:$P$42</definedName>
    <definedName name="OSRRefP22_1x_0" localSheetId="58">'315'!$P$90:$P$99</definedName>
    <definedName name="OSRRefP22_1x_0" localSheetId="61">'316'!$P$41:$P$50</definedName>
    <definedName name="OSRRefP22_1x_0" localSheetId="63">'317'!$P$61:$P$70</definedName>
    <definedName name="OSRRefP22_1x_0" localSheetId="67">'321'!$P$35:$P$44</definedName>
    <definedName name="OSRRefP22_1x_0" localSheetId="68">'322'!$P$32:$P$41</definedName>
    <definedName name="OSRRefP22_1x_0" localSheetId="56">'324'!$P$36:$P$45</definedName>
    <definedName name="OSRRefP22_1x_0" localSheetId="69">'325'!$P$34:$P$43</definedName>
    <definedName name="OSRRefP22_1x_0" localSheetId="59">'326'!$P$56:$P$65</definedName>
    <definedName name="OSRRefP22_1x_0" localSheetId="52">'330'!$P$48:$P$57</definedName>
    <definedName name="OSRRefP22_1x_0" localSheetId="57">'331'!$P$90:$P$99</definedName>
    <definedName name="OSRRefP22_1x_0" localSheetId="60">'332'!$P$41:$P$50</definedName>
    <definedName name="OSRRefP22_1x_0" localSheetId="74">'405'!$P$32:$P$41</definedName>
    <definedName name="OSRRefP22_1x_0" localSheetId="75">'406'!$P$22</definedName>
    <definedName name="OSRRefP22_1x_0" localSheetId="76">'411'!$P$30:$P$39</definedName>
    <definedName name="OSRRefP22_1x_0" localSheetId="77">'412'!$P$31:$P$40</definedName>
    <definedName name="OSRRefP22_1x_0" localSheetId="78">'413'!$P$33:$P$42</definedName>
    <definedName name="OSRRefP22_1x_0" localSheetId="79">'414'!$P$34:$P$43</definedName>
    <definedName name="OSRRefP22_1x_0" localSheetId="80">'415'!$P$37:$P$46</definedName>
    <definedName name="OSRRefP22_1x_0" localSheetId="81">'418'!$P$32:$P$41</definedName>
    <definedName name="OSRRefP22_1x_0" localSheetId="83">'423'!$P$29:$P$38</definedName>
    <definedName name="OSRRefP22_1x_0" localSheetId="84">'424'!$P$22</definedName>
    <definedName name="OSRRefP22_1x_0" localSheetId="85">'425'!$P$26</definedName>
    <definedName name="OSRRefP22_1x_0" localSheetId="88">'430'!$P$30:$P$39</definedName>
    <definedName name="OSRRefP22_1x_0" localSheetId="89">'433'!$P$38:$P$47</definedName>
    <definedName name="OSRRefP22_1x_0" localSheetId="91">'444'!$P$38:$P$47</definedName>
    <definedName name="OSRRefP22_1x_0" localSheetId="92">'450'!$P$34:$P$43</definedName>
    <definedName name="OSRRefP22_1x_0" localSheetId="73">'491'!$P$39:$P$48</definedName>
    <definedName name="OSRRefP22_1x_0" localSheetId="87">'492'!$P$38:$P$47</definedName>
    <definedName name="OSRRefP22_1x_0" localSheetId="94">'501'!$P$32:$P$41</definedName>
    <definedName name="OSRRefP22_1x_0" localSheetId="39">'Div 2'!$P$33:$P$42</definedName>
    <definedName name="OSRRefP22_1x_0" localSheetId="48">'Div 3'!$P$131:$P$140</definedName>
    <definedName name="OSRRefP22_1x_0" localSheetId="71">'Div 4'!$P$42:$P$51</definedName>
    <definedName name="OSRRefP22_1x_0" localSheetId="93">'Div 5'!$P$32:$P$41</definedName>
    <definedName name="OSRRefP22_1x_0" localSheetId="62">'Div 6'!$P$61:$P$70</definedName>
    <definedName name="OSRRefP22_1x_0" localSheetId="2">Summary!$P$159:$P$168</definedName>
    <definedName name="OSRRefP22_20x_0" localSheetId="49">'300'!$P$191:$P$199</definedName>
    <definedName name="OSRRefP22_20x_0" localSheetId="50">'300 &amp; 317'!$P$214:$P$222</definedName>
    <definedName name="OSRRefP22_20x_0" localSheetId="51">'301'!$P$91:$P$92</definedName>
    <definedName name="OSRRefP22_20x_0" localSheetId="64">'310'!$P$100</definedName>
    <definedName name="OSRRefP22_20x_0" localSheetId="72">'310 &amp; 491'!$P$112:$P$114</definedName>
    <definedName name="OSRRefP22_20x_0" localSheetId="59">'326'!$P$115</definedName>
    <definedName name="OSRRefP22_20x_0" localSheetId="57">'331'!$P$153</definedName>
    <definedName name="OSRRefP22_20x_0" localSheetId="73">'491'!$P$108:$P$110</definedName>
    <definedName name="OSRRefP22_20x_0" localSheetId="48">'Div 3'!$P$195:$P$196</definedName>
    <definedName name="OSRRefP22_20x_0" localSheetId="71">'Div 4'!$P$110:$P$111</definedName>
    <definedName name="OSRRefP22_20x_0" localSheetId="2">Summary!$P$220:$P$224</definedName>
    <definedName name="OSRRefP22_21x_0" localSheetId="49">'300'!$P$201:$P$202</definedName>
    <definedName name="OSRRefP22_21x_0" localSheetId="50">'300 &amp; 317'!$P$224:$P$225</definedName>
    <definedName name="OSRRefP22_21x_0" localSheetId="51">'301'!$P$94</definedName>
    <definedName name="OSRRefP22_21x_0" localSheetId="64">'310'!$P$102</definedName>
    <definedName name="OSRRefP22_21x_0" localSheetId="72">'310 &amp; 491'!$P$116</definedName>
    <definedName name="OSRRefP22_21x_0" localSheetId="57">'331'!$P$155:$P$156</definedName>
    <definedName name="OSRRefP22_21x_0" localSheetId="73">'491'!$P$112</definedName>
    <definedName name="OSRRefP22_21x_0" localSheetId="48">'Div 3'!$P$198:$P$206</definedName>
    <definedName name="OSRRefP22_21x_0" localSheetId="71">'Div 4'!$P$113</definedName>
    <definedName name="OSRRefP22_21x_0" localSheetId="2">Summary!$P$226:$P$227</definedName>
    <definedName name="OSRRefP22_22x_0" localSheetId="49">'300'!$P$204</definedName>
    <definedName name="OSRRefP22_22x_0" localSheetId="50">'300 &amp; 317'!$P$227</definedName>
    <definedName name="OSRRefP22_22x_0" localSheetId="57">'331'!$P$158</definedName>
    <definedName name="OSRRefP22_22x_0" localSheetId="48">'Div 3'!$P$208:$P$209</definedName>
    <definedName name="OSRRefP22_22x_0" localSheetId="71">'Div 4'!$P$115:$P$117</definedName>
    <definedName name="OSRRefP22_22x_0" localSheetId="2">Summary!$P$229:$P$239</definedName>
    <definedName name="OSRRefP22_23x_0" localSheetId="49">'300'!$P$206:$P$208</definedName>
    <definedName name="OSRRefP22_23x_0" localSheetId="50">'300 &amp; 317'!$P$229:$P$231</definedName>
    <definedName name="OSRRefP22_23x_0" localSheetId="48">'Div 3'!$P$211</definedName>
    <definedName name="OSRRefP22_23x_0" localSheetId="71">'Div 4'!$P$119</definedName>
    <definedName name="OSRRefP22_23x_0" localSheetId="2">Summary!$P$241:$P$242</definedName>
    <definedName name="OSRRefP22_24x_0" localSheetId="49">'300'!$P$210</definedName>
    <definedName name="OSRRefP22_24x_0" localSheetId="50">'300 &amp; 317'!$P$233</definedName>
    <definedName name="OSRRefP22_24x_0" localSheetId="48">'Div 3'!$P$213:$P$215</definedName>
    <definedName name="OSRRefP22_24x_0" localSheetId="2">Summary!$P$244</definedName>
    <definedName name="OSRRefP22_25x_0" localSheetId="48">'Div 3'!$P$217</definedName>
    <definedName name="OSRRefP22_25x_0" localSheetId="2">Summary!$P$246:$P$248</definedName>
    <definedName name="OSRRefP22_26x_0" localSheetId="2">Summary!$P$250</definedName>
    <definedName name="OSRRefP22_2x_0" localSheetId="40">'200'!$P$24</definedName>
    <definedName name="OSRRefP22_2x_0" localSheetId="41">'201'!$P$42</definedName>
    <definedName name="OSRRefP22_2x_0" localSheetId="42">'202'!$P$42</definedName>
    <definedName name="OSRRefP22_2x_0" localSheetId="43">'203'!$P$42</definedName>
    <definedName name="OSRRefP22_2x_0" localSheetId="44">'204'!$P$42</definedName>
    <definedName name="OSRRefP22_2x_0" localSheetId="45">'205'!$P$41</definedName>
    <definedName name="OSRRefP22_2x_0" localSheetId="46">'206'!$P$41</definedName>
    <definedName name="OSRRefP22_2x_0" localSheetId="49">'300'!$P$138</definedName>
    <definedName name="OSRRefP22_2x_0" localSheetId="50">'300 &amp; 317'!$P$161</definedName>
    <definedName name="OSRRefP22_2x_0" localSheetId="51">'301'!$P$42</definedName>
    <definedName name="OSRRefP22_2x_0" localSheetId="53">'307'!$P$59</definedName>
    <definedName name="OSRRefP22_2x_0" localSheetId="54">'308'!$P$78</definedName>
    <definedName name="OSRRefP22_2x_0" localSheetId="65">'309'!$P$42</definedName>
    <definedName name="OSRRefP22_2x_0" localSheetId="64">'310'!$P$49</definedName>
    <definedName name="OSRRefP22_2x_0" localSheetId="72">'310 &amp; 491'!$P$53</definedName>
    <definedName name="OSRRefP22_2x_0" localSheetId="55">'311'!$P$77</definedName>
    <definedName name="OSRRefP22_2x_0" localSheetId="66">'313'!$P$44</definedName>
    <definedName name="OSRRefP22_2x_0" localSheetId="58">'315'!$P$101</definedName>
    <definedName name="OSRRefP22_2x_0" localSheetId="61">'316'!$P$52</definedName>
    <definedName name="OSRRefP22_2x_0" localSheetId="63">'317'!$P$72</definedName>
    <definedName name="OSRRefP22_2x_0" localSheetId="67">'321'!$P$46</definedName>
    <definedName name="OSRRefP22_2x_0" localSheetId="68">'322'!$P$43</definedName>
    <definedName name="OSRRefP22_2x_0" localSheetId="69">'325'!$P$45</definedName>
    <definedName name="OSRRefP22_2x_0" localSheetId="59">'326'!$P$67</definedName>
    <definedName name="OSRRefP22_2x_0" localSheetId="52">'330'!$P$59</definedName>
    <definedName name="OSRRefP22_2x_0" localSheetId="57">'331'!$P$101</definedName>
    <definedName name="OSRRefP22_2x_0" localSheetId="60">'332'!$P$52</definedName>
    <definedName name="OSRRefP22_2x_0" localSheetId="74">'405'!$P$43</definedName>
    <definedName name="OSRRefP22_2x_0" localSheetId="75">'406'!$P$24</definedName>
    <definedName name="OSRRefP22_2x_0" localSheetId="76">'411'!$P$41</definedName>
    <definedName name="OSRRefP22_2x_0" localSheetId="77">'412'!$P$42</definedName>
    <definedName name="OSRRefP22_2x_0" localSheetId="78">'413'!$P$44</definedName>
    <definedName name="OSRRefP22_2x_0" localSheetId="79">'414'!$P$45</definedName>
    <definedName name="OSRRefP22_2x_0" localSheetId="80">'415'!$P$48</definedName>
    <definedName name="OSRRefP22_2x_0" localSheetId="81">'418'!$P$43</definedName>
    <definedName name="OSRRefP22_2x_0" localSheetId="83">'423'!$P$40</definedName>
    <definedName name="OSRRefP22_2x_0" localSheetId="84">'424'!$P$24</definedName>
    <definedName name="OSRRefP22_2x_0" localSheetId="85">'425'!$P$28</definedName>
    <definedName name="OSRRefP22_2x_0" localSheetId="88">'430'!$P$41</definedName>
    <definedName name="OSRRefP22_2x_0" localSheetId="89">'433'!$P$49</definedName>
    <definedName name="OSRRefP22_2x_0" localSheetId="91">'444'!$P$49</definedName>
    <definedName name="OSRRefP22_2x_0" localSheetId="92">'450'!$P$45</definedName>
    <definedName name="OSRRefP22_2x_0" localSheetId="73">'491'!$P$50</definedName>
    <definedName name="OSRRefP22_2x_0" localSheetId="87">'492'!$P$49</definedName>
    <definedName name="OSRRefP22_2x_0" localSheetId="94">'501'!$P$43</definedName>
    <definedName name="OSRRefP22_2x_0" localSheetId="39">'Div 2'!$P$44</definedName>
    <definedName name="OSRRefP22_2x_0" localSheetId="48">'Div 3'!$P$142</definedName>
    <definedName name="OSRRefP22_2x_0" localSheetId="71">'Div 4'!$P$53</definedName>
    <definedName name="OSRRefP22_2x_0" localSheetId="93">'Div 5'!$P$43</definedName>
    <definedName name="OSRRefP22_2x_0" localSheetId="62">'Div 6'!$P$72</definedName>
    <definedName name="OSRRefP22_2x_0" localSheetId="2">Summary!$P$170</definedName>
    <definedName name="OSRRefP22_3x_0" localSheetId="40">'200'!$P$26</definedName>
    <definedName name="OSRRefP22_3x_0" localSheetId="41">'201'!$P$44</definedName>
    <definedName name="OSRRefP22_3x_0" localSheetId="42">'202'!$P$44</definedName>
    <definedName name="OSRRefP22_3x_0" localSheetId="43">'203'!$P$44</definedName>
    <definedName name="OSRRefP22_3x_0" localSheetId="44">'204'!$P$44:$P$45</definedName>
    <definedName name="OSRRefP22_3x_0" localSheetId="45">'205'!$P$43</definedName>
    <definedName name="OSRRefP22_3x_0" localSheetId="46">'206'!$P$43</definedName>
    <definedName name="OSRRefP22_3x_0" localSheetId="49">'300'!$P$140:$P$141</definedName>
    <definedName name="OSRRefP22_3x_0" localSheetId="50">'300 &amp; 317'!$P$163:$P$164</definedName>
    <definedName name="OSRRefP22_3x_0" localSheetId="51">'301'!$P$44:$P$45</definedName>
    <definedName name="OSRRefP22_3x_0" localSheetId="53">'307'!$P$61</definedName>
    <definedName name="OSRRefP22_3x_0" localSheetId="54">'308'!$P$80:$P$81</definedName>
    <definedName name="OSRRefP22_3x_0" localSheetId="65">'309'!$P$44</definedName>
    <definedName name="OSRRefP22_3x_0" localSheetId="64">'310'!$P$51</definedName>
    <definedName name="OSRRefP22_3x_0" localSheetId="72">'310 &amp; 491'!$P$55</definedName>
    <definedName name="OSRRefP22_3x_0" localSheetId="55">'311'!$P$79:$P$80</definedName>
    <definedName name="OSRRefP22_3x_0" localSheetId="66">'313'!$P$46</definedName>
    <definedName name="OSRRefP22_3x_0" localSheetId="58">'315'!$P$103</definedName>
    <definedName name="OSRRefP22_3x_0" localSheetId="61">'316'!$P$54</definedName>
    <definedName name="OSRRefP22_3x_0" localSheetId="63">'317'!$P$74</definedName>
    <definedName name="OSRRefP22_3x_0" localSheetId="67">'321'!$P$48</definedName>
    <definedName name="OSRRefP22_3x_0" localSheetId="68">'322'!$P$45</definedName>
    <definedName name="OSRRefP22_3x_0" localSheetId="69">'325'!$P$47</definedName>
    <definedName name="OSRRefP22_3x_0" localSheetId="59">'326'!$P$69</definedName>
    <definedName name="OSRRefP22_3x_0" localSheetId="52">'330'!$P$61</definedName>
    <definedName name="OSRRefP22_3x_0" localSheetId="57">'331'!$P$103</definedName>
    <definedName name="OSRRefP22_3x_0" localSheetId="60">'332'!$P$54</definedName>
    <definedName name="OSRRefP22_3x_0" localSheetId="74">'405'!$P$45</definedName>
    <definedName name="OSRRefP22_3x_0" localSheetId="75">'406'!$P$26</definedName>
    <definedName name="OSRRefP22_3x_0" localSheetId="76">'411'!$P$43</definedName>
    <definedName name="OSRRefP22_3x_0" localSheetId="77">'412'!$P$44</definedName>
    <definedName name="OSRRefP22_3x_0" localSheetId="78">'413'!$P$46</definedName>
    <definedName name="OSRRefP22_3x_0" localSheetId="79">'414'!$P$47</definedName>
    <definedName name="OSRRefP22_3x_0" localSheetId="80">'415'!$P$50</definedName>
    <definedName name="OSRRefP22_3x_0" localSheetId="81">'418'!$P$45</definedName>
    <definedName name="OSRRefP22_3x_0" localSheetId="83">'423'!$P$42:$P$43</definedName>
    <definedName name="OSRRefP22_3x_0" localSheetId="84">'424'!$P$26</definedName>
    <definedName name="OSRRefP22_3x_0" localSheetId="85">'425'!$P$30</definedName>
    <definedName name="OSRRefP22_3x_0" localSheetId="88">'430'!$P$43</definedName>
    <definedName name="OSRRefP22_3x_0" localSheetId="89">'433'!$P$51</definedName>
    <definedName name="OSRRefP22_3x_0" localSheetId="91">'444'!$P$51</definedName>
    <definedName name="OSRRefP22_3x_0" localSheetId="92">'450'!$P$47</definedName>
    <definedName name="OSRRefP22_3x_0" localSheetId="73">'491'!$P$52</definedName>
    <definedName name="OSRRefP22_3x_0" localSheetId="87">'492'!$P$51</definedName>
    <definedName name="OSRRefP22_3x_0" localSheetId="94">'501'!$P$45</definedName>
    <definedName name="OSRRefP22_3x_0" localSheetId="39">'Div 2'!$P$46</definedName>
    <definedName name="OSRRefP22_3x_0" localSheetId="48">'Div 3'!$P$144:$P$145</definedName>
    <definedName name="OSRRefP22_3x_0" localSheetId="71">'Div 4'!$P$55</definedName>
    <definedName name="OSRRefP22_3x_0" localSheetId="93">'Div 5'!$P$45</definedName>
    <definedName name="OSRRefP22_3x_0" localSheetId="62">'Div 6'!$P$74</definedName>
    <definedName name="OSRRefP22_3x_0" localSheetId="2">Summary!$P$172:$P$173</definedName>
    <definedName name="OSRRefP22_4x_0" localSheetId="40">'200'!$P$28:$P$29</definedName>
    <definedName name="OSRRefP22_4x_0" localSheetId="41">'201'!$P$46</definedName>
    <definedName name="OSRRefP22_4x_0" localSheetId="42">'202'!$P$46:$P$47</definedName>
    <definedName name="OSRRefP22_4x_0" localSheetId="43">'203'!$P$46</definedName>
    <definedName name="OSRRefP22_4x_0" localSheetId="44">'204'!$P$47</definedName>
    <definedName name="OSRRefP22_4x_0" localSheetId="45">'205'!$P$45:$P$46</definedName>
    <definedName name="OSRRefP22_4x_0" localSheetId="46">'206'!$P$45</definedName>
    <definedName name="OSRRefP22_4x_0" localSheetId="49">'300'!$P$143</definedName>
    <definedName name="OSRRefP22_4x_0" localSheetId="50">'300 &amp; 317'!$P$166</definedName>
    <definedName name="OSRRefP22_4x_0" localSheetId="51">'301'!$P$47</definedName>
    <definedName name="OSRRefP22_4x_0" localSheetId="53">'307'!$P$63</definedName>
    <definedName name="OSRRefP22_4x_0" localSheetId="54">'308'!$P$83</definedName>
    <definedName name="OSRRefP22_4x_0" localSheetId="65">'309'!$P$46</definedName>
    <definedName name="OSRRefP22_4x_0" localSheetId="64">'310'!$P$53</definedName>
    <definedName name="OSRRefP22_4x_0" localSheetId="72">'310 &amp; 491'!$P$57</definedName>
    <definedName name="OSRRefP22_4x_0" localSheetId="55">'311'!$P$82</definedName>
    <definedName name="OSRRefP22_4x_0" localSheetId="66">'313'!$P$48</definedName>
    <definedName name="OSRRefP22_4x_0" localSheetId="58">'315'!$P$105</definedName>
    <definedName name="OSRRefP22_4x_0" localSheetId="61">'316'!$P$56</definedName>
    <definedName name="OSRRefP22_4x_0" localSheetId="63">'317'!$P$76</definedName>
    <definedName name="OSRRefP22_4x_0" localSheetId="67">'321'!$P$50</definedName>
    <definedName name="OSRRefP22_4x_0" localSheetId="68">'322'!$P$47</definedName>
    <definedName name="OSRRefP22_4x_0" localSheetId="69">'325'!$P$49</definedName>
    <definedName name="OSRRefP22_4x_0" localSheetId="59">'326'!$P$71</definedName>
    <definedName name="OSRRefP22_4x_0" localSheetId="52">'330'!$P$63</definedName>
    <definedName name="OSRRefP22_4x_0" localSheetId="57">'331'!$P$105</definedName>
    <definedName name="OSRRefP22_4x_0" localSheetId="60">'332'!$P$56</definedName>
    <definedName name="OSRRefP22_4x_0" localSheetId="74">'405'!$P$47:$P$48</definedName>
    <definedName name="OSRRefP22_4x_0" localSheetId="75">'406'!$P$28</definedName>
    <definedName name="OSRRefP22_4x_0" localSheetId="76">'411'!$P$45:$P$46</definedName>
    <definedName name="OSRRefP22_4x_0" localSheetId="77">'412'!$P$46:$P$47</definedName>
    <definedName name="OSRRefP22_4x_0" localSheetId="78">'413'!$P$48</definedName>
    <definedName name="OSRRefP22_4x_0" localSheetId="79">'414'!$P$49</definedName>
    <definedName name="OSRRefP22_4x_0" localSheetId="80">'415'!$P$52</definedName>
    <definedName name="OSRRefP22_4x_0" localSheetId="81">'418'!$P$47:$P$48</definedName>
    <definedName name="OSRRefP22_4x_0" localSheetId="83">'423'!$P$45</definedName>
    <definedName name="OSRRefP22_4x_0" localSheetId="85">'425'!$P$32:$P$33</definedName>
    <definedName name="OSRRefP22_4x_0" localSheetId="88">'430'!$P$45:$P$47</definedName>
    <definedName name="OSRRefP22_4x_0" localSheetId="89">'433'!$P$53</definedName>
    <definedName name="OSRRefP22_4x_0" localSheetId="91">'444'!$P$53</definedName>
    <definedName name="OSRRefP22_4x_0" localSheetId="92">'450'!$P$49</definedName>
    <definedName name="OSRRefP22_4x_0" localSheetId="73">'491'!$P$54</definedName>
    <definedName name="OSRRefP22_4x_0" localSheetId="87">'492'!$P$53</definedName>
    <definedName name="OSRRefP22_4x_0" localSheetId="94">'501'!$P$47</definedName>
    <definedName name="OSRRefP22_4x_0" localSheetId="39">'Div 2'!$P$48</definedName>
    <definedName name="OSRRefP22_4x_0" localSheetId="48">'Div 3'!$P$147</definedName>
    <definedName name="OSRRefP22_4x_0" localSheetId="71">'Div 4'!$P$57</definedName>
    <definedName name="OSRRefP22_4x_0" localSheetId="93">'Div 5'!$P$47</definedName>
    <definedName name="OSRRefP22_4x_0" localSheetId="62">'Div 6'!$P$76</definedName>
    <definedName name="OSRRefP22_4x_0" localSheetId="2">Summary!$P$175</definedName>
    <definedName name="OSRRefP22_5x_0" localSheetId="41">'201'!$P$48</definedName>
    <definedName name="OSRRefP22_5x_0" localSheetId="42">'202'!$P$49</definedName>
    <definedName name="OSRRefP22_5x_0" localSheetId="43">'203'!$P$48</definedName>
    <definedName name="OSRRefP22_5x_0" localSheetId="44">'204'!$P$49</definedName>
    <definedName name="OSRRefP22_5x_0" localSheetId="45">'205'!$P$48</definedName>
    <definedName name="OSRRefP22_5x_0" localSheetId="46">'206'!$P$47</definedName>
    <definedName name="OSRRefP22_5x_0" localSheetId="49">'300'!$P$145:$P$146</definedName>
    <definedName name="OSRRefP22_5x_0" localSheetId="50">'300 &amp; 317'!$P$168:$P$169</definedName>
    <definedName name="OSRRefP22_5x_0" localSheetId="51">'301'!$P$49:$P$50</definedName>
    <definedName name="OSRRefP22_5x_0" localSheetId="53">'307'!$P$65:$P$66</definedName>
    <definedName name="OSRRefP22_5x_0" localSheetId="54">'308'!$P$85</definedName>
    <definedName name="OSRRefP22_5x_0" localSheetId="65">'309'!$P$48</definedName>
    <definedName name="OSRRefP22_5x_0" localSheetId="64">'310'!$P$55:$P$56</definedName>
    <definedName name="OSRRefP22_5x_0" localSheetId="72">'310 &amp; 491'!$P$59:$P$61</definedName>
    <definedName name="OSRRefP22_5x_0" localSheetId="55">'311'!$P$84</definedName>
    <definedName name="OSRRefP22_5x_0" localSheetId="66">'313'!$P$50</definedName>
    <definedName name="OSRRefP22_5x_0" localSheetId="58">'315'!$P$107</definedName>
    <definedName name="OSRRefP22_5x_0" localSheetId="61">'316'!$P$58</definedName>
    <definedName name="OSRRefP22_5x_0" localSheetId="63">'317'!$P$78</definedName>
    <definedName name="OSRRefP22_5x_0" localSheetId="67">'321'!$P$52</definedName>
    <definedName name="OSRRefP22_5x_0" localSheetId="68">'322'!$P$49</definedName>
    <definedName name="OSRRefP22_5x_0" localSheetId="69">'325'!$P$51:$P$52</definedName>
    <definedName name="OSRRefP22_5x_0" localSheetId="59">'326'!$P$73</definedName>
    <definedName name="OSRRefP22_5x_0" localSheetId="52">'330'!$P$65:$P$66</definedName>
    <definedName name="OSRRefP22_5x_0" localSheetId="57">'331'!$P$107</definedName>
    <definedName name="OSRRefP22_5x_0" localSheetId="60">'332'!$P$58</definedName>
    <definedName name="OSRRefP22_5x_0" localSheetId="74">'405'!$P$50</definedName>
    <definedName name="OSRRefP22_5x_0" localSheetId="76">'411'!$P$48</definedName>
    <definedName name="OSRRefP22_5x_0" localSheetId="77">'412'!$P$49</definedName>
    <definedName name="OSRRefP22_5x_0" localSheetId="78">'413'!$P$50</definedName>
    <definedName name="OSRRefP22_5x_0" localSheetId="79">'414'!$P$51</definedName>
    <definedName name="OSRRefP22_5x_0" localSheetId="80">'415'!$P$54:$P$55</definedName>
    <definedName name="OSRRefP22_5x_0" localSheetId="81">'418'!$P$50</definedName>
    <definedName name="OSRRefP22_5x_0" localSheetId="83">'423'!$P$47</definedName>
    <definedName name="OSRRefP22_5x_0" localSheetId="85">'425'!$P$35</definedName>
    <definedName name="OSRRefP22_5x_0" localSheetId="88">'430'!$P$49:$P$50</definedName>
    <definedName name="OSRRefP22_5x_0" localSheetId="89">'433'!$P$55</definedName>
    <definedName name="OSRRefP22_5x_0" localSheetId="91">'444'!$P$55</definedName>
    <definedName name="OSRRefP22_5x_0" localSheetId="92">'450'!$P$51</definedName>
    <definedName name="OSRRefP22_5x_0" localSheetId="73">'491'!$P$56:$P$58</definedName>
    <definedName name="OSRRefP22_5x_0" localSheetId="87">'492'!$P$55</definedName>
    <definedName name="OSRRefP22_5x_0" localSheetId="94">'501'!$P$49:$P$50</definedName>
    <definedName name="OSRRefP22_5x_0" localSheetId="39">'Div 2'!$P$50:$P$51</definedName>
    <definedName name="OSRRefP22_5x_0" localSheetId="48">'Div 3'!$P$149:$P$150</definedName>
    <definedName name="OSRRefP22_5x_0" localSheetId="71">'Div 4'!$P$59:$P$61</definedName>
    <definedName name="OSRRefP22_5x_0" localSheetId="93">'Div 5'!$P$49:$P$50</definedName>
    <definedName name="OSRRefP22_5x_0" localSheetId="62">'Div 6'!$P$78</definedName>
    <definedName name="OSRRefP22_5x_0" localSheetId="2">Summary!$P$177:$P$179</definedName>
    <definedName name="OSRRefP22_6x_0" localSheetId="41">'201'!$P$50</definedName>
    <definedName name="OSRRefP22_6x_0" localSheetId="42">'202'!$P$51</definedName>
    <definedName name="OSRRefP22_6x_0" localSheetId="43">'203'!$P$50</definedName>
    <definedName name="OSRRefP22_6x_0" localSheetId="44">'204'!$P$51</definedName>
    <definedName name="OSRRefP22_6x_0" localSheetId="45">'205'!$P$50:$P$52</definedName>
    <definedName name="OSRRefP22_6x_0" localSheetId="46">'206'!$P$49</definedName>
    <definedName name="OSRRefP22_6x_0" localSheetId="49">'300'!$P$148:$P$149</definedName>
    <definedName name="OSRRefP22_6x_0" localSheetId="50">'300 &amp; 317'!$P$171:$P$172</definedName>
    <definedName name="OSRRefP22_6x_0" localSheetId="51">'301'!$P$52</definedName>
    <definedName name="OSRRefP22_6x_0" localSheetId="53">'307'!$P$68</definedName>
    <definedName name="OSRRefP22_6x_0" localSheetId="54">'308'!$P$87:$P$88</definedName>
    <definedName name="OSRRefP22_6x_0" localSheetId="65">'309'!$P$50</definedName>
    <definedName name="OSRRefP22_6x_0" localSheetId="64">'310'!$P$58</definedName>
    <definedName name="OSRRefP22_6x_0" localSheetId="72">'310 &amp; 491'!$P$63</definedName>
    <definedName name="OSRRefP22_6x_0" localSheetId="55">'311'!$P$86:$P$87</definedName>
    <definedName name="OSRRefP22_6x_0" localSheetId="66">'313'!$P$52:$P$53</definedName>
    <definedName name="OSRRefP22_6x_0" localSheetId="58">'315'!$P$109</definedName>
    <definedName name="OSRRefP22_6x_0" localSheetId="61">'316'!$P$60:$P$61</definedName>
    <definedName name="OSRRefP22_6x_0" localSheetId="63">'317'!$P$80:$P$81</definedName>
    <definedName name="OSRRefP22_6x_0" localSheetId="67">'321'!$P$54</definedName>
    <definedName name="OSRRefP22_6x_0" localSheetId="68">'322'!$P$51</definedName>
    <definedName name="OSRRefP22_6x_0" localSheetId="69">'325'!$P$54</definedName>
    <definedName name="OSRRefP22_6x_0" localSheetId="59">'326'!$P$75</definedName>
    <definedName name="OSRRefP22_6x_0" localSheetId="52">'330'!$P$68</definedName>
    <definedName name="OSRRefP22_6x_0" localSheetId="57">'331'!$P$109</definedName>
    <definedName name="OSRRefP22_6x_0" localSheetId="60">'332'!$P$60:$P$61</definedName>
    <definedName name="OSRRefP22_6x_0" localSheetId="74">'405'!$P$52</definedName>
    <definedName name="OSRRefP22_6x_0" localSheetId="76">'411'!$P$50</definedName>
    <definedName name="OSRRefP22_6x_0" localSheetId="77">'412'!$P$51</definedName>
    <definedName name="OSRRefP22_6x_0" localSheetId="78">'413'!$P$52</definedName>
    <definedName name="OSRRefP22_6x_0" localSheetId="79">'414'!$P$53</definedName>
    <definedName name="OSRRefP22_6x_0" localSheetId="80">'415'!$P$57</definedName>
    <definedName name="OSRRefP22_6x_0" localSheetId="81">'418'!$P$52</definedName>
    <definedName name="OSRRefP22_6x_0" localSheetId="83">'423'!$P$49</definedName>
    <definedName name="OSRRefP22_6x_0" localSheetId="88">'430'!$P$52</definedName>
    <definedName name="OSRRefP22_6x_0" localSheetId="89">'433'!$P$57</definedName>
    <definedName name="OSRRefP22_6x_0" localSheetId="91">'444'!$P$57</definedName>
    <definedName name="OSRRefP22_6x_0" localSheetId="92">'450'!$P$53</definedName>
    <definedName name="OSRRefP22_6x_0" localSheetId="73">'491'!$P$60</definedName>
    <definedName name="OSRRefP22_6x_0" localSheetId="87">'492'!$P$57</definedName>
    <definedName name="OSRRefP22_6x_0" localSheetId="94">'501'!$P$52</definedName>
    <definedName name="OSRRefP22_6x_0" localSheetId="39">'Div 2'!$P$53</definedName>
    <definedName name="OSRRefP22_6x_0" localSheetId="48">'Div 3'!$P$152:$P$153</definedName>
    <definedName name="OSRRefP22_6x_0" localSheetId="71">'Div 4'!$P$63</definedName>
    <definedName name="OSRRefP22_6x_0" localSheetId="93">'Div 5'!$P$52</definedName>
    <definedName name="OSRRefP22_6x_0" localSheetId="62">'Div 6'!$P$80:$P$81</definedName>
    <definedName name="OSRRefP22_6x_0" localSheetId="2">Summary!$P$181:$P$182</definedName>
    <definedName name="OSRRefP22_7x_0" localSheetId="41">'201'!$P$52</definedName>
    <definedName name="OSRRefP22_7x_0" localSheetId="42">'202'!$P$53:$P$54</definedName>
    <definedName name="OSRRefP22_7x_0" localSheetId="43">'203'!$P$52:$P$53</definedName>
    <definedName name="OSRRefP22_7x_0" localSheetId="44">'204'!$P$53:$P$55</definedName>
    <definedName name="OSRRefP22_7x_0" localSheetId="45">'205'!$P$54</definedName>
    <definedName name="OSRRefP22_7x_0" localSheetId="46">'206'!$P$51</definedName>
    <definedName name="OSRRefP22_7x_0" localSheetId="49">'300'!$P$151:$P$152</definedName>
    <definedName name="OSRRefP22_7x_0" localSheetId="50">'300 &amp; 317'!$P$174:$P$175</definedName>
    <definedName name="OSRRefP22_7x_0" localSheetId="51">'301'!$P$54</definedName>
    <definedName name="OSRRefP22_7x_0" localSheetId="53">'307'!$P$70</definedName>
    <definedName name="OSRRefP22_7x_0" localSheetId="54">'308'!$P$90:$P$91</definedName>
    <definedName name="OSRRefP22_7x_0" localSheetId="65">'309'!$P$52:$P$53</definedName>
    <definedName name="OSRRefP22_7x_0" localSheetId="64">'310'!$P$60</definedName>
    <definedName name="OSRRefP22_7x_0" localSheetId="72">'310 &amp; 491'!$P$65</definedName>
    <definedName name="OSRRefP22_7x_0" localSheetId="55">'311'!$P$89:$P$90</definedName>
    <definedName name="OSRRefP22_7x_0" localSheetId="66">'313'!$P$55</definedName>
    <definedName name="OSRRefP22_7x_0" localSheetId="58">'315'!$P$111:$P$112</definedName>
    <definedName name="OSRRefP22_7x_0" localSheetId="61">'316'!$P$63:$P$64</definedName>
    <definedName name="OSRRefP22_7x_0" localSheetId="63">'317'!$P$83</definedName>
    <definedName name="OSRRefP22_7x_0" localSheetId="67">'321'!$P$56:$P$57</definedName>
    <definedName name="OSRRefP22_7x_0" localSheetId="68">'322'!$P$53:$P$54</definedName>
    <definedName name="OSRRefP22_7x_0" localSheetId="69">'325'!$P$56</definedName>
    <definedName name="OSRRefP22_7x_0" localSheetId="59">'326'!$P$77</definedName>
    <definedName name="OSRRefP22_7x_0" localSheetId="52">'330'!$P$70</definedName>
    <definedName name="OSRRefP22_7x_0" localSheetId="57">'331'!$P$111</definedName>
    <definedName name="OSRRefP22_7x_0" localSheetId="60">'332'!$P$63:$P$64</definedName>
    <definedName name="OSRRefP22_7x_0" localSheetId="74">'405'!$P$54</definedName>
    <definedName name="OSRRefP22_7x_0" localSheetId="76">'411'!$P$52</definedName>
    <definedName name="OSRRefP22_7x_0" localSheetId="77">'412'!$P$53</definedName>
    <definedName name="OSRRefP22_7x_0" localSheetId="78">'413'!$P$54</definedName>
    <definedName name="OSRRefP22_7x_0" localSheetId="79">'414'!$P$55</definedName>
    <definedName name="OSRRefP22_7x_0" localSheetId="80">'415'!$P$59</definedName>
    <definedName name="OSRRefP22_7x_0" localSheetId="81">'418'!$P$54</definedName>
    <definedName name="OSRRefP22_7x_0" localSheetId="88">'430'!$P$54</definedName>
    <definedName name="OSRRefP22_7x_0" localSheetId="89">'433'!$P$59</definedName>
    <definedName name="OSRRefP22_7x_0" localSheetId="91">'444'!$P$59</definedName>
    <definedName name="OSRRefP22_7x_0" localSheetId="92">'450'!$P$55</definedName>
    <definedName name="OSRRefP22_7x_0" localSheetId="73">'491'!$P$62</definedName>
    <definedName name="OSRRefP22_7x_0" localSheetId="87">'492'!$P$59</definedName>
    <definedName name="OSRRefP22_7x_0" localSheetId="94">'501'!$P$54</definedName>
    <definedName name="OSRRefP22_7x_0" localSheetId="39">'Div 2'!$P$55</definedName>
    <definedName name="OSRRefP22_7x_0" localSheetId="48">'Div 3'!$P$155:$P$156</definedName>
    <definedName name="OSRRefP22_7x_0" localSheetId="71">'Div 4'!$P$65</definedName>
    <definedName name="OSRRefP22_7x_0" localSheetId="93">'Div 5'!$P$54</definedName>
    <definedName name="OSRRefP22_7x_0" localSheetId="62">'Div 6'!$P$83</definedName>
    <definedName name="OSRRefP22_7x_0" localSheetId="2">Summary!$P$184:$P$185</definedName>
    <definedName name="OSRRefP22_8x_0" localSheetId="41">'201'!$P$54</definedName>
    <definedName name="OSRRefP22_8x_0" localSheetId="42">'202'!$P$56</definedName>
    <definedName name="OSRRefP22_8x_0" localSheetId="43">'203'!$P$55:$P$57</definedName>
    <definedName name="OSRRefP22_8x_0" localSheetId="44">'204'!$P$57:$P$58</definedName>
    <definedName name="OSRRefP22_8x_0" localSheetId="46">'206'!$P$53:$P$54</definedName>
    <definedName name="OSRRefP22_8x_0" localSheetId="49">'300'!$P$154</definedName>
    <definedName name="OSRRefP22_8x_0" localSheetId="50">'300 &amp; 317'!$P$177</definedName>
    <definedName name="OSRRefP22_8x_0" localSheetId="51">'301'!$P$56</definedName>
    <definedName name="OSRRefP22_8x_0" localSheetId="53">'307'!$P$72</definedName>
    <definedName name="OSRRefP22_8x_0" localSheetId="54">'308'!$P$93</definedName>
    <definedName name="OSRRefP22_8x_0" localSheetId="65">'309'!$P$55:$P$56</definedName>
    <definedName name="OSRRefP22_8x_0" localSheetId="64">'310'!$P$62</definedName>
    <definedName name="OSRRefP22_8x_0" localSheetId="72">'310 &amp; 491'!$P$67:$P$68</definedName>
    <definedName name="OSRRefP22_8x_0" localSheetId="55">'311'!$P$92</definedName>
    <definedName name="OSRRefP22_8x_0" localSheetId="66">'313'!$P$57:$P$59</definedName>
    <definedName name="OSRRefP22_8x_0" localSheetId="58">'315'!$P$114</definedName>
    <definedName name="OSRRefP22_8x_0" localSheetId="61">'316'!$P$66</definedName>
    <definedName name="OSRRefP22_8x_0" localSheetId="63">'317'!$P$85</definedName>
    <definedName name="OSRRefP22_8x_0" localSheetId="67">'321'!$P$59:$P$60</definedName>
    <definedName name="OSRRefP22_8x_0" localSheetId="68">'322'!$P$56:$P$57</definedName>
    <definedName name="OSRRefP22_8x_0" localSheetId="69">'325'!$P$58</definedName>
    <definedName name="OSRRefP22_8x_0" localSheetId="59">'326'!$P$79:$P$80</definedName>
    <definedName name="OSRRefP22_8x_0" localSheetId="52">'330'!$P$72</definedName>
    <definedName name="OSRRefP22_8x_0" localSheetId="57">'331'!$P$113:$P$114</definedName>
    <definedName name="OSRRefP22_8x_0" localSheetId="60">'332'!$P$66</definedName>
    <definedName name="OSRRefP22_8x_0" localSheetId="74">'405'!$P$56</definedName>
    <definedName name="OSRRefP22_8x_0" localSheetId="76">'411'!$P$54</definedName>
    <definedName name="OSRRefP22_8x_0" localSheetId="77">'412'!$P$55:$P$56</definedName>
    <definedName name="OSRRefP22_8x_0" localSheetId="78">'413'!$P$56:$P$59</definedName>
    <definedName name="OSRRefP22_8x_0" localSheetId="79">'414'!$P$57:$P$58</definedName>
    <definedName name="OSRRefP22_8x_0" localSheetId="80">'415'!$P$61</definedName>
    <definedName name="OSRRefP22_8x_0" localSheetId="81">'418'!$P$56:$P$58</definedName>
    <definedName name="OSRRefP22_8x_0" localSheetId="89">'433'!$P$61</definedName>
    <definedName name="OSRRefP22_8x_0" localSheetId="91">'444'!$P$61</definedName>
    <definedName name="OSRRefP22_8x_0" localSheetId="92">'450'!$P$57</definedName>
    <definedName name="OSRRefP22_8x_0" localSheetId="73">'491'!$P$64</definedName>
    <definedName name="OSRRefP22_8x_0" localSheetId="87">'492'!$P$61</definedName>
    <definedName name="OSRRefP22_8x_0" localSheetId="94">'501'!$P$56</definedName>
    <definedName name="OSRRefP22_8x_0" localSheetId="39">'Div 2'!$P$57</definedName>
    <definedName name="OSRRefP22_8x_0" localSheetId="48">'Div 3'!$P$158</definedName>
    <definedName name="OSRRefP22_8x_0" localSheetId="71">'Div 4'!$P$67</definedName>
    <definedName name="OSRRefP22_8x_0" localSheetId="93">'Div 5'!$P$56</definedName>
    <definedName name="OSRRefP22_8x_0" localSheetId="62">'Div 6'!$P$85</definedName>
    <definedName name="OSRRefP22_8x_0" localSheetId="2">Summary!$P$187</definedName>
    <definedName name="OSRRefP22_9x_0" localSheetId="41">'201'!$P$56</definedName>
    <definedName name="OSRRefP22_9x_0" localSheetId="42">'202'!$P$58:$P$60</definedName>
    <definedName name="OSRRefP22_9x_0" localSheetId="43">'203'!$P$59:$P$60</definedName>
    <definedName name="OSRRefP22_9x_0" localSheetId="44">'204'!$P$60</definedName>
    <definedName name="OSRRefP22_9x_0" localSheetId="46">'206'!$P$56</definedName>
    <definedName name="OSRRefP22_9x_0" localSheetId="49">'300'!$P$156</definedName>
    <definedName name="OSRRefP22_9x_0" localSheetId="50">'300 &amp; 317'!$P$179</definedName>
    <definedName name="OSRRefP22_9x_0" localSheetId="51">'301'!$P$58</definedName>
    <definedName name="OSRRefP22_9x_0" localSheetId="53">'307'!$P$74:$P$75</definedName>
    <definedName name="OSRRefP22_9x_0" localSheetId="54">'308'!$P$95:$P$96</definedName>
    <definedName name="OSRRefP22_9x_0" localSheetId="65">'309'!$P$58:$P$60</definedName>
    <definedName name="OSRRefP22_9x_0" localSheetId="64">'310'!$P$64</definedName>
    <definedName name="OSRRefP22_9x_0" localSheetId="72">'310 &amp; 491'!$P$70</definedName>
    <definedName name="OSRRefP22_9x_0" localSheetId="55">'311'!$P$94:$P$95</definedName>
    <definedName name="OSRRefP22_9x_0" localSheetId="66">'313'!$P$61:$P$62</definedName>
    <definedName name="OSRRefP22_9x_0" localSheetId="58">'315'!$P$116</definedName>
    <definedName name="OSRRefP22_9x_0" localSheetId="61">'316'!$P$68:$P$72</definedName>
    <definedName name="OSRRefP22_9x_0" localSheetId="63">'317'!$P$87</definedName>
    <definedName name="OSRRefP22_9x_0" localSheetId="67">'321'!$P$62:$P$63</definedName>
    <definedName name="OSRRefP22_9x_0" localSheetId="68">'322'!$P$59:$P$62</definedName>
    <definedName name="OSRRefP22_9x_0" localSheetId="69">'325'!$P$60</definedName>
    <definedName name="OSRRefP22_9x_0" localSheetId="59">'326'!$P$82</definedName>
    <definedName name="OSRRefP22_9x_0" localSheetId="52">'330'!$P$74:$P$75</definedName>
    <definedName name="OSRRefP22_9x_0" localSheetId="57">'331'!$P$116:$P$117</definedName>
    <definedName name="OSRRefP22_9x_0" localSheetId="60">'332'!$P$68:$P$72</definedName>
    <definedName name="OSRRefP22_9x_0" localSheetId="74">'405'!$P$58:$P$59</definedName>
    <definedName name="OSRRefP22_9x_0" localSheetId="76">'411'!$P$56:$P$57</definedName>
    <definedName name="OSRRefP22_9x_0" localSheetId="77">'412'!$P$58</definedName>
    <definedName name="OSRRefP22_9x_0" localSheetId="78">'413'!$P$61:$P$62</definedName>
    <definedName name="OSRRefP22_9x_0" localSheetId="79">'414'!$P$60</definedName>
    <definedName name="OSRRefP22_9x_0" localSheetId="80">'415'!$P$63</definedName>
    <definedName name="OSRRefP22_9x_0" localSheetId="81">'418'!$P$60:$P$61</definedName>
    <definedName name="OSRRefP22_9x_0" localSheetId="89">'433'!$P$63</definedName>
    <definedName name="OSRRefP22_9x_0" localSheetId="91">'444'!$P$63</definedName>
    <definedName name="OSRRefP22_9x_0" localSheetId="92">'450'!$P$59</definedName>
    <definedName name="OSRRefP22_9x_0" localSheetId="73">'491'!$P$66</definedName>
    <definedName name="OSRRefP22_9x_0" localSheetId="87">'492'!$P$63</definedName>
    <definedName name="OSRRefP22_9x_0" localSheetId="94">'501'!$P$58:$P$61</definedName>
    <definedName name="OSRRefP22_9x_0" localSheetId="39">'Div 2'!$P$59:$P$60</definedName>
    <definedName name="OSRRefP22_9x_0" localSheetId="48">'Div 3'!$P$160</definedName>
    <definedName name="OSRRefP22_9x_0" localSheetId="71">'Div 4'!$P$69</definedName>
    <definedName name="OSRRefP22_9x_0" localSheetId="93">'Div 5'!$P$58:$P$61</definedName>
    <definedName name="OSRRefP22_9x_0" localSheetId="62">'Div 6'!$P$87</definedName>
    <definedName name="OSRRefP22_9x_0" localSheetId="2">Summary!$P$189</definedName>
    <definedName name="OSRRefP22x_0" localSheetId="40">'200'!$P$20,'200'!$P$22,'200'!$P$24,'200'!$P$26,'200'!$P$28:$P$29</definedName>
    <definedName name="OSRRefP22x_0" localSheetId="41">'201'!$P$21:$P$29,'201'!$P$31:$P$40,'201'!$P$42,'201'!$P$44,'201'!$P$46,'201'!$P$48,'201'!$P$50,'201'!$P$52,'201'!$P$54,'201'!$P$56,'201'!$P$58:$P$60,'201'!$P$62,'201'!$P$64,'201'!$P$66:$P$68,'201'!$P$70,'201'!$P$72,'201'!$P$74</definedName>
    <definedName name="OSRRefP22x_0" localSheetId="42">'202'!$P$21:$P$29,'202'!$P$31:$P$40,'202'!$P$42,'202'!$P$44,'202'!$P$46:$P$47,'202'!$P$49,'202'!$P$51,'202'!$P$53:$P$54,'202'!$P$56,'202'!$P$58:$P$60,'202'!$P$62,'202'!$P$64,'202'!$P$66</definedName>
    <definedName name="OSRRefP22x_0" localSheetId="43">'203'!$P$20:$P$29,'203'!$P$31:$P$40,'203'!$P$42,'203'!$P$44,'203'!$P$46,'203'!$P$48,'203'!$P$50,'203'!$P$52:$P$53,'203'!$P$55:$P$57,'203'!$P$59:$P$60,'203'!$P$62,'203'!$P$64:$P$66,'203'!$P$68,'203'!$P$70,'203'!$P$72</definedName>
    <definedName name="OSRRefP22x_0" localSheetId="44">'204'!$P$20:$P$29,'204'!$P$31:$P$40,'204'!$P$42,'204'!$P$44:$P$45,'204'!$P$47,'204'!$P$49,'204'!$P$51,'204'!$P$53:$P$55,'204'!$P$57:$P$58,'204'!$P$60,'204'!$P$62:$P$63,'204'!$P$65,'204'!$P$67</definedName>
    <definedName name="OSRRefP22x_0" localSheetId="45">'205'!$P$20:$P$28,'205'!$P$30:$P$39,'205'!$P$41,'205'!$P$43,'205'!$P$45:$P$46,'205'!$P$48,'205'!$P$50:$P$52,'205'!$P$54</definedName>
    <definedName name="OSRRefP22x_0" localSheetId="46">'206'!$P$20:$P$28,'206'!$P$30:$P$39,'206'!$P$41,'206'!$P$43,'206'!$P$45,'206'!$P$47,'206'!$P$49,'206'!$P$51,'206'!$P$53:$P$54,'206'!$P$56</definedName>
    <definedName name="OSRRefP22x_0" localSheetId="49">'300'!$P$116:$P$125,'300'!$P$127:$P$136,'300'!$P$138,'300'!$P$140:$P$141,'300'!$P$143,'300'!$P$145:$P$146,'300'!$P$148:$P$149,'300'!$P$151:$P$152,'300'!$P$154,'300'!$P$156,'300'!$P$158:$P$159,'300'!$P$161:$P$163,'300'!$P$165,'300'!$P$167,'300'!$P$169,'300'!$P$171,'300'!$P$173:$P$176,'300'!$P$178:$P$181,'300'!$P$183:$P$186,'300'!$P$188:$P$189,'300'!$P$191:$P$199,'300'!$P$201:$P$202,'300'!$P$204,'300'!$P$206:$P$208,'300'!$P$210</definedName>
    <definedName name="OSRRefP22x_0" localSheetId="50">'300 &amp; 317'!$P$139:$P$148,'300 &amp; 317'!$P$150:$P$159,'300 &amp; 317'!$P$161,'300 &amp; 317'!$P$163:$P$164,'300 &amp; 317'!$P$166,'300 &amp; 317'!$P$168:$P$169,'300 &amp; 317'!$P$171:$P$172,'300 &amp; 317'!$P$174:$P$175,'300 &amp; 317'!$P$177,'300 &amp; 317'!$P$179,'300 &amp; 317'!$P$181:$P$182,'300 &amp; 317'!$P$184:$P$186,'300 &amp; 317'!$P$188,'300 &amp; 317'!$P$190,'300 &amp; 317'!$P$192,'300 &amp; 317'!$P$194,'300 &amp; 317'!$P$196:$P$199,'300 &amp; 317'!$P$201:$P$204,'300 &amp; 317'!$P$206:$P$209,'300 &amp; 317'!$P$211:$P$212,'300 &amp; 317'!$P$214:$P$222,'300 &amp; 317'!$P$224:$P$225,'300 &amp; 317'!$P$227,'300 &amp; 317'!$P$229:$P$231,'300 &amp; 317'!$P$233</definedName>
    <definedName name="OSRRefP22x_0" localSheetId="51">'301'!$P$20:$P$29,'301'!$P$31:$P$40,'301'!$P$42,'301'!$P$44:$P$45,'301'!$P$47,'301'!$P$49:$P$50,'301'!$P$52,'301'!$P$54,'301'!$P$56,'301'!$P$58,'301'!$P$60,'301'!$P$62,'301'!$P$64,'301'!$P$66,'301'!$P$68:$P$71,'301'!$P$73:$P$75,'301'!$P$77,'301'!$P$79:$P$85,'301'!$P$87,'301'!$P$89,'301'!$P$91:$P$92,'301'!$P$94</definedName>
    <definedName name="OSRRefP22x_0" localSheetId="53">'307'!$P$39:$P$46,'307'!$P$48:$P$57,'307'!$P$59,'307'!$P$61,'307'!$P$63,'307'!$P$65:$P$66,'307'!$P$68,'307'!$P$70,'307'!$P$72,'307'!$P$74:$P$75,'307'!$P$77:$P$78,'307'!$P$80:$P$83,'307'!$P$85:$P$86,'307'!$P$88</definedName>
    <definedName name="OSRRefP22x_0" localSheetId="54">'308'!$P$56:$P$65,'308'!$P$67:$P$76,'308'!$P$78,'308'!$P$80:$P$81,'308'!$P$83,'308'!$P$85,'308'!$P$87:$P$88,'308'!$P$90:$P$91,'308'!$P$93,'308'!$P$95:$P$96,'308'!$P$98:$P$99,'308'!$P$101:$P$103,'308'!$P$105:$P$106,'308'!$P$108</definedName>
    <definedName name="OSRRefP22x_0" localSheetId="65">'309'!$P$22:$P$29,'309'!$P$31:$P$40,'309'!$P$42,'309'!$P$44,'309'!$P$46,'309'!$P$48,'309'!$P$50,'309'!$P$52:$P$53,'309'!$P$55:$P$56,'309'!$P$58:$P$60,'309'!$P$62</definedName>
    <definedName name="OSRRefP22x_0" localSheetId="64">'310'!$P$28:$P$36,'310'!$P$38:$P$47,'310'!$P$49,'310'!$P$51,'310'!$P$53,'310'!$P$55:$P$56,'310'!$P$58,'310'!$P$60,'310'!$P$62,'310'!$P$64,'310'!$P$66,'310'!$P$68,'310'!$P$70,'310'!$P$72:$P$75,'310'!$P$77:$P$78,'310'!$P$80:$P$83,'310'!$P$85,'310'!$P$87:$P$93,'310'!$P$95:$P$96,'310'!$P$98,'310'!$P$100,'310'!$P$102</definedName>
    <definedName name="OSRRefP22x_0" localSheetId="72">'310 &amp; 491'!$P$32:$P$40,'310 &amp; 491'!$P$42:$P$51,'310 &amp; 491'!$P$53,'310 &amp; 491'!$P$55,'310 &amp; 491'!$P$57,'310 &amp; 491'!$P$59:$P$61,'310 &amp; 491'!$P$63,'310 &amp; 491'!$P$65,'310 &amp; 491'!$P$67:$P$68,'310 &amp; 491'!$P$70,'310 &amp; 491'!$P$72,'310 &amp; 491'!$P$74,'310 &amp; 491'!$P$76,'310 &amp; 491'!$P$78:$P$81,'310 &amp; 491'!$P$83:$P$84,'310 &amp; 491'!$P$86:$P$90,'310 &amp; 491'!$P$92:$P$93,'310 &amp; 491'!$P$95:$P$105,'310 &amp; 491'!$P$107:$P$108,'310 &amp; 491'!$P$110,'310 &amp; 491'!$P$112:$P$114,'310 &amp; 491'!$P$116</definedName>
    <definedName name="OSRRefP22x_0" localSheetId="55">'311'!$P$55:$P$64,'311'!$P$66:$P$75,'311'!$P$77,'311'!$P$79:$P$80,'311'!$P$82,'311'!$P$84,'311'!$P$86:$P$87,'311'!$P$89:$P$90,'311'!$P$92,'311'!$P$94:$P$95,'311'!$P$97:$P$98,'311'!$P$100:$P$102,'311'!$P$104:$P$105,'311'!$P$107</definedName>
    <definedName name="OSRRefP22x_0" localSheetId="66">'313'!$P$23:$P$31,'313'!$P$33:$P$42,'313'!$P$44,'313'!$P$46,'313'!$P$48,'313'!$P$50,'313'!$P$52:$P$53,'313'!$P$55,'313'!$P$57:$P$59,'313'!$P$61:$P$62,'313'!$P$64,'313'!$P$66</definedName>
    <definedName name="OSRRefP22x_0" localSheetId="58">'315'!$P$80:$P$88,'315'!$P$90:$P$99,'315'!$P$101,'315'!$P$103,'315'!$P$105,'315'!$P$107,'315'!$P$109,'315'!$P$111:$P$112,'315'!$P$114,'315'!$P$116,'315'!$P$118,'315'!$P$120,'315'!$P$122:$P$124,'315'!$P$126:$P$127,'315'!$P$129:$P$135,'315'!$P$137,'315'!$P$139,'315'!$P$141:$P$142</definedName>
    <definedName name="OSRRefP22x_0" localSheetId="61">'316'!$P$31:$P$39,'316'!$P$41:$P$50,'316'!$P$52,'316'!$P$54,'316'!$P$56,'316'!$P$58,'316'!$P$60:$P$61,'316'!$P$63:$P$64,'316'!$P$66,'316'!$P$68:$P$72,'316'!$P$74,'316'!$P$76</definedName>
    <definedName name="OSRRefP22x_0" localSheetId="63">'317'!$P$50:$P$59,'317'!$P$61:$P$70,'317'!$P$72,'317'!$P$74,'317'!$P$76,'317'!$P$78,'317'!$P$80:$P$81,'317'!$P$83,'317'!$P$85,'317'!$P$87,'317'!$P$89:$P$91,'317'!$P$93,'317'!$P$95</definedName>
    <definedName name="OSRRefP22x_0" localSheetId="67">'321'!$P$25:$P$33,'321'!$P$35:$P$44,'321'!$P$46,'321'!$P$48,'321'!$P$50,'321'!$P$52,'321'!$P$54,'321'!$P$56:$P$57,'321'!$P$59:$P$60,'321'!$P$62:$P$63,'321'!$P$65:$P$67,'321'!$P$69:$P$70,'321'!$P$72,'321'!$P$74</definedName>
    <definedName name="OSRRefP22x_0" localSheetId="68">'322'!$P$23:$P$30,'322'!$P$32:$P$41,'322'!$P$43,'322'!$P$45,'322'!$P$47,'322'!$P$49,'322'!$P$51,'322'!$P$53:$P$54,'322'!$P$56:$P$57,'322'!$P$59:$P$62,'322'!$P$64,'322'!$P$66</definedName>
    <definedName name="OSRRefP22x_0" localSheetId="56">'324'!$P$27:$P$34,'324'!$P$36:$P$45</definedName>
    <definedName name="OSRRefP22x_0" localSheetId="69">'325'!$P$25:$P$32,'325'!$P$34:$P$43,'325'!$P$45,'325'!$P$47,'325'!$P$49,'325'!$P$51:$P$52,'325'!$P$54,'325'!$P$56,'325'!$P$58,'325'!$P$60,'325'!$P$62,'325'!$P$64:$P$67,'325'!$P$69:$P$71,'325'!$P$73,'325'!$P$75:$P$79,'325'!$P$81:$P$82,'325'!$P$84,'325'!$P$86</definedName>
    <definedName name="OSRRefP22x_0" localSheetId="59">'326'!$P$46:$P$54,'326'!$P$56:$P$65,'326'!$P$67,'326'!$P$69,'326'!$P$71,'326'!$P$73,'326'!$P$75,'326'!$P$77,'326'!$P$79:$P$80,'326'!$P$82,'326'!$P$84,'326'!$P$86,'326'!$P$88,'326'!$P$90:$P$91,'326'!$P$93:$P$95,'326'!$P$97:$P$98,'326'!$P$100:$P$105,'326'!$P$107:$P$108,'326'!$P$110,'326'!$P$112:$P$113,'326'!$P$115</definedName>
    <definedName name="OSRRefP22x_0" localSheetId="70">'327'!$P$24</definedName>
    <definedName name="OSRRefP22x_0" localSheetId="52">'330'!$P$39:$P$46,'330'!$P$48:$P$57,'330'!$P$59,'330'!$P$61,'330'!$P$63,'330'!$P$65:$P$66,'330'!$P$68,'330'!$P$70,'330'!$P$72,'330'!$P$74:$P$75,'330'!$P$77:$P$78,'330'!$P$80:$P$83,'330'!$P$85:$P$86,'330'!$P$88</definedName>
    <definedName name="OSRRefP22x_0" localSheetId="57">'331'!$P$80:$P$88,'331'!$P$90:$P$99,'331'!$P$101,'331'!$P$103,'331'!$P$105,'331'!$P$107,'331'!$P$109,'331'!$P$111,'331'!$P$113:$P$114,'331'!$P$116:$P$117,'331'!$P$119,'331'!$P$121,'331'!$P$123,'331'!$P$125,'331'!$P$127:$P$128,'331'!$P$130:$P$132,'331'!$P$134:$P$136,'331'!$P$138:$P$139,'331'!$P$141:$P$148,'331'!$P$150:$P$151,'331'!$P$153,'331'!$P$155:$P$156,'331'!$P$158</definedName>
    <definedName name="OSRRefP22x_0" localSheetId="60">'332'!$P$31:$P$39,'332'!$P$41:$P$50,'332'!$P$52,'332'!$P$54,'332'!$P$56,'332'!$P$58,'332'!$P$60:$P$61,'332'!$P$63:$P$64,'332'!$P$66,'332'!$P$68:$P$72,'332'!$P$74,'332'!$P$76</definedName>
    <definedName name="OSRRefP22x_0" localSheetId="74">'405'!$P$23:$P$30,'405'!$P$32:$P$41,'405'!$P$43,'405'!$P$45,'405'!$P$47:$P$48,'405'!$P$50,'405'!$P$52,'405'!$P$54,'405'!$P$56,'405'!$P$58:$P$59,'405'!$P$61,'405'!$P$63:$P$66,'405'!$P$68,'405'!$P$70:$P$78,'405'!$P$80,'405'!$P$82,'405'!$P$84,'405'!$P$86</definedName>
    <definedName name="OSRRefP22x_0" localSheetId="75">'406'!$P$20,'406'!$P$22,'406'!$P$24,'406'!$P$26,'406'!$P$28</definedName>
    <definedName name="OSRRefP22x_0" localSheetId="76">'411'!$P$20:$P$28,'411'!$P$30:$P$39,'411'!$P$41,'411'!$P$43,'411'!$P$45:$P$46,'411'!$P$48,'411'!$P$50,'411'!$P$52,'411'!$P$54,'411'!$P$56:$P$57,'411'!$P$59:$P$62,'411'!$P$64,'411'!$P$66:$P$72,'411'!$P$74,'411'!$P$76,'411'!$P$78</definedName>
    <definedName name="OSRRefP22x_0" localSheetId="77">'412'!$P$22:$P$29,'412'!$P$31:$P$40,'412'!$P$42,'412'!$P$44,'412'!$P$46:$P$47,'412'!$P$49,'412'!$P$51,'412'!$P$53,'412'!$P$55:$P$56,'412'!$P$58,'412'!$P$60:$P$63,'412'!$P$65:$P$69,'412'!$P$71:$P$72,'412'!$P$74</definedName>
    <definedName name="OSRRefP22x_0" localSheetId="78">'413'!$P$23:$P$31,'413'!$P$33:$P$42,'413'!$P$44,'413'!$P$46,'413'!$P$48,'413'!$P$50,'413'!$P$52,'413'!$P$54,'413'!$P$56:$P$59,'413'!$P$61:$P$62,'413'!$P$64:$P$71,'413'!$P$73:$P$74,'413'!$P$76</definedName>
    <definedName name="OSRRefP22x_0" localSheetId="79">'414'!$P$24:$P$32,'414'!$P$34:$P$43,'414'!$P$45,'414'!$P$47,'414'!$P$49,'414'!$P$51,'414'!$P$53,'414'!$P$55,'414'!$P$57:$P$58,'414'!$P$60,'414'!$P$62,'414'!$P$64,'414'!$P$66:$P$68,'414'!$P$70,'414'!$P$72,'414'!$P$74</definedName>
    <definedName name="OSRRefP22x_0" localSheetId="80">'415'!$P$27:$P$35,'415'!$P$37:$P$46,'415'!$P$48,'415'!$P$50,'415'!$P$52,'415'!$P$54:$P$55,'415'!$P$57,'415'!$P$59,'415'!$P$61,'415'!$P$63,'415'!$P$65,'415'!$P$67:$P$68,'415'!$P$70:$P$74,'415'!$P$76,'415'!$P$78:$P$85,'415'!$P$87:$P$88,'415'!$P$90,'415'!$P$92:$P$93,'415'!$P$95</definedName>
    <definedName name="OSRRefP22x_0" localSheetId="81">'418'!$P$23:$P$30,'418'!$P$32:$P$41,'418'!$P$43,'418'!$P$45,'418'!$P$47:$P$48,'418'!$P$50,'418'!$P$52,'418'!$P$54,'418'!$P$56:$P$58,'418'!$P$60:$P$61,'418'!$P$63:$P$64,'418'!$P$66:$P$75,'418'!$P$77:$P$78,'418'!$P$80</definedName>
    <definedName name="OSRRefP22x_0" localSheetId="82">'420'!$P$21</definedName>
    <definedName name="OSRRefP22x_0" localSheetId="83">'423'!$P$20:$P$27,'423'!$P$29:$P$38,'423'!$P$40,'423'!$P$42:$P$43,'423'!$P$45,'423'!$P$47,'423'!$P$49</definedName>
    <definedName name="OSRRefP22x_0" localSheetId="84">'424'!$P$20,'424'!$P$22,'424'!$P$24,'424'!$P$26</definedName>
    <definedName name="OSRRefP22x_0" localSheetId="85">'425'!$P$20:$P$24,'425'!$P$26,'425'!$P$28,'425'!$P$30,'425'!$P$32:$P$33,'425'!$P$35</definedName>
    <definedName name="OSRRefP22x_0" localSheetId="88">'430'!$P$20:$P$28,'430'!$P$30:$P$39,'430'!$P$41,'430'!$P$43,'430'!$P$45:$P$47,'430'!$P$49:$P$50,'430'!$P$52,'430'!$P$54</definedName>
    <definedName name="OSRRefP22x_0" localSheetId="89">'433'!$P$27:$P$36,'433'!$P$38:$P$47,'433'!$P$49,'433'!$P$51,'433'!$P$53,'433'!$P$55,'433'!$P$57,'433'!$P$59,'433'!$P$61,'433'!$P$63,'433'!$P$65,'433'!$P$67:$P$69,'433'!$P$71:$P$74,'433'!$P$76:$P$83,'433'!$P$85,'433'!$P$87</definedName>
    <definedName name="OSRRefP22x_0" localSheetId="90">'435'!$P$20</definedName>
    <definedName name="OSRRefP22x_0" localSheetId="91">'444'!$P$27:$P$36,'444'!$P$38:$P$47,'444'!$P$49,'444'!$P$51,'444'!$P$53,'444'!$P$55,'444'!$P$57,'444'!$P$59,'444'!$P$61,'444'!$P$63,'444'!$P$65,'444'!$P$67:$P$70,'444'!$P$72:$P$75,'444'!$P$77,'444'!$P$79:$P$87,'444'!$P$89:$P$90,'444'!$P$92</definedName>
    <definedName name="OSRRefP22x_0" localSheetId="92">'450'!$P$23:$P$32,'450'!$P$34:$P$43,'450'!$P$45,'450'!$P$47,'450'!$P$49,'450'!$P$51,'450'!$P$53,'450'!$P$55,'450'!$P$57,'450'!$P$59,'450'!$P$61,'450'!$P$63,'450'!$P$65,'450'!$P$67:$P$69,'450'!$P$71:$P$77,'450'!$P$79:$P$80,'450'!$P$82</definedName>
    <definedName name="OSRRefP22x_0" localSheetId="73">'491'!$P$29:$P$37,'491'!$P$39:$P$48,'491'!$P$50,'491'!$P$52,'491'!$P$54,'491'!$P$56:$P$58,'491'!$P$60,'491'!$P$62,'491'!$P$64,'491'!$P$66,'491'!$P$68,'491'!$P$70,'491'!$P$72,'491'!$P$74:$P$77,'491'!$P$79:$P$80,'491'!$P$82:$P$86,'491'!$P$88:$P$89,'491'!$P$91:$P$101,'491'!$P$103:$P$104,'491'!$P$106,'491'!$P$108:$P$110,'491'!$P$112</definedName>
    <definedName name="OSRRefP22x_0" localSheetId="87">'492'!$P$27:$P$36,'492'!$P$38:$P$47,'492'!$P$49,'492'!$P$51,'492'!$P$53,'492'!$P$55,'492'!$P$57,'492'!$P$59,'492'!$P$61,'492'!$P$63,'492'!$P$65,'492'!$P$67,'492'!$P$69:$P$72,'492'!$P$74:$P$77,'492'!$P$79,'492'!$P$81:$P$90,'492'!$P$92:$P$93,'492'!$P$95,'492'!$P$97</definedName>
    <definedName name="OSRRefP22x_0" localSheetId="94">'501'!$P$21:$P$30,'501'!$P$32:$P$41,'501'!$P$43,'501'!$P$45,'501'!$P$47,'501'!$P$49:$P$50,'501'!$P$52,'501'!$P$54,'501'!$P$56,'501'!$P$58:$P$61,'501'!$P$63:$P$64,'501'!$P$66</definedName>
    <definedName name="OSRRefP22x_0" localSheetId="39">'Div 2'!$P$21:$P$31,'Div 2'!$P$33:$P$42,'Div 2'!$P$44,'Div 2'!$P$46,'Div 2'!$P$48,'Div 2'!$P$50:$P$51,'Div 2'!$P$53,'Div 2'!$P$55,'Div 2'!$P$57,'Div 2'!$P$59:$P$60,'Div 2'!$P$62,'Div 2'!$P$64:$P$65,'Div 2'!$P$67:$P$70,'Div 2'!$P$72:$P$75,'Div 2'!$P$77:$P$78,'Div 2'!$P$80:$P$81,'Div 2'!$P$83:$P$87,'Div 2'!$P$89:$P$90,'Div 2'!$P$92,'Div 2'!$P$94:$P$95</definedName>
    <definedName name="OSRRefP22x_0" localSheetId="48">'Div 3'!$P$120:$P$129,'Div 3'!$P$131:$P$140,'Div 3'!$P$142,'Div 3'!$P$144:$P$145,'Div 3'!$P$147,'Div 3'!$P$149:$P$150,'Div 3'!$P$152:$P$153,'Div 3'!$P$155:$P$156,'Div 3'!$P$158,'Div 3'!$P$160,'Div 3'!$P$162:$P$163,'Div 3'!$P$165:$P$167,'Div 3'!$P$169,'Div 3'!$P$171,'Div 3'!$P$173,'Div 3'!$P$175,'Div 3'!$P$177,'Div 3'!$P$179:$P$182,'Div 3'!$P$184:$P$187,'Div 3'!$P$189:$P$193,'Div 3'!$P$195:$P$196,'Div 3'!$P$198:$P$206,'Div 3'!$P$208:$P$209,'Div 3'!$P$211,'Div 3'!$P$213:$P$215,'Div 3'!$P$217</definedName>
    <definedName name="OSRRefP22x_0" localSheetId="71">'Div 4'!$P$31:$P$40,'Div 4'!$P$42:$P$51,'Div 4'!$P$53,'Div 4'!$P$55,'Div 4'!$P$57,'Div 4'!$P$59:$P$61,'Div 4'!$P$63,'Div 4'!$P$65,'Div 4'!$P$67,'Div 4'!$P$69,'Div 4'!$P$71,'Div 4'!$P$73,'Div 4'!$P$75,'Div 4'!$P$77,'Div 4'!$P$79,'Div 4'!$P$81:$P$84,'Div 4'!$P$86:$P$87,'Div 4'!$P$89:$P$93,'Div 4'!$P$95:$P$96,'Div 4'!$P$98:$P$108,'Div 4'!$P$110:$P$111,'Div 4'!$P$113,'Div 4'!$P$115:$P$117,'Div 4'!$P$119</definedName>
    <definedName name="OSRRefP22x_0" localSheetId="93">'Div 5'!$P$21:$P$30,'Div 5'!$P$32:$P$41,'Div 5'!$P$43,'Div 5'!$P$45,'Div 5'!$P$47,'Div 5'!$P$49:$P$50,'Div 5'!$P$52,'Div 5'!$P$54,'Div 5'!$P$56,'Div 5'!$P$58:$P$61,'Div 5'!$P$63:$P$64,'Div 5'!$P$66</definedName>
    <definedName name="OSRRefP22x_0" localSheetId="62">'Div 6'!$P$50:$P$59,'Div 6'!$P$61:$P$70,'Div 6'!$P$72,'Div 6'!$P$74,'Div 6'!$P$76,'Div 6'!$P$78,'Div 6'!$P$80:$P$81,'Div 6'!$P$83,'Div 6'!$P$85,'Div 6'!$P$87,'Div 6'!$P$89:$P$91,'Div 6'!$P$93,'Div 6'!$P$95</definedName>
    <definedName name="OSRRefP22x_0" localSheetId="2">Summary!$P$148:$P$157,Summary!$P$159:$P$168,Summary!$P$170,Summary!$P$172:$P$173,Summary!$P$175,Summary!$P$177:$P$179,Summary!$P$181:$P$182,Summary!$P$184:$P$185,Summary!$P$187,Summary!$P$189,Summary!$P$191:$P$192,Summary!$P$194:$P$196,Summary!$P$198,Summary!$P$200,Summary!$P$202,Summary!$P$204,Summary!$P$206,Summary!$P$208,Summary!$P$210:$P$213,Summary!$P$215:$P$218,Summary!$P$220:$P$224,Summary!$P$226:$P$227,Summary!$P$229:$P$239,Summary!$P$241:$P$242,Summary!$P$244,Summary!$P$246:$P$248,Summary!$P$250</definedName>
    <definedName name="OSRRefP25x_0" localSheetId="42">'202'!$P$69:$P$71</definedName>
    <definedName name="OSRRefP25x_0" localSheetId="49">'300'!$P$213:$P$216</definedName>
    <definedName name="OSRRefP25x_0" localSheetId="50">'300 &amp; 317'!$P$236:$P$240</definedName>
    <definedName name="OSRRefP25x_0" localSheetId="51">'301'!$P$97:$P$98</definedName>
    <definedName name="OSRRefP25x_0" localSheetId="54">'308'!$P$111:$P$113</definedName>
    <definedName name="OSRRefP25x_0" localSheetId="72">'310 &amp; 491'!$P$119:$P$122</definedName>
    <definedName name="OSRRefP25x_0" localSheetId="55">'311'!$P$110:$P$112</definedName>
    <definedName name="OSRRefP25x_0" localSheetId="58">'315'!$P$145:$P$147</definedName>
    <definedName name="OSRRefP25x_0" localSheetId="61">'316'!$P$79</definedName>
    <definedName name="OSRRefP25x_0" localSheetId="63">'317'!$P$98:$P$99</definedName>
    <definedName name="OSRRefP25x_0" localSheetId="57">'331'!$P$161:$P$163</definedName>
    <definedName name="OSRRefP25x_0" localSheetId="60">'332'!$P$79</definedName>
    <definedName name="OSRRefP25x_0" localSheetId="76">'411'!$P$81:$P$82</definedName>
    <definedName name="OSRRefP25x_0" localSheetId="81">'418'!$P$83</definedName>
    <definedName name="OSRRefP25x_0" localSheetId="83">'423'!$P$52:$P$54</definedName>
    <definedName name="OSRRefP25x_0" localSheetId="86">'455'!$P$21:$P$22</definedName>
    <definedName name="OSRRefP25x_0" localSheetId="73">'491'!$P$115:$P$118</definedName>
    <definedName name="OSRRefP25x_0" localSheetId="94">'501'!$P$69</definedName>
    <definedName name="OSRRefP25x_0" localSheetId="39">'Div 2'!$P$98:$P$100</definedName>
    <definedName name="OSRRefP25x_0" localSheetId="48">'Div 3'!$P$220:$P$223</definedName>
    <definedName name="OSRRefP25x_0" localSheetId="71">'Div 4'!$P$122:$P$125</definedName>
    <definedName name="OSRRefP25x_0" localSheetId="93">'Div 5'!$P$69</definedName>
    <definedName name="OSRRefP25x_0" localSheetId="62">'Div 6'!$P$98:$P$99</definedName>
    <definedName name="OSRRefP25x_0" localSheetId="2">Summary!$P$253:$P$259</definedName>
    <definedName name="OSRRefT13x_0" localSheetId="41">'201'!$T$13</definedName>
    <definedName name="OSRRefT13x_0" localSheetId="42">'202'!$T$13</definedName>
    <definedName name="OSRRefT13x_0" localSheetId="49">'300'!$T$13:$T$74</definedName>
    <definedName name="OSRRefT13x_0" localSheetId="50">'300 &amp; 317'!$T$13:$T$88</definedName>
    <definedName name="OSRRefT13x_0" localSheetId="53">'307'!$T$13:$T$23</definedName>
    <definedName name="OSRRefT13x_0" localSheetId="54">'308'!$T$13:$T$33</definedName>
    <definedName name="OSRRefT13x_0" localSheetId="65">'309'!$T$13</definedName>
    <definedName name="OSRRefT13x_0" localSheetId="64">'310'!$T$13:$T$17</definedName>
    <definedName name="OSRRefT13x_0" localSheetId="72">'310 &amp; 491'!$T$13:$T$21</definedName>
    <definedName name="OSRRefT13x_0" localSheetId="55">'311'!$T$13:$T$32</definedName>
    <definedName name="OSRRefT13x_0" localSheetId="66">'313'!$T$13</definedName>
    <definedName name="OSRRefT13x_0" localSheetId="58">'315'!$T$13:$T$50</definedName>
    <definedName name="OSRRefT13x_0" localSheetId="61">'316'!$T$13:$T$23</definedName>
    <definedName name="OSRRefT13x_0" localSheetId="63">'317'!$T$13:$T$30</definedName>
    <definedName name="OSRRefT13x_0" localSheetId="67">'321'!$T$13:$T$15</definedName>
    <definedName name="OSRRefT13x_0" localSheetId="68">'322'!$T$13</definedName>
    <definedName name="OSRRefT13x_0" localSheetId="56">'324'!$T$13:$T$16</definedName>
    <definedName name="OSRRefT13x_0" localSheetId="69">'325'!$T$13:$T$14</definedName>
    <definedName name="OSRRefT13x_0" localSheetId="59">'326'!$T$13:$T$33</definedName>
    <definedName name="OSRRefT13x_0" localSheetId="70">'327'!$T$13:$T$14</definedName>
    <definedName name="OSRRefT13x_0" localSheetId="52">'330'!$T$13:$T$23</definedName>
    <definedName name="OSRRefT13x_0" localSheetId="57">'331'!$T$13:$T$50</definedName>
    <definedName name="OSRRefT13x_0" localSheetId="60">'332'!$T$13:$T$23</definedName>
    <definedName name="OSRRefT13x_0" localSheetId="74">'405'!$T$13:$T$14</definedName>
    <definedName name="OSRRefT13x_0" localSheetId="77">'412'!$T$13</definedName>
    <definedName name="OSRRefT13x_0" localSheetId="78">'413'!$T$13:$T$14</definedName>
    <definedName name="OSRRefT13x_0" localSheetId="79">'414'!$T$13:$T$15</definedName>
    <definedName name="OSRRefT13x_0" localSheetId="80">'415'!$T$13:$T$16</definedName>
    <definedName name="OSRRefT13x_0" localSheetId="81">'418'!$T$13:$T$14</definedName>
    <definedName name="OSRRefT13x_0" localSheetId="82">'420'!$T$13</definedName>
    <definedName name="OSRRefT13x_0" localSheetId="89">'433'!$T$13:$T$16</definedName>
    <definedName name="OSRRefT13x_0" localSheetId="91">'444'!$T$13:$T$16</definedName>
    <definedName name="OSRRefT13x_0" localSheetId="92">'450'!$T$13:$T$14</definedName>
    <definedName name="OSRRefT13x_0" localSheetId="73">'491'!$T$13:$T$18</definedName>
    <definedName name="OSRRefT13x_0" localSheetId="87">'492'!$T$13:$T$16</definedName>
    <definedName name="OSRRefT13x_0" localSheetId="94">'501'!$T$13</definedName>
    <definedName name="OSRRefT13x_0" localSheetId="39">'Div 2'!$T$13</definedName>
    <definedName name="OSRRefT13x_0" localSheetId="48">'Div 3'!$T$13:$T$76</definedName>
    <definedName name="OSRRefT13x_0" localSheetId="71">'Div 4'!$T$13:$T$20</definedName>
    <definedName name="OSRRefT13x_0" localSheetId="93">'Div 5'!$T$13</definedName>
    <definedName name="OSRRefT13x_0" localSheetId="62">'Div 6'!$T$13:$T$30</definedName>
    <definedName name="OSRRefT13x_0" localSheetId="2">Summary!$T$13:$T$95</definedName>
    <definedName name="OSRRefT16x_0" localSheetId="49">'300'!$T$77:$T$110</definedName>
    <definedName name="OSRRefT16x_0" localSheetId="50">'300 &amp; 317'!$T$91:$T$133</definedName>
    <definedName name="OSRRefT16x_0" localSheetId="53">'307'!$T$26:$T$33</definedName>
    <definedName name="OSRRefT16x_0" localSheetId="54">'308'!$T$36:$T$50</definedName>
    <definedName name="OSRRefT16x_0" localSheetId="65">'309'!$T$16</definedName>
    <definedName name="OSRRefT16x_0" localSheetId="64">'310'!$T$20:$T$22</definedName>
    <definedName name="OSRRefT16x_0" localSheetId="72">'310 &amp; 491'!$T$24:$T$26</definedName>
    <definedName name="OSRRefT16x_0" localSheetId="55">'311'!$T$35:$T$49</definedName>
    <definedName name="OSRRefT16x_0" localSheetId="66">'313'!$T$16:$T$17</definedName>
    <definedName name="OSRRefT16x_0" localSheetId="58">'315'!$T$53:$T$74</definedName>
    <definedName name="OSRRefT16x_0" localSheetId="63">'317'!$T$33:$T$44</definedName>
    <definedName name="OSRRefT16x_0" localSheetId="67">'321'!$T$18:$T$19</definedName>
    <definedName name="OSRRefT16x_0" localSheetId="68">'322'!$T$16:$T$17</definedName>
    <definedName name="OSRRefT16x_0" localSheetId="56">'324'!$T$19:$T$21</definedName>
    <definedName name="OSRRefT16x_0" localSheetId="69">'325'!$T$17:$T$19</definedName>
    <definedName name="OSRRefT16x_0" localSheetId="59">'326'!$T$36:$T$40</definedName>
    <definedName name="OSRRefT16x_0" localSheetId="70">'327'!$T$17:$T$18</definedName>
    <definedName name="OSRRefT16x_0" localSheetId="52">'330'!$T$26:$T$33</definedName>
    <definedName name="OSRRefT16x_0" localSheetId="57">'331'!$T$53:$T$74</definedName>
    <definedName name="OSRRefT16x_0" localSheetId="74">'405'!$T$17</definedName>
    <definedName name="OSRRefT16x_0" localSheetId="77">'412'!$T$16</definedName>
    <definedName name="OSRRefT16x_0" localSheetId="78">'413'!$T$17</definedName>
    <definedName name="OSRRefT16x_0" localSheetId="79">'414'!$T$18</definedName>
    <definedName name="OSRRefT16x_0" localSheetId="80">'415'!$T$19:$T$21</definedName>
    <definedName name="OSRRefT16x_0" localSheetId="81">'418'!$T$17</definedName>
    <definedName name="OSRRefT16x_0" localSheetId="89">'433'!$T$19:$T$21</definedName>
    <definedName name="OSRRefT16x_0" localSheetId="91">'444'!$T$19:$T$21</definedName>
    <definedName name="OSRRefT16x_0" localSheetId="92">'450'!$T$17</definedName>
    <definedName name="OSRRefT16x_0" localSheetId="73">'491'!$T$21:$T$23</definedName>
    <definedName name="OSRRefT16x_0" localSheetId="87">'492'!$T$19:$T$21</definedName>
    <definedName name="OSRRefT16x_0" localSheetId="48">'Div 3'!$T$79:$T$114</definedName>
    <definedName name="OSRRefT16x_0" localSheetId="71">'Div 4'!$T$23:$T$25</definedName>
    <definedName name="OSRRefT16x_0" localSheetId="62">'Div 6'!$T$33:$T$44</definedName>
    <definedName name="OSRRefT16x_0" localSheetId="2">Summary!$T$98:$T$142</definedName>
    <definedName name="OSRRefT22_0x_0" localSheetId="40">'200'!$T$20</definedName>
    <definedName name="OSRRefT22_0x_0" localSheetId="41">'201'!$T$21:$T$29</definedName>
    <definedName name="OSRRefT22_0x_0" localSheetId="42">'202'!$T$21:$T$29</definedName>
    <definedName name="OSRRefT22_0x_0" localSheetId="43">'203'!$T$20:$T$29</definedName>
    <definedName name="OSRRefT22_0x_0" localSheetId="44">'204'!$T$20:$T$29</definedName>
    <definedName name="OSRRefT22_0x_0" localSheetId="45">'205'!$T$20:$T$28</definedName>
    <definedName name="OSRRefT22_0x_0" localSheetId="46">'206'!$T$20:$T$28</definedName>
    <definedName name="OSRRefT22_0x_0" localSheetId="49">'300'!$T$116:$T$125</definedName>
    <definedName name="OSRRefT22_0x_0" localSheetId="50">'300 &amp; 317'!$T$139:$T$148</definedName>
    <definedName name="OSRRefT22_0x_0" localSheetId="51">'301'!$T$20:$T$29</definedName>
    <definedName name="OSRRefT22_0x_0" localSheetId="53">'307'!$T$39:$T$46</definedName>
    <definedName name="OSRRefT22_0x_0" localSheetId="54">'308'!$T$56:$T$65</definedName>
    <definedName name="OSRRefT22_0x_0" localSheetId="65">'309'!$T$22:$T$29</definedName>
    <definedName name="OSRRefT22_0x_0" localSheetId="64">'310'!$T$28:$T$36</definedName>
    <definedName name="OSRRefT22_0x_0" localSheetId="72">'310 &amp; 491'!$T$32:$T$40</definedName>
    <definedName name="OSRRefT22_0x_0" localSheetId="55">'311'!$T$55:$T$64</definedName>
    <definedName name="OSRRefT22_0x_0" localSheetId="66">'313'!$T$23:$T$31</definedName>
    <definedName name="OSRRefT22_0x_0" localSheetId="58">'315'!$T$80:$T$88</definedName>
    <definedName name="OSRRefT22_0x_0" localSheetId="61">'316'!$T$31:$T$39</definedName>
    <definedName name="OSRRefT22_0x_0" localSheetId="63">'317'!$T$50:$T$59</definedName>
    <definedName name="OSRRefT22_0x_0" localSheetId="67">'321'!$T$25:$T$33</definedName>
    <definedName name="OSRRefT22_0x_0" localSheetId="68">'322'!$T$23:$T$30</definedName>
    <definedName name="OSRRefT22_0x_0" localSheetId="56">'324'!$T$27:$T$34</definedName>
    <definedName name="OSRRefT22_0x_0" localSheetId="69">'325'!$T$25:$T$32</definedName>
    <definedName name="OSRRefT22_0x_0" localSheetId="59">'326'!$T$46:$T$54</definedName>
    <definedName name="OSRRefT22_0x_0" localSheetId="70">'327'!$T$24</definedName>
    <definedName name="OSRRefT22_0x_0" localSheetId="52">'330'!$T$39:$T$46</definedName>
    <definedName name="OSRRefT22_0x_0" localSheetId="57">'331'!$T$80:$T$88</definedName>
    <definedName name="OSRRefT22_0x_0" localSheetId="60">'332'!$T$31:$T$39</definedName>
    <definedName name="OSRRefT22_0x_0" localSheetId="74">'405'!$T$23:$T$30</definedName>
    <definedName name="OSRRefT22_0x_0" localSheetId="75">'406'!$T$20</definedName>
    <definedName name="OSRRefT22_0x_0" localSheetId="76">'411'!$T$20:$T$28</definedName>
    <definedName name="OSRRefT22_0x_0" localSheetId="77">'412'!$T$22:$T$29</definedName>
    <definedName name="OSRRefT22_0x_0" localSheetId="78">'413'!$T$23:$T$31</definedName>
    <definedName name="OSRRefT22_0x_0" localSheetId="79">'414'!$T$24:$T$32</definedName>
    <definedName name="OSRRefT22_0x_0" localSheetId="80">'415'!$T$27:$T$35</definedName>
    <definedName name="OSRRefT22_0x_0" localSheetId="81">'418'!$T$23:$T$30</definedName>
    <definedName name="OSRRefT22_0x_0" localSheetId="82">'420'!$T$21</definedName>
    <definedName name="OSRRefT22_0x_0" localSheetId="83">'423'!$T$20:$T$27</definedName>
    <definedName name="OSRRefT22_0x_0" localSheetId="84">'424'!$T$20</definedName>
    <definedName name="OSRRefT22_0x_0" localSheetId="85">'425'!$T$20:$T$24</definedName>
    <definedName name="OSRRefT22_0x_0" localSheetId="88">'430'!$T$20:$T$28</definedName>
    <definedName name="OSRRefT22_0x_0" localSheetId="89">'433'!$T$27:$T$36</definedName>
    <definedName name="OSRRefT22_0x_0" localSheetId="90">'435'!$T$20</definedName>
    <definedName name="OSRRefT22_0x_0" localSheetId="91">'444'!$T$27:$T$36</definedName>
    <definedName name="OSRRefT22_0x_0" localSheetId="92">'450'!$T$23:$T$32</definedName>
    <definedName name="OSRRefT22_0x_0" localSheetId="73">'491'!$T$29:$T$37</definedName>
    <definedName name="OSRRefT22_0x_0" localSheetId="87">'492'!$T$27:$T$36</definedName>
    <definedName name="OSRRefT22_0x_0" localSheetId="94">'501'!$T$21:$T$30</definedName>
    <definedName name="OSRRefT22_0x_0" localSheetId="39">'Div 2'!$T$21:$T$31</definedName>
    <definedName name="OSRRefT22_0x_0" localSheetId="48">'Div 3'!$T$120:$T$129</definedName>
    <definedName name="OSRRefT22_0x_0" localSheetId="71">'Div 4'!$T$31:$T$40</definedName>
    <definedName name="OSRRefT22_0x_0" localSheetId="93">'Div 5'!$T$21:$T$30</definedName>
    <definedName name="OSRRefT22_0x_0" localSheetId="62">'Div 6'!$T$50:$T$59</definedName>
    <definedName name="OSRRefT22_0x_0" localSheetId="2">Summary!$T$148:$T$157</definedName>
    <definedName name="OSRRefT22_10x_0" localSheetId="41">'201'!$T$58:$T$60</definedName>
    <definedName name="OSRRefT22_10x_0" localSheetId="42">'202'!$T$62</definedName>
    <definedName name="OSRRefT22_10x_0" localSheetId="43">'203'!$T$62</definedName>
    <definedName name="OSRRefT22_10x_0" localSheetId="44">'204'!$T$62:$T$63</definedName>
    <definedName name="OSRRefT22_10x_0" localSheetId="49">'300'!$T$158:$T$159</definedName>
    <definedName name="OSRRefT22_10x_0" localSheetId="50">'300 &amp; 317'!$T$181:$T$182</definedName>
    <definedName name="OSRRefT22_10x_0" localSheetId="51">'301'!$T$60</definedName>
    <definedName name="OSRRefT22_10x_0" localSheetId="53">'307'!$T$77:$T$78</definedName>
    <definedName name="OSRRefT22_10x_0" localSheetId="54">'308'!$T$98:$T$99</definedName>
    <definedName name="OSRRefT22_10x_0" localSheetId="65">'309'!$T$62</definedName>
    <definedName name="OSRRefT22_10x_0" localSheetId="64">'310'!$T$66</definedName>
    <definedName name="OSRRefT22_10x_0" localSheetId="72">'310 &amp; 491'!$T$72</definedName>
    <definedName name="OSRRefT22_10x_0" localSheetId="55">'311'!$T$97:$T$98</definedName>
    <definedName name="OSRRefT22_10x_0" localSheetId="66">'313'!$T$64</definedName>
    <definedName name="OSRRefT22_10x_0" localSheetId="58">'315'!$T$118</definedName>
    <definedName name="OSRRefT22_10x_0" localSheetId="61">'316'!$T$74</definedName>
    <definedName name="OSRRefT22_10x_0" localSheetId="63">'317'!$T$89:$T$91</definedName>
    <definedName name="OSRRefT22_10x_0" localSheetId="67">'321'!$T$65:$T$67</definedName>
    <definedName name="OSRRefT22_10x_0" localSheetId="68">'322'!$T$64</definedName>
    <definedName name="OSRRefT22_10x_0" localSheetId="69">'325'!$T$62</definedName>
    <definedName name="OSRRefT22_10x_0" localSheetId="59">'326'!$T$84</definedName>
    <definedName name="OSRRefT22_10x_0" localSheetId="52">'330'!$T$77:$T$78</definedName>
    <definedName name="OSRRefT22_10x_0" localSheetId="57">'331'!$T$119</definedName>
    <definedName name="OSRRefT22_10x_0" localSheetId="60">'332'!$T$74</definedName>
    <definedName name="OSRRefT22_10x_0" localSheetId="74">'405'!$T$61</definedName>
    <definedName name="OSRRefT22_10x_0" localSheetId="76">'411'!$T$59:$T$62</definedName>
    <definedName name="OSRRefT22_10x_0" localSheetId="77">'412'!$T$60:$T$63</definedName>
    <definedName name="OSRRefT22_10x_0" localSheetId="78">'413'!$T$64:$T$71</definedName>
    <definedName name="OSRRefT22_10x_0" localSheetId="79">'414'!$T$62</definedName>
    <definedName name="OSRRefT22_10x_0" localSheetId="80">'415'!$T$65</definedName>
    <definedName name="OSRRefT22_10x_0" localSheetId="81">'418'!$T$63:$T$64</definedName>
    <definedName name="OSRRefT22_10x_0" localSheetId="89">'433'!$T$65</definedName>
    <definedName name="OSRRefT22_10x_0" localSheetId="91">'444'!$T$65</definedName>
    <definedName name="OSRRefT22_10x_0" localSheetId="92">'450'!$T$61</definedName>
    <definedName name="OSRRefT22_10x_0" localSheetId="73">'491'!$T$68</definedName>
    <definedName name="OSRRefT22_10x_0" localSheetId="87">'492'!$T$65</definedName>
    <definedName name="OSRRefT22_10x_0" localSheetId="94">'501'!$T$63:$T$64</definedName>
    <definedName name="OSRRefT22_10x_0" localSheetId="39">'Div 2'!$T$62</definedName>
    <definedName name="OSRRefT22_10x_0" localSheetId="48">'Div 3'!$T$162:$T$163</definedName>
    <definedName name="OSRRefT22_10x_0" localSheetId="71">'Div 4'!$T$71</definedName>
    <definedName name="OSRRefT22_10x_0" localSheetId="93">'Div 5'!$T$63:$T$64</definedName>
    <definedName name="OSRRefT22_10x_0" localSheetId="62">'Div 6'!$T$89:$T$91</definedName>
    <definedName name="OSRRefT22_10x_0" localSheetId="2">Summary!$T$191:$T$192</definedName>
    <definedName name="OSRRefT22_11x_0" localSheetId="41">'201'!$T$62</definedName>
    <definedName name="OSRRefT22_11x_0" localSheetId="42">'202'!$T$64</definedName>
    <definedName name="OSRRefT22_11x_0" localSheetId="43">'203'!$T$64:$T$66</definedName>
    <definedName name="OSRRefT22_11x_0" localSheetId="44">'204'!$T$65</definedName>
    <definedName name="OSRRefT22_11x_0" localSheetId="49">'300'!$T$161:$T$163</definedName>
    <definedName name="OSRRefT22_11x_0" localSheetId="50">'300 &amp; 317'!$T$184:$T$186</definedName>
    <definedName name="OSRRefT22_11x_0" localSheetId="51">'301'!$T$62</definedName>
    <definedName name="OSRRefT22_11x_0" localSheetId="53">'307'!$T$80:$T$83</definedName>
    <definedName name="OSRRefT22_11x_0" localSheetId="54">'308'!$T$101:$T$103</definedName>
    <definedName name="OSRRefT22_11x_0" localSheetId="64">'310'!$T$68</definedName>
    <definedName name="OSRRefT22_11x_0" localSheetId="72">'310 &amp; 491'!$T$74</definedName>
    <definedName name="OSRRefT22_11x_0" localSheetId="55">'311'!$T$100:$T$102</definedName>
    <definedName name="OSRRefT22_11x_0" localSheetId="66">'313'!$T$66</definedName>
    <definedName name="OSRRefT22_11x_0" localSheetId="58">'315'!$T$120</definedName>
    <definedName name="OSRRefT22_11x_0" localSheetId="61">'316'!$T$76</definedName>
    <definedName name="OSRRefT22_11x_0" localSheetId="63">'317'!$T$93</definedName>
    <definedName name="OSRRefT22_11x_0" localSheetId="67">'321'!$T$69:$T$70</definedName>
    <definedName name="OSRRefT22_11x_0" localSheetId="68">'322'!$T$66</definedName>
    <definedName name="OSRRefT22_11x_0" localSheetId="69">'325'!$T$64:$T$67</definedName>
    <definedName name="OSRRefT22_11x_0" localSheetId="59">'326'!$T$86</definedName>
    <definedName name="OSRRefT22_11x_0" localSheetId="52">'330'!$T$80:$T$83</definedName>
    <definedName name="OSRRefT22_11x_0" localSheetId="57">'331'!$T$121</definedName>
    <definedName name="OSRRefT22_11x_0" localSheetId="60">'332'!$T$76</definedName>
    <definedName name="OSRRefT22_11x_0" localSheetId="74">'405'!$T$63:$T$66</definedName>
    <definedName name="OSRRefT22_11x_0" localSheetId="76">'411'!$T$64</definedName>
    <definedName name="OSRRefT22_11x_0" localSheetId="77">'412'!$T$65:$T$69</definedName>
    <definedName name="OSRRefT22_11x_0" localSheetId="78">'413'!$T$73:$T$74</definedName>
    <definedName name="OSRRefT22_11x_0" localSheetId="79">'414'!$T$64</definedName>
    <definedName name="OSRRefT22_11x_0" localSheetId="80">'415'!$T$67:$T$68</definedName>
    <definedName name="OSRRefT22_11x_0" localSheetId="81">'418'!$T$66:$T$75</definedName>
    <definedName name="OSRRefT22_11x_0" localSheetId="89">'433'!$T$67:$T$69</definedName>
    <definedName name="OSRRefT22_11x_0" localSheetId="91">'444'!$T$67:$T$70</definedName>
    <definedName name="OSRRefT22_11x_0" localSheetId="92">'450'!$T$63</definedName>
    <definedName name="OSRRefT22_11x_0" localSheetId="73">'491'!$T$70</definedName>
    <definedName name="OSRRefT22_11x_0" localSheetId="87">'492'!$T$67</definedName>
    <definedName name="OSRRefT22_11x_0" localSheetId="94">'501'!$T$66</definedName>
    <definedName name="OSRRefT22_11x_0" localSheetId="39">'Div 2'!$T$64:$T$65</definedName>
    <definedName name="OSRRefT22_11x_0" localSheetId="48">'Div 3'!$T$165:$T$167</definedName>
    <definedName name="OSRRefT22_11x_0" localSheetId="71">'Div 4'!$T$73</definedName>
    <definedName name="OSRRefT22_11x_0" localSheetId="93">'Div 5'!$T$66</definedName>
    <definedName name="OSRRefT22_11x_0" localSheetId="62">'Div 6'!$T$93</definedName>
    <definedName name="OSRRefT22_11x_0" localSheetId="2">Summary!$T$194:$T$196</definedName>
    <definedName name="OSRRefT22_12x_0" localSheetId="41">'201'!$T$64</definedName>
    <definedName name="OSRRefT22_12x_0" localSheetId="42">'202'!$T$66</definedName>
    <definedName name="OSRRefT22_12x_0" localSheetId="43">'203'!$T$68</definedName>
    <definedName name="OSRRefT22_12x_0" localSheetId="44">'204'!$T$67</definedName>
    <definedName name="OSRRefT22_12x_0" localSheetId="49">'300'!$T$165</definedName>
    <definedName name="OSRRefT22_12x_0" localSheetId="50">'300 &amp; 317'!$T$188</definedName>
    <definedName name="OSRRefT22_12x_0" localSheetId="51">'301'!$T$64</definedName>
    <definedName name="OSRRefT22_12x_0" localSheetId="53">'307'!$T$85:$T$86</definedName>
    <definedName name="OSRRefT22_12x_0" localSheetId="54">'308'!$T$105:$T$106</definedName>
    <definedName name="OSRRefT22_12x_0" localSheetId="64">'310'!$T$70</definedName>
    <definedName name="OSRRefT22_12x_0" localSheetId="72">'310 &amp; 491'!$T$76</definedName>
    <definedName name="OSRRefT22_12x_0" localSheetId="55">'311'!$T$104:$T$105</definedName>
    <definedName name="OSRRefT22_12x_0" localSheetId="58">'315'!$T$122:$T$124</definedName>
    <definedName name="OSRRefT22_12x_0" localSheetId="63">'317'!$T$95</definedName>
    <definedName name="OSRRefT22_12x_0" localSheetId="67">'321'!$T$72</definedName>
    <definedName name="OSRRefT22_12x_0" localSheetId="69">'325'!$T$69:$T$71</definedName>
    <definedName name="OSRRefT22_12x_0" localSheetId="59">'326'!$T$88</definedName>
    <definedName name="OSRRefT22_12x_0" localSheetId="52">'330'!$T$85:$T$86</definedName>
    <definedName name="OSRRefT22_12x_0" localSheetId="57">'331'!$T$123</definedName>
    <definedName name="OSRRefT22_12x_0" localSheetId="74">'405'!$T$68</definedName>
    <definedName name="OSRRefT22_12x_0" localSheetId="76">'411'!$T$66:$T$72</definedName>
    <definedName name="OSRRefT22_12x_0" localSheetId="77">'412'!$T$71:$T$72</definedName>
    <definedName name="OSRRefT22_12x_0" localSheetId="78">'413'!$T$76</definedName>
    <definedName name="OSRRefT22_12x_0" localSheetId="79">'414'!$T$66:$T$68</definedName>
    <definedName name="OSRRefT22_12x_0" localSheetId="80">'415'!$T$70:$T$74</definedName>
    <definedName name="OSRRefT22_12x_0" localSheetId="81">'418'!$T$77:$T$78</definedName>
    <definedName name="OSRRefT22_12x_0" localSheetId="89">'433'!$T$71:$T$74</definedName>
    <definedName name="OSRRefT22_12x_0" localSheetId="91">'444'!$T$72:$T$75</definedName>
    <definedName name="OSRRefT22_12x_0" localSheetId="92">'450'!$T$65</definedName>
    <definedName name="OSRRefT22_12x_0" localSheetId="73">'491'!$T$72</definedName>
    <definedName name="OSRRefT22_12x_0" localSheetId="87">'492'!$T$69:$T$72</definedName>
    <definedName name="OSRRefT22_12x_0" localSheetId="39">'Div 2'!$T$67:$T$70</definedName>
    <definedName name="OSRRefT22_12x_0" localSheetId="48">'Div 3'!$T$169</definedName>
    <definedName name="OSRRefT22_12x_0" localSheetId="71">'Div 4'!$T$75</definedName>
    <definedName name="OSRRefT22_12x_0" localSheetId="62">'Div 6'!$T$95</definedName>
    <definedName name="OSRRefT22_12x_0" localSheetId="2">Summary!$T$198</definedName>
    <definedName name="OSRRefT22_13x_0" localSheetId="41">'201'!$T$66:$T$68</definedName>
    <definedName name="OSRRefT22_13x_0" localSheetId="43">'203'!$T$70</definedName>
    <definedName name="OSRRefT22_13x_0" localSheetId="49">'300'!$T$167</definedName>
    <definedName name="OSRRefT22_13x_0" localSheetId="50">'300 &amp; 317'!$T$190</definedName>
    <definedName name="OSRRefT22_13x_0" localSheetId="51">'301'!$T$66</definedName>
    <definedName name="OSRRefT22_13x_0" localSheetId="53">'307'!$T$88</definedName>
    <definedName name="OSRRefT22_13x_0" localSheetId="54">'308'!$T$108</definedName>
    <definedName name="OSRRefT22_13x_0" localSheetId="64">'310'!$T$72:$T$75</definedName>
    <definedName name="OSRRefT22_13x_0" localSheetId="72">'310 &amp; 491'!$T$78:$T$81</definedName>
    <definedName name="OSRRefT22_13x_0" localSheetId="55">'311'!$T$107</definedName>
    <definedName name="OSRRefT22_13x_0" localSheetId="58">'315'!$T$126:$T$127</definedName>
    <definedName name="OSRRefT22_13x_0" localSheetId="67">'321'!$T$74</definedName>
    <definedName name="OSRRefT22_13x_0" localSheetId="69">'325'!$T$73</definedName>
    <definedName name="OSRRefT22_13x_0" localSheetId="59">'326'!$T$90:$T$91</definedName>
    <definedName name="OSRRefT22_13x_0" localSheetId="52">'330'!$T$88</definedName>
    <definedName name="OSRRefT22_13x_0" localSheetId="57">'331'!$T$125</definedName>
    <definedName name="OSRRefT22_13x_0" localSheetId="74">'405'!$T$70:$T$78</definedName>
    <definedName name="OSRRefT22_13x_0" localSheetId="76">'411'!$T$74</definedName>
    <definedName name="OSRRefT22_13x_0" localSheetId="77">'412'!$T$74</definedName>
    <definedName name="OSRRefT22_13x_0" localSheetId="79">'414'!$T$70</definedName>
    <definedName name="OSRRefT22_13x_0" localSheetId="80">'415'!$T$76</definedName>
    <definedName name="OSRRefT22_13x_0" localSheetId="81">'418'!$T$80</definedName>
    <definedName name="OSRRefT22_13x_0" localSheetId="89">'433'!$T$76:$T$83</definedName>
    <definedName name="OSRRefT22_13x_0" localSheetId="91">'444'!$T$77</definedName>
    <definedName name="OSRRefT22_13x_0" localSheetId="92">'450'!$T$67:$T$69</definedName>
    <definedName name="OSRRefT22_13x_0" localSheetId="73">'491'!$T$74:$T$77</definedName>
    <definedName name="OSRRefT22_13x_0" localSheetId="87">'492'!$T$74:$T$77</definedName>
    <definedName name="OSRRefT22_13x_0" localSheetId="39">'Div 2'!$T$72:$T$75</definedName>
    <definedName name="OSRRefT22_13x_0" localSheetId="48">'Div 3'!$T$171</definedName>
    <definedName name="OSRRefT22_13x_0" localSheetId="71">'Div 4'!$T$77</definedName>
    <definedName name="OSRRefT22_13x_0" localSheetId="2">Summary!$T$200</definedName>
    <definedName name="OSRRefT22_14x_0" localSheetId="41">'201'!$T$70</definedName>
    <definedName name="OSRRefT22_14x_0" localSheetId="43">'203'!$T$72</definedName>
    <definedName name="OSRRefT22_14x_0" localSheetId="49">'300'!$T$169</definedName>
    <definedName name="OSRRefT22_14x_0" localSheetId="50">'300 &amp; 317'!$T$192</definedName>
    <definedName name="OSRRefT22_14x_0" localSheetId="51">'301'!$T$68:$T$71</definedName>
    <definedName name="OSRRefT22_14x_0" localSheetId="64">'310'!$T$77:$T$78</definedName>
    <definedName name="OSRRefT22_14x_0" localSheetId="72">'310 &amp; 491'!$T$83:$T$84</definedName>
    <definedName name="OSRRefT22_14x_0" localSheetId="58">'315'!$T$129:$T$135</definedName>
    <definedName name="OSRRefT22_14x_0" localSheetId="69">'325'!$T$75:$T$79</definedName>
    <definedName name="OSRRefT22_14x_0" localSheetId="59">'326'!$T$93:$T$95</definedName>
    <definedName name="OSRRefT22_14x_0" localSheetId="57">'331'!$T$127:$T$128</definedName>
    <definedName name="OSRRefT22_14x_0" localSheetId="74">'405'!$T$80</definedName>
    <definedName name="OSRRefT22_14x_0" localSheetId="76">'411'!$T$76</definedName>
    <definedName name="OSRRefT22_14x_0" localSheetId="79">'414'!$T$72</definedName>
    <definedName name="OSRRefT22_14x_0" localSheetId="80">'415'!$T$78:$T$85</definedName>
    <definedName name="OSRRefT22_14x_0" localSheetId="89">'433'!$T$85</definedName>
    <definedName name="OSRRefT22_14x_0" localSheetId="91">'444'!$T$79:$T$87</definedName>
    <definedName name="OSRRefT22_14x_0" localSheetId="92">'450'!$T$71:$T$77</definedName>
    <definedName name="OSRRefT22_14x_0" localSheetId="73">'491'!$T$79:$T$80</definedName>
    <definedName name="OSRRefT22_14x_0" localSheetId="87">'492'!$T$79</definedName>
    <definedName name="OSRRefT22_14x_0" localSheetId="39">'Div 2'!$T$77:$T$78</definedName>
    <definedName name="OSRRefT22_14x_0" localSheetId="48">'Div 3'!$T$173</definedName>
    <definedName name="OSRRefT22_14x_0" localSheetId="71">'Div 4'!$T$79</definedName>
    <definedName name="OSRRefT22_14x_0" localSheetId="2">Summary!$T$202</definedName>
    <definedName name="OSRRefT22_15x_0" localSheetId="41">'201'!$T$72</definedName>
    <definedName name="OSRRefT22_15x_0" localSheetId="49">'300'!$T$171</definedName>
    <definedName name="OSRRefT22_15x_0" localSheetId="50">'300 &amp; 317'!$T$194</definedName>
    <definedName name="OSRRefT22_15x_0" localSheetId="51">'301'!$T$73:$T$75</definedName>
    <definedName name="OSRRefT22_15x_0" localSheetId="64">'310'!$T$80:$T$83</definedName>
    <definedName name="OSRRefT22_15x_0" localSheetId="72">'310 &amp; 491'!$T$86:$T$90</definedName>
    <definedName name="OSRRefT22_15x_0" localSheetId="58">'315'!$T$137</definedName>
    <definedName name="OSRRefT22_15x_0" localSheetId="69">'325'!$T$81:$T$82</definedName>
    <definedName name="OSRRefT22_15x_0" localSheetId="59">'326'!$T$97:$T$98</definedName>
    <definedName name="OSRRefT22_15x_0" localSheetId="57">'331'!$T$130:$T$132</definedName>
    <definedName name="OSRRefT22_15x_0" localSheetId="74">'405'!$T$82</definedName>
    <definedName name="OSRRefT22_15x_0" localSheetId="76">'411'!$T$78</definedName>
    <definedName name="OSRRefT22_15x_0" localSheetId="79">'414'!$T$74</definedName>
    <definedName name="OSRRefT22_15x_0" localSheetId="80">'415'!$T$87:$T$88</definedName>
    <definedName name="OSRRefT22_15x_0" localSheetId="89">'433'!$T$87</definedName>
    <definedName name="OSRRefT22_15x_0" localSheetId="91">'444'!$T$89:$T$90</definedName>
    <definedName name="OSRRefT22_15x_0" localSheetId="92">'450'!$T$79:$T$80</definedName>
    <definedName name="OSRRefT22_15x_0" localSheetId="73">'491'!$T$82:$T$86</definedName>
    <definedName name="OSRRefT22_15x_0" localSheetId="87">'492'!$T$81:$T$90</definedName>
    <definedName name="OSRRefT22_15x_0" localSheetId="39">'Div 2'!$T$80:$T$81</definedName>
    <definedName name="OSRRefT22_15x_0" localSheetId="48">'Div 3'!$T$175</definedName>
    <definedName name="OSRRefT22_15x_0" localSheetId="71">'Div 4'!$T$81:$T$84</definedName>
    <definedName name="OSRRefT22_15x_0" localSheetId="2">Summary!$T$204</definedName>
    <definedName name="OSRRefT22_16x_0" localSheetId="41">'201'!$T$74</definedName>
    <definedName name="OSRRefT22_16x_0" localSheetId="49">'300'!$T$173:$T$176</definedName>
    <definedName name="OSRRefT22_16x_0" localSheetId="50">'300 &amp; 317'!$T$196:$T$199</definedName>
    <definedName name="OSRRefT22_16x_0" localSheetId="51">'301'!$T$77</definedName>
    <definedName name="OSRRefT22_16x_0" localSheetId="64">'310'!$T$85</definedName>
    <definedName name="OSRRefT22_16x_0" localSheetId="72">'310 &amp; 491'!$T$92:$T$93</definedName>
    <definedName name="OSRRefT22_16x_0" localSheetId="58">'315'!$T$139</definedName>
    <definedName name="OSRRefT22_16x_0" localSheetId="69">'325'!$T$84</definedName>
    <definedName name="OSRRefT22_16x_0" localSheetId="59">'326'!$T$100:$T$105</definedName>
    <definedName name="OSRRefT22_16x_0" localSheetId="57">'331'!$T$134:$T$136</definedName>
    <definedName name="OSRRefT22_16x_0" localSheetId="74">'405'!$T$84</definedName>
    <definedName name="OSRRefT22_16x_0" localSheetId="80">'415'!$T$90</definedName>
    <definedName name="OSRRefT22_16x_0" localSheetId="91">'444'!$T$92</definedName>
    <definedName name="OSRRefT22_16x_0" localSheetId="92">'450'!$T$82</definedName>
    <definedName name="OSRRefT22_16x_0" localSheetId="73">'491'!$T$88:$T$89</definedName>
    <definedName name="OSRRefT22_16x_0" localSheetId="87">'492'!$T$92:$T$93</definedName>
    <definedName name="OSRRefT22_16x_0" localSheetId="39">'Div 2'!$T$83:$T$87</definedName>
    <definedName name="OSRRefT22_16x_0" localSheetId="48">'Div 3'!$T$177</definedName>
    <definedName name="OSRRefT22_16x_0" localSheetId="71">'Div 4'!$T$86:$T$87</definedName>
    <definedName name="OSRRefT22_16x_0" localSheetId="2">Summary!$T$206</definedName>
    <definedName name="OSRRefT22_17x_0" localSheetId="49">'300'!$T$178:$T$181</definedName>
    <definedName name="OSRRefT22_17x_0" localSheetId="50">'300 &amp; 317'!$T$201:$T$204</definedName>
    <definedName name="OSRRefT22_17x_0" localSheetId="51">'301'!$T$79:$T$85</definedName>
    <definedName name="OSRRefT22_17x_0" localSheetId="64">'310'!$T$87:$T$93</definedName>
    <definedName name="OSRRefT22_17x_0" localSheetId="72">'310 &amp; 491'!$T$95:$T$105</definedName>
    <definedName name="OSRRefT22_17x_0" localSheetId="58">'315'!$T$141:$T$142</definedName>
    <definedName name="OSRRefT22_17x_0" localSheetId="69">'325'!$T$86</definedName>
    <definedName name="OSRRefT22_17x_0" localSheetId="59">'326'!$T$107:$T$108</definedName>
    <definedName name="OSRRefT22_17x_0" localSheetId="57">'331'!$T$138:$T$139</definedName>
    <definedName name="OSRRefT22_17x_0" localSheetId="74">'405'!$T$86</definedName>
    <definedName name="OSRRefT22_17x_0" localSheetId="80">'415'!$T$92:$T$93</definedName>
    <definedName name="OSRRefT22_17x_0" localSheetId="73">'491'!$T$91:$T$101</definedName>
    <definedName name="OSRRefT22_17x_0" localSheetId="87">'492'!$T$95</definedName>
    <definedName name="OSRRefT22_17x_0" localSheetId="39">'Div 2'!$T$89:$T$90</definedName>
    <definedName name="OSRRefT22_17x_0" localSheetId="48">'Div 3'!$T$179:$T$182</definedName>
    <definedName name="OSRRefT22_17x_0" localSheetId="71">'Div 4'!$T$89:$T$93</definedName>
    <definedName name="OSRRefT22_17x_0" localSheetId="2">Summary!$T$208</definedName>
    <definedName name="OSRRefT22_18x_0" localSheetId="49">'300'!$T$183:$T$186</definedName>
    <definedName name="OSRRefT22_18x_0" localSheetId="50">'300 &amp; 317'!$T$206:$T$209</definedName>
    <definedName name="OSRRefT22_18x_0" localSheetId="51">'301'!$T$87</definedName>
    <definedName name="OSRRefT22_18x_0" localSheetId="64">'310'!$T$95:$T$96</definedName>
    <definedName name="OSRRefT22_18x_0" localSheetId="72">'310 &amp; 491'!$T$107:$T$108</definedName>
    <definedName name="OSRRefT22_18x_0" localSheetId="59">'326'!$T$110</definedName>
    <definedName name="OSRRefT22_18x_0" localSheetId="57">'331'!$T$141:$T$148</definedName>
    <definedName name="OSRRefT22_18x_0" localSheetId="80">'415'!$T$95</definedName>
    <definedName name="OSRRefT22_18x_0" localSheetId="73">'491'!$T$103:$T$104</definedName>
    <definedName name="OSRRefT22_18x_0" localSheetId="87">'492'!$T$97</definedName>
    <definedName name="OSRRefT22_18x_0" localSheetId="39">'Div 2'!$T$92</definedName>
    <definedName name="OSRRefT22_18x_0" localSheetId="48">'Div 3'!$T$184:$T$187</definedName>
    <definedName name="OSRRefT22_18x_0" localSheetId="71">'Div 4'!$T$95:$T$96</definedName>
    <definedName name="OSRRefT22_18x_0" localSheetId="2">Summary!$T$210:$T$213</definedName>
    <definedName name="OSRRefT22_19x_0" localSheetId="49">'300'!$T$188:$T$189</definedName>
    <definedName name="OSRRefT22_19x_0" localSheetId="50">'300 &amp; 317'!$T$211:$T$212</definedName>
    <definedName name="OSRRefT22_19x_0" localSheetId="51">'301'!$T$89</definedName>
    <definedName name="OSRRefT22_19x_0" localSheetId="64">'310'!$T$98</definedName>
    <definedName name="OSRRefT22_19x_0" localSheetId="72">'310 &amp; 491'!$T$110</definedName>
    <definedName name="OSRRefT22_19x_0" localSheetId="59">'326'!$T$112:$T$113</definedName>
    <definedName name="OSRRefT22_19x_0" localSheetId="57">'331'!$T$150:$T$151</definedName>
    <definedName name="OSRRefT22_19x_0" localSheetId="73">'491'!$T$106</definedName>
    <definedName name="OSRRefT22_19x_0" localSheetId="39">'Div 2'!$T$94:$T$95</definedName>
    <definedName name="OSRRefT22_19x_0" localSheetId="48">'Div 3'!$T$189:$T$193</definedName>
    <definedName name="OSRRefT22_19x_0" localSheetId="71">'Div 4'!$T$98:$T$108</definedName>
    <definedName name="OSRRefT22_19x_0" localSheetId="2">Summary!$T$215:$T$218</definedName>
    <definedName name="OSRRefT22_1x_0" localSheetId="40">'200'!$T$22</definedName>
    <definedName name="OSRRefT22_1x_0" localSheetId="41">'201'!$T$31:$T$40</definedName>
    <definedName name="OSRRefT22_1x_0" localSheetId="42">'202'!$T$31:$T$40</definedName>
    <definedName name="OSRRefT22_1x_0" localSheetId="43">'203'!$T$31:$T$40</definedName>
    <definedName name="OSRRefT22_1x_0" localSheetId="44">'204'!$T$31:$T$40</definedName>
    <definedName name="OSRRefT22_1x_0" localSheetId="45">'205'!$T$30:$T$39</definedName>
    <definedName name="OSRRefT22_1x_0" localSheetId="46">'206'!$T$30:$T$39</definedName>
    <definedName name="OSRRefT22_1x_0" localSheetId="49">'300'!$T$127:$T$136</definedName>
    <definedName name="OSRRefT22_1x_0" localSheetId="50">'300 &amp; 317'!$T$150:$T$159</definedName>
    <definedName name="OSRRefT22_1x_0" localSheetId="51">'301'!$T$31:$T$40</definedName>
    <definedName name="OSRRefT22_1x_0" localSheetId="53">'307'!$T$48:$T$57</definedName>
    <definedName name="OSRRefT22_1x_0" localSheetId="54">'308'!$T$67:$T$76</definedName>
    <definedName name="OSRRefT22_1x_0" localSheetId="65">'309'!$T$31:$T$40</definedName>
    <definedName name="OSRRefT22_1x_0" localSheetId="64">'310'!$T$38:$T$47</definedName>
    <definedName name="OSRRefT22_1x_0" localSheetId="72">'310 &amp; 491'!$T$42:$T$51</definedName>
    <definedName name="OSRRefT22_1x_0" localSheetId="55">'311'!$T$66:$T$75</definedName>
    <definedName name="OSRRefT22_1x_0" localSheetId="66">'313'!$T$33:$T$42</definedName>
    <definedName name="OSRRefT22_1x_0" localSheetId="58">'315'!$T$90:$T$99</definedName>
    <definedName name="OSRRefT22_1x_0" localSheetId="61">'316'!$T$41:$T$50</definedName>
    <definedName name="OSRRefT22_1x_0" localSheetId="63">'317'!$T$61:$T$70</definedName>
    <definedName name="OSRRefT22_1x_0" localSheetId="67">'321'!$T$35:$T$44</definedName>
    <definedName name="OSRRefT22_1x_0" localSheetId="68">'322'!$T$32:$T$41</definedName>
    <definedName name="OSRRefT22_1x_0" localSheetId="56">'324'!$T$36:$T$45</definedName>
    <definedName name="OSRRefT22_1x_0" localSheetId="69">'325'!$T$34:$T$43</definedName>
    <definedName name="OSRRefT22_1x_0" localSheetId="59">'326'!$T$56:$T$65</definedName>
    <definedName name="OSRRefT22_1x_0" localSheetId="52">'330'!$T$48:$T$57</definedName>
    <definedName name="OSRRefT22_1x_0" localSheetId="57">'331'!$T$90:$T$99</definedName>
    <definedName name="OSRRefT22_1x_0" localSheetId="60">'332'!$T$41:$T$50</definedName>
    <definedName name="OSRRefT22_1x_0" localSheetId="74">'405'!$T$32:$T$41</definedName>
    <definedName name="OSRRefT22_1x_0" localSheetId="75">'406'!$T$22</definedName>
    <definedName name="OSRRefT22_1x_0" localSheetId="76">'411'!$T$30:$T$39</definedName>
    <definedName name="OSRRefT22_1x_0" localSheetId="77">'412'!$T$31:$T$40</definedName>
    <definedName name="OSRRefT22_1x_0" localSheetId="78">'413'!$T$33:$T$42</definedName>
    <definedName name="OSRRefT22_1x_0" localSheetId="79">'414'!$T$34:$T$43</definedName>
    <definedName name="OSRRefT22_1x_0" localSheetId="80">'415'!$T$37:$T$46</definedName>
    <definedName name="OSRRefT22_1x_0" localSheetId="81">'418'!$T$32:$T$41</definedName>
    <definedName name="OSRRefT22_1x_0" localSheetId="83">'423'!$T$29:$T$38</definedName>
    <definedName name="OSRRefT22_1x_0" localSheetId="84">'424'!$T$22</definedName>
    <definedName name="OSRRefT22_1x_0" localSheetId="85">'425'!$T$26</definedName>
    <definedName name="OSRRefT22_1x_0" localSheetId="88">'430'!$T$30:$T$39</definedName>
    <definedName name="OSRRefT22_1x_0" localSheetId="89">'433'!$T$38:$T$47</definedName>
    <definedName name="OSRRefT22_1x_0" localSheetId="91">'444'!$T$38:$T$47</definedName>
    <definedName name="OSRRefT22_1x_0" localSheetId="92">'450'!$T$34:$T$43</definedName>
    <definedName name="OSRRefT22_1x_0" localSheetId="73">'491'!$T$39:$T$48</definedName>
    <definedName name="OSRRefT22_1x_0" localSheetId="87">'492'!$T$38:$T$47</definedName>
    <definedName name="OSRRefT22_1x_0" localSheetId="94">'501'!$T$32:$T$41</definedName>
    <definedName name="OSRRefT22_1x_0" localSheetId="39">'Div 2'!$T$33:$T$42</definedName>
    <definedName name="OSRRefT22_1x_0" localSheetId="48">'Div 3'!$T$131:$T$140</definedName>
    <definedName name="OSRRefT22_1x_0" localSheetId="71">'Div 4'!$T$42:$T$51</definedName>
    <definedName name="OSRRefT22_1x_0" localSheetId="93">'Div 5'!$T$32:$T$41</definedName>
    <definedName name="OSRRefT22_1x_0" localSheetId="62">'Div 6'!$T$61:$T$70</definedName>
    <definedName name="OSRRefT22_1x_0" localSheetId="2">Summary!$T$159:$T$168</definedName>
    <definedName name="OSRRefT22_20x_0" localSheetId="49">'300'!$T$191:$T$199</definedName>
    <definedName name="OSRRefT22_20x_0" localSheetId="50">'300 &amp; 317'!$T$214:$T$222</definedName>
    <definedName name="OSRRefT22_20x_0" localSheetId="51">'301'!$T$91:$T$92</definedName>
    <definedName name="OSRRefT22_20x_0" localSheetId="64">'310'!$T$100</definedName>
    <definedName name="OSRRefT22_20x_0" localSheetId="72">'310 &amp; 491'!$T$112:$T$114</definedName>
    <definedName name="OSRRefT22_20x_0" localSheetId="59">'326'!$T$115</definedName>
    <definedName name="OSRRefT22_20x_0" localSheetId="57">'331'!$T$153</definedName>
    <definedName name="OSRRefT22_20x_0" localSheetId="73">'491'!$T$108:$T$110</definedName>
    <definedName name="OSRRefT22_20x_0" localSheetId="48">'Div 3'!$T$195:$T$196</definedName>
    <definedName name="OSRRefT22_20x_0" localSheetId="71">'Div 4'!$T$110:$T$111</definedName>
    <definedName name="OSRRefT22_20x_0" localSheetId="2">Summary!$T$220:$T$224</definedName>
    <definedName name="OSRRefT22_21x_0" localSheetId="49">'300'!$T$201:$T$202</definedName>
    <definedName name="OSRRefT22_21x_0" localSheetId="50">'300 &amp; 317'!$T$224:$T$225</definedName>
    <definedName name="OSRRefT22_21x_0" localSheetId="51">'301'!$T$94</definedName>
    <definedName name="OSRRefT22_21x_0" localSheetId="64">'310'!$T$102</definedName>
    <definedName name="OSRRefT22_21x_0" localSheetId="72">'310 &amp; 491'!$T$116</definedName>
    <definedName name="OSRRefT22_21x_0" localSheetId="57">'331'!$T$155:$T$156</definedName>
    <definedName name="OSRRefT22_21x_0" localSheetId="73">'491'!$T$112</definedName>
    <definedName name="OSRRefT22_21x_0" localSheetId="48">'Div 3'!$T$198:$T$206</definedName>
    <definedName name="OSRRefT22_21x_0" localSheetId="71">'Div 4'!$T$113</definedName>
    <definedName name="OSRRefT22_21x_0" localSheetId="2">Summary!$T$226:$T$227</definedName>
    <definedName name="OSRRefT22_22x_0" localSheetId="49">'300'!$T$204</definedName>
    <definedName name="OSRRefT22_22x_0" localSheetId="50">'300 &amp; 317'!$T$227</definedName>
    <definedName name="OSRRefT22_22x_0" localSheetId="57">'331'!$T$158</definedName>
    <definedName name="OSRRefT22_22x_0" localSheetId="48">'Div 3'!$T$208:$T$209</definedName>
    <definedName name="OSRRefT22_22x_0" localSheetId="71">'Div 4'!$T$115:$T$117</definedName>
    <definedName name="OSRRefT22_22x_0" localSheetId="2">Summary!$T$229:$T$239</definedName>
    <definedName name="OSRRefT22_23x_0" localSheetId="49">'300'!$T$206:$T$208</definedName>
    <definedName name="OSRRefT22_23x_0" localSheetId="50">'300 &amp; 317'!$T$229:$T$231</definedName>
    <definedName name="OSRRefT22_23x_0" localSheetId="48">'Div 3'!$T$211</definedName>
    <definedName name="OSRRefT22_23x_0" localSheetId="71">'Div 4'!$T$119</definedName>
    <definedName name="OSRRefT22_23x_0" localSheetId="2">Summary!$T$241:$T$242</definedName>
    <definedName name="OSRRefT22_24x_0" localSheetId="49">'300'!$T$210</definedName>
    <definedName name="OSRRefT22_24x_0" localSheetId="50">'300 &amp; 317'!$T$233</definedName>
    <definedName name="OSRRefT22_24x_0" localSheetId="48">'Div 3'!$T$213:$T$215</definedName>
    <definedName name="OSRRefT22_24x_0" localSheetId="2">Summary!$T$244</definedName>
    <definedName name="OSRRefT22_25x_0" localSheetId="48">'Div 3'!$T$217</definedName>
    <definedName name="OSRRefT22_25x_0" localSheetId="2">Summary!$T$246:$T$248</definedName>
    <definedName name="OSRRefT22_26x_0" localSheetId="2">Summary!$T$250</definedName>
    <definedName name="OSRRefT22_2x_0" localSheetId="40">'200'!$T$24</definedName>
    <definedName name="OSRRefT22_2x_0" localSheetId="41">'201'!$T$42</definedName>
    <definedName name="OSRRefT22_2x_0" localSheetId="42">'202'!$T$42</definedName>
    <definedName name="OSRRefT22_2x_0" localSheetId="43">'203'!$T$42</definedName>
    <definedName name="OSRRefT22_2x_0" localSheetId="44">'204'!$T$42</definedName>
    <definedName name="OSRRefT22_2x_0" localSheetId="45">'205'!$T$41</definedName>
    <definedName name="OSRRefT22_2x_0" localSheetId="46">'206'!$T$41</definedName>
    <definedName name="OSRRefT22_2x_0" localSheetId="49">'300'!$T$138</definedName>
    <definedName name="OSRRefT22_2x_0" localSheetId="50">'300 &amp; 317'!$T$161</definedName>
    <definedName name="OSRRefT22_2x_0" localSheetId="51">'301'!$T$42</definedName>
    <definedName name="OSRRefT22_2x_0" localSheetId="53">'307'!$T$59</definedName>
    <definedName name="OSRRefT22_2x_0" localSheetId="54">'308'!$T$78</definedName>
    <definedName name="OSRRefT22_2x_0" localSheetId="65">'309'!$T$42</definedName>
    <definedName name="OSRRefT22_2x_0" localSheetId="64">'310'!$T$49</definedName>
    <definedName name="OSRRefT22_2x_0" localSheetId="72">'310 &amp; 491'!$T$53</definedName>
    <definedName name="OSRRefT22_2x_0" localSheetId="55">'311'!$T$77</definedName>
    <definedName name="OSRRefT22_2x_0" localSheetId="66">'313'!$T$44</definedName>
    <definedName name="OSRRefT22_2x_0" localSheetId="58">'315'!$T$101</definedName>
    <definedName name="OSRRefT22_2x_0" localSheetId="61">'316'!$T$52</definedName>
    <definedName name="OSRRefT22_2x_0" localSheetId="63">'317'!$T$72</definedName>
    <definedName name="OSRRefT22_2x_0" localSheetId="67">'321'!$T$46</definedName>
    <definedName name="OSRRefT22_2x_0" localSheetId="68">'322'!$T$43</definedName>
    <definedName name="OSRRefT22_2x_0" localSheetId="69">'325'!$T$45</definedName>
    <definedName name="OSRRefT22_2x_0" localSheetId="59">'326'!$T$67</definedName>
    <definedName name="OSRRefT22_2x_0" localSheetId="52">'330'!$T$59</definedName>
    <definedName name="OSRRefT22_2x_0" localSheetId="57">'331'!$T$101</definedName>
    <definedName name="OSRRefT22_2x_0" localSheetId="60">'332'!$T$52</definedName>
    <definedName name="OSRRefT22_2x_0" localSheetId="74">'405'!$T$43</definedName>
    <definedName name="OSRRefT22_2x_0" localSheetId="75">'406'!$T$24</definedName>
    <definedName name="OSRRefT22_2x_0" localSheetId="76">'411'!$T$41</definedName>
    <definedName name="OSRRefT22_2x_0" localSheetId="77">'412'!$T$42</definedName>
    <definedName name="OSRRefT22_2x_0" localSheetId="78">'413'!$T$44</definedName>
    <definedName name="OSRRefT22_2x_0" localSheetId="79">'414'!$T$45</definedName>
    <definedName name="OSRRefT22_2x_0" localSheetId="80">'415'!$T$48</definedName>
    <definedName name="OSRRefT22_2x_0" localSheetId="81">'418'!$T$43</definedName>
    <definedName name="OSRRefT22_2x_0" localSheetId="83">'423'!$T$40</definedName>
    <definedName name="OSRRefT22_2x_0" localSheetId="84">'424'!$T$24</definedName>
    <definedName name="OSRRefT22_2x_0" localSheetId="85">'425'!$T$28</definedName>
    <definedName name="OSRRefT22_2x_0" localSheetId="88">'430'!$T$41</definedName>
    <definedName name="OSRRefT22_2x_0" localSheetId="89">'433'!$T$49</definedName>
    <definedName name="OSRRefT22_2x_0" localSheetId="91">'444'!$T$49</definedName>
    <definedName name="OSRRefT22_2x_0" localSheetId="92">'450'!$T$45</definedName>
    <definedName name="OSRRefT22_2x_0" localSheetId="73">'491'!$T$50</definedName>
    <definedName name="OSRRefT22_2x_0" localSheetId="87">'492'!$T$49</definedName>
    <definedName name="OSRRefT22_2x_0" localSheetId="94">'501'!$T$43</definedName>
    <definedName name="OSRRefT22_2x_0" localSheetId="39">'Div 2'!$T$44</definedName>
    <definedName name="OSRRefT22_2x_0" localSheetId="48">'Div 3'!$T$142</definedName>
    <definedName name="OSRRefT22_2x_0" localSheetId="71">'Div 4'!$T$53</definedName>
    <definedName name="OSRRefT22_2x_0" localSheetId="93">'Div 5'!$T$43</definedName>
    <definedName name="OSRRefT22_2x_0" localSheetId="62">'Div 6'!$T$72</definedName>
    <definedName name="OSRRefT22_2x_0" localSheetId="2">Summary!$T$170</definedName>
    <definedName name="OSRRefT22_3x_0" localSheetId="40">'200'!$T$26</definedName>
    <definedName name="OSRRefT22_3x_0" localSheetId="41">'201'!$T$44</definedName>
    <definedName name="OSRRefT22_3x_0" localSheetId="42">'202'!$T$44</definedName>
    <definedName name="OSRRefT22_3x_0" localSheetId="43">'203'!$T$44</definedName>
    <definedName name="OSRRefT22_3x_0" localSheetId="44">'204'!$T$44:$T$45</definedName>
    <definedName name="OSRRefT22_3x_0" localSheetId="45">'205'!$T$43</definedName>
    <definedName name="OSRRefT22_3x_0" localSheetId="46">'206'!$T$43</definedName>
    <definedName name="OSRRefT22_3x_0" localSheetId="49">'300'!$T$140:$T$141</definedName>
    <definedName name="OSRRefT22_3x_0" localSheetId="50">'300 &amp; 317'!$T$163:$T$164</definedName>
    <definedName name="OSRRefT22_3x_0" localSheetId="51">'301'!$T$44:$T$45</definedName>
    <definedName name="OSRRefT22_3x_0" localSheetId="53">'307'!$T$61</definedName>
    <definedName name="OSRRefT22_3x_0" localSheetId="54">'308'!$T$80:$T$81</definedName>
    <definedName name="OSRRefT22_3x_0" localSheetId="65">'309'!$T$44</definedName>
    <definedName name="OSRRefT22_3x_0" localSheetId="64">'310'!$T$51</definedName>
    <definedName name="OSRRefT22_3x_0" localSheetId="72">'310 &amp; 491'!$T$55</definedName>
    <definedName name="OSRRefT22_3x_0" localSheetId="55">'311'!$T$79:$T$80</definedName>
    <definedName name="OSRRefT22_3x_0" localSheetId="66">'313'!$T$46</definedName>
    <definedName name="OSRRefT22_3x_0" localSheetId="58">'315'!$T$103</definedName>
    <definedName name="OSRRefT22_3x_0" localSheetId="61">'316'!$T$54</definedName>
    <definedName name="OSRRefT22_3x_0" localSheetId="63">'317'!$T$74</definedName>
    <definedName name="OSRRefT22_3x_0" localSheetId="67">'321'!$T$48</definedName>
    <definedName name="OSRRefT22_3x_0" localSheetId="68">'322'!$T$45</definedName>
    <definedName name="OSRRefT22_3x_0" localSheetId="69">'325'!$T$47</definedName>
    <definedName name="OSRRefT22_3x_0" localSheetId="59">'326'!$T$69</definedName>
    <definedName name="OSRRefT22_3x_0" localSheetId="52">'330'!$T$61</definedName>
    <definedName name="OSRRefT22_3x_0" localSheetId="57">'331'!$T$103</definedName>
    <definedName name="OSRRefT22_3x_0" localSheetId="60">'332'!$T$54</definedName>
    <definedName name="OSRRefT22_3x_0" localSheetId="74">'405'!$T$45</definedName>
    <definedName name="OSRRefT22_3x_0" localSheetId="75">'406'!$T$26</definedName>
    <definedName name="OSRRefT22_3x_0" localSheetId="76">'411'!$T$43</definedName>
    <definedName name="OSRRefT22_3x_0" localSheetId="77">'412'!$T$44</definedName>
    <definedName name="OSRRefT22_3x_0" localSheetId="78">'413'!$T$46</definedName>
    <definedName name="OSRRefT22_3x_0" localSheetId="79">'414'!$T$47</definedName>
    <definedName name="OSRRefT22_3x_0" localSheetId="80">'415'!$T$50</definedName>
    <definedName name="OSRRefT22_3x_0" localSheetId="81">'418'!$T$45</definedName>
    <definedName name="OSRRefT22_3x_0" localSheetId="83">'423'!$T$42:$T$43</definedName>
    <definedName name="OSRRefT22_3x_0" localSheetId="84">'424'!$T$26</definedName>
    <definedName name="OSRRefT22_3x_0" localSheetId="85">'425'!$T$30</definedName>
    <definedName name="OSRRefT22_3x_0" localSheetId="88">'430'!$T$43</definedName>
    <definedName name="OSRRefT22_3x_0" localSheetId="89">'433'!$T$51</definedName>
    <definedName name="OSRRefT22_3x_0" localSheetId="91">'444'!$T$51</definedName>
    <definedName name="OSRRefT22_3x_0" localSheetId="92">'450'!$T$47</definedName>
    <definedName name="OSRRefT22_3x_0" localSheetId="73">'491'!$T$52</definedName>
    <definedName name="OSRRefT22_3x_0" localSheetId="87">'492'!$T$51</definedName>
    <definedName name="OSRRefT22_3x_0" localSheetId="94">'501'!$T$45</definedName>
    <definedName name="OSRRefT22_3x_0" localSheetId="39">'Div 2'!$T$46</definedName>
    <definedName name="OSRRefT22_3x_0" localSheetId="48">'Div 3'!$T$144:$T$145</definedName>
    <definedName name="OSRRefT22_3x_0" localSheetId="71">'Div 4'!$T$55</definedName>
    <definedName name="OSRRefT22_3x_0" localSheetId="93">'Div 5'!$T$45</definedName>
    <definedName name="OSRRefT22_3x_0" localSheetId="62">'Div 6'!$T$74</definedName>
    <definedName name="OSRRefT22_3x_0" localSheetId="2">Summary!$T$172:$T$173</definedName>
    <definedName name="OSRRefT22_4x_0" localSheetId="40">'200'!$T$28:$T$29</definedName>
    <definedName name="OSRRefT22_4x_0" localSheetId="41">'201'!$T$46</definedName>
    <definedName name="OSRRefT22_4x_0" localSheetId="42">'202'!$T$46:$T$47</definedName>
    <definedName name="OSRRefT22_4x_0" localSheetId="43">'203'!$T$46</definedName>
    <definedName name="OSRRefT22_4x_0" localSheetId="44">'204'!$T$47</definedName>
    <definedName name="OSRRefT22_4x_0" localSheetId="45">'205'!$T$45:$T$46</definedName>
    <definedName name="OSRRefT22_4x_0" localSheetId="46">'206'!$T$45</definedName>
    <definedName name="OSRRefT22_4x_0" localSheetId="49">'300'!$T$143</definedName>
    <definedName name="OSRRefT22_4x_0" localSheetId="50">'300 &amp; 317'!$T$166</definedName>
    <definedName name="OSRRefT22_4x_0" localSheetId="51">'301'!$T$47</definedName>
    <definedName name="OSRRefT22_4x_0" localSheetId="53">'307'!$T$63</definedName>
    <definedName name="OSRRefT22_4x_0" localSheetId="54">'308'!$T$83</definedName>
    <definedName name="OSRRefT22_4x_0" localSheetId="65">'309'!$T$46</definedName>
    <definedName name="OSRRefT22_4x_0" localSheetId="64">'310'!$T$53</definedName>
    <definedName name="OSRRefT22_4x_0" localSheetId="72">'310 &amp; 491'!$T$57</definedName>
    <definedName name="OSRRefT22_4x_0" localSheetId="55">'311'!$T$82</definedName>
    <definedName name="OSRRefT22_4x_0" localSheetId="66">'313'!$T$48</definedName>
    <definedName name="OSRRefT22_4x_0" localSheetId="58">'315'!$T$105</definedName>
    <definedName name="OSRRefT22_4x_0" localSheetId="61">'316'!$T$56</definedName>
    <definedName name="OSRRefT22_4x_0" localSheetId="63">'317'!$T$76</definedName>
    <definedName name="OSRRefT22_4x_0" localSheetId="67">'321'!$T$50</definedName>
    <definedName name="OSRRefT22_4x_0" localSheetId="68">'322'!$T$47</definedName>
    <definedName name="OSRRefT22_4x_0" localSheetId="69">'325'!$T$49</definedName>
    <definedName name="OSRRefT22_4x_0" localSheetId="59">'326'!$T$71</definedName>
    <definedName name="OSRRefT22_4x_0" localSheetId="52">'330'!$T$63</definedName>
    <definedName name="OSRRefT22_4x_0" localSheetId="57">'331'!$T$105</definedName>
    <definedName name="OSRRefT22_4x_0" localSheetId="60">'332'!$T$56</definedName>
    <definedName name="OSRRefT22_4x_0" localSheetId="74">'405'!$T$47:$T$48</definedName>
    <definedName name="OSRRefT22_4x_0" localSheetId="75">'406'!$T$28</definedName>
    <definedName name="OSRRefT22_4x_0" localSheetId="76">'411'!$T$45:$T$46</definedName>
    <definedName name="OSRRefT22_4x_0" localSheetId="77">'412'!$T$46:$T$47</definedName>
    <definedName name="OSRRefT22_4x_0" localSheetId="78">'413'!$T$48</definedName>
    <definedName name="OSRRefT22_4x_0" localSheetId="79">'414'!$T$49</definedName>
    <definedName name="OSRRefT22_4x_0" localSheetId="80">'415'!$T$52</definedName>
    <definedName name="OSRRefT22_4x_0" localSheetId="81">'418'!$T$47:$T$48</definedName>
    <definedName name="OSRRefT22_4x_0" localSheetId="83">'423'!$T$45</definedName>
    <definedName name="OSRRefT22_4x_0" localSheetId="85">'425'!$T$32:$T$33</definedName>
    <definedName name="OSRRefT22_4x_0" localSheetId="88">'430'!$T$45:$T$47</definedName>
    <definedName name="OSRRefT22_4x_0" localSheetId="89">'433'!$T$53</definedName>
    <definedName name="OSRRefT22_4x_0" localSheetId="91">'444'!$T$53</definedName>
    <definedName name="OSRRefT22_4x_0" localSheetId="92">'450'!$T$49</definedName>
    <definedName name="OSRRefT22_4x_0" localSheetId="73">'491'!$T$54</definedName>
    <definedName name="OSRRefT22_4x_0" localSheetId="87">'492'!$T$53</definedName>
    <definedName name="OSRRefT22_4x_0" localSheetId="94">'501'!$T$47</definedName>
    <definedName name="OSRRefT22_4x_0" localSheetId="39">'Div 2'!$T$48</definedName>
    <definedName name="OSRRefT22_4x_0" localSheetId="48">'Div 3'!$T$147</definedName>
    <definedName name="OSRRefT22_4x_0" localSheetId="71">'Div 4'!$T$57</definedName>
    <definedName name="OSRRefT22_4x_0" localSheetId="93">'Div 5'!$T$47</definedName>
    <definedName name="OSRRefT22_4x_0" localSheetId="62">'Div 6'!$T$76</definedName>
    <definedName name="OSRRefT22_4x_0" localSheetId="2">Summary!$T$175</definedName>
    <definedName name="OSRRefT22_5x_0" localSheetId="41">'201'!$T$48</definedName>
    <definedName name="OSRRefT22_5x_0" localSheetId="42">'202'!$T$49</definedName>
    <definedName name="OSRRefT22_5x_0" localSheetId="43">'203'!$T$48</definedName>
    <definedName name="OSRRefT22_5x_0" localSheetId="44">'204'!$T$49</definedName>
    <definedName name="OSRRefT22_5x_0" localSheetId="45">'205'!$T$48</definedName>
    <definedName name="OSRRefT22_5x_0" localSheetId="46">'206'!$T$47</definedName>
    <definedName name="OSRRefT22_5x_0" localSheetId="49">'300'!$T$145:$T$146</definedName>
    <definedName name="OSRRefT22_5x_0" localSheetId="50">'300 &amp; 317'!$T$168:$T$169</definedName>
    <definedName name="OSRRefT22_5x_0" localSheetId="51">'301'!$T$49:$T$50</definedName>
    <definedName name="OSRRefT22_5x_0" localSheetId="53">'307'!$T$65:$T$66</definedName>
    <definedName name="OSRRefT22_5x_0" localSheetId="54">'308'!$T$85</definedName>
    <definedName name="OSRRefT22_5x_0" localSheetId="65">'309'!$T$48</definedName>
    <definedName name="OSRRefT22_5x_0" localSheetId="64">'310'!$T$55:$T$56</definedName>
    <definedName name="OSRRefT22_5x_0" localSheetId="72">'310 &amp; 491'!$T$59:$T$61</definedName>
    <definedName name="OSRRefT22_5x_0" localSheetId="55">'311'!$T$84</definedName>
    <definedName name="OSRRefT22_5x_0" localSheetId="66">'313'!$T$50</definedName>
    <definedName name="OSRRefT22_5x_0" localSheetId="58">'315'!$T$107</definedName>
    <definedName name="OSRRefT22_5x_0" localSheetId="61">'316'!$T$58</definedName>
    <definedName name="OSRRefT22_5x_0" localSheetId="63">'317'!$T$78</definedName>
    <definedName name="OSRRefT22_5x_0" localSheetId="67">'321'!$T$52</definedName>
    <definedName name="OSRRefT22_5x_0" localSheetId="68">'322'!$T$49</definedName>
    <definedName name="OSRRefT22_5x_0" localSheetId="69">'325'!$T$51:$T$52</definedName>
    <definedName name="OSRRefT22_5x_0" localSheetId="59">'326'!$T$73</definedName>
    <definedName name="OSRRefT22_5x_0" localSheetId="52">'330'!$T$65:$T$66</definedName>
    <definedName name="OSRRefT22_5x_0" localSheetId="57">'331'!$T$107</definedName>
    <definedName name="OSRRefT22_5x_0" localSheetId="60">'332'!$T$58</definedName>
    <definedName name="OSRRefT22_5x_0" localSheetId="74">'405'!$T$50</definedName>
    <definedName name="OSRRefT22_5x_0" localSheetId="76">'411'!$T$48</definedName>
    <definedName name="OSRRefT22_5x_0" localSheetId="77">'412'!$T$49</definedName>
    <definedName name="OSRRefT22_5x_0" localSheetId="78">'413'!$T$50</definedName>
    <definedName name="OSRRefT22_5x_0" localSheetId="79">'414'!$T$51</definedName>
    <definedName name="OSRRefT22_5x_0" localSheetId="80">'415'!$T$54:$T$55</definedName>
    <definedName name="OSRRefT22_5x_0" localSheetId="81">'418'!$T$50</definedName>
    <definedName name="OSRRefT22_5x_0" localSheetId="83">'423'!$T$47</definedName>
    <definedName name="OSRRefT22_5x_0" localSheetId="85">'425'!$T$35</definedName>
    <definedName name="OSRRefT22_5x_0" localSheetId="88">'430'!$T$49:$T$50</definedName>
    <definedName name="OSRRefT22_5x_0" localSheetId="89">'433'!$T$55</definedName>
    <definedName name="OSRRefT22_5x_0" localSheetId="91">'444'!$T$55</definedName>
    <definedName name="OSRRefT22_5x_0" localSheetId="92">'450'!$T$51</definedName>
    <definedName name="OSRRefT22_5x_0" localSheetId="73">'491'!$T$56:$T$58</definedName>
    <definedName name="OSRRefT22_5x_0" localSheetId="87">'492'!$T$55</definedName>
    <definedName name="OSRRefT22_5x_0" localSheetId="94">'501'!$T$49:$T$50</definedName>
    <definedName name="OSRRefT22_5x_0" localSheetId="39">'Div 2'!$T$50:$T$51</definedName>
    <definedName name="OSRRefT22_5x_0" localSheetId="48">'Div 3'!$T$149:$T$150</definedName>
    <definedName name="OSRRefT22_5x_0" localSheetId="71">'Div 4'!$T$59:$T$61</definedName>
    <definedName name="OSRRefT22_5x_0" localSheetId="93">'Div 5'!$T$49:$T$50</definedName>
    <definedName name="OSRRefT22_5x_0" localSheetId="62">'Div 6'!$T$78</definedName>
    <definedName name="OSRRefT22_5x_0" localSheetId="2">Summary!$T$177:$T$179</definedName>
    <definedName name="OSRRefT22_6x_0" localSheetId="41">'201'!$T$50</definedName>
    <definedName name="OSRRefT22_6x_0" localSheetId="42">'202'!$T$51</definedName>
    <definedName name="OSRRefT22_6x_0" localSheetId="43">'203'!$T$50</definedName>
    <definedName name="OSRRefT22_6x_0" localSheetId="44">'204'!$T$51</definedName>
    <definedName name="OSRRefT22_6x_0" localSheetId="45">'205'!$T$50:$T$52</definedName>
    <definedName name="OSRRefT22_6x_0" localSheetId="46">'206'!$T$49</definedName>
    <definedName name="OSRRefT22_6x_0" localSheetId="49">'300'!$T$148:$T$149</definedName>
    <definedName name="OSRRefT22_6x_0" localSheetId="50">'300 &amp; 317'!$T$171:$T$172</definedName>
    <definedName name="OSRRefT22_6x_0" localSheetId="51">'301'!$T$52</definedName>
    <definedName name="OSRRefT22_6x_0" localSheetId="53">'307'!$T$68</definedName>
    <definedName name="OSRRefT22_6x_0" localSheetId="54">'308'!$T$87:$T$88</definedName>
    <definedName name="OSRRefT22_6x_0" localSheetId="65">'309'!$T$50</definedName>
    <definedName name="OSRRefT22_6x_0" localSheetId="64">'310'!$T$58</definedName>
    <definedName name="OSRRefT22_6x_0" localSheetId="72">'310 &amp; 491'!$T$63</definedName>
    <definedName name="OSRRefT22_6x_0" localSheetId="55">'311'!$T$86:$T$87</definedName>
    <definedName name="OSRRefT22_6x_0" localSheetId="66">'313'!$T$52:$T$53</definedName>
    <definedName name="OSRRefT22_6x_0" localSheetId="58">'315'!$T$109</definedName>
    <definedName name="OSRRefT22_6x_0" localSheetId="61">'316'!$T$60:$T$61</definedName>
    <definedName name="OSRRefT22_6x_0" localSheetId="63">'317'!$T$80:$T$81</definedName>
    <definedName name="OSRRefT22_6x_0" localSheetId="67">'321'!$T$54</definedName>
    <definedName name="OSRRefT22_6x_0" localSheetId="68">'322'!$T$51</definedName>
    <definedName name="OSRRefT22_6x_0" localSheetId="69">'325'!$T$54</definedName>
    <definedName name="OSRRefT22_6x_0" localSheetId="59">'326'!$T$75</definedName>
    <definedName name="OSRRefT22_6x_0" localSheetId="52">'330'!$T$68</definedName>
    <definedName name="OSRRefT22_6x_0" localSheetId="57">'331'!$T$109</definedName>
    <definedName name="OSRRefT22_6x_0" localSheetId="60">'332'!$T$60:$T$61</definedName>
    <definedName name="OSRRefT22_6x_0" localSheetId="74">'405'!$T$52</definedName>
    <definedName name="OSRRefT22_6x_0" localSheetId="76">'411'!$T$50</definedName>
    <definedName name="OSRRefT22_6x_0" localSheetId="77">'412'!$T$51</definedName>
    <definedName name="OSRRefT22_6x_0" localSheetId="78">'413'!$T$52</definedName>
    <definedName name="OSRRefT22_6x_0" localSheetId="79">'414'!$T$53</definedName>
    <definedName name="OSRRefT22_6x_0" localSheetId="80">'415'!$T$57</definedName>
    <definedName name="OSRRefT22_6x_0" localSheetId="81">'418'!$T$52</definedName>
    <definedName name="OSRRefT22_6x_0" localSheetId="83">'423'!$T$49</definedName>
    <definedName name="OSRRefT22_6x_0" localSheetId="88">'430'!$T$52</definedName>
    <definedName name="OSRRefT22_6x_0" localSheetId="89">'433'!$T$57</definedName>
    <definedName name="OSRRefT22_6x_0" localSheetId="91">'444'!$T$57</definedName>
    <definedName name="OSRRefT22_6x_0" localSheetId="92">'450'!$T$53</definedName>
    <definedName name="OSRRefT22_6x_0" localSheetId="73">'491'!$T$60</definedName>
    <definedName name="OSRRefT22_6x_0" localSheetId="87">'492'!$T$57</definedName>
    <definedName name="OSRRefT22_6x_0" localSheetId="94">'501'!$T$52</definedName>
    <definedName name="OSRRefT22_6x_0" localSheetId="39">'Div 2'!$T$53</definedName>
    <definedName name="OSRRefT22_6x_0" localSheetId="48">'Div 3'!$T$152:$T$153</definedName>
    <definedName name="OSRRefT22_6x_0" localSheetId="71">'Div 4'!$T$63</definedName>
    <definedName name="OSRRefT22_6x_0" localSheetId="93">'Div 5'!$T$52</definedName>
    <definedName name="OSRRefT22_6x_0" localSheetId="62">'Div 6'!$T$80:$T$81</definedName>
    <definedName name="OSRRefT22_6x_0" localSheetId="2">Summary!$T$181:$T$182</definedName>
    <definedName name="OSRRefT22_7x_0" localSheetId="41">'201'!$T$52</definedName>
    <definedName name="OSRRefT22_7x_0" localSheetId="42">'202'!$T$53:$T$54</definedName>
    <definedName name="OSRRefT22_7x_0" localSheetId="43">'203'!$T$52:$T$53</definedName>
    <definedName name="OSRRefT22_7x_0" localSheetId="44">'204'!$T$53:$T$55</definedName>
    <definedName name="OSRRefT22_7x_0" localSheetId="45">'205'!$T$54</definedName>
    <definedName name="OSRRefT22_7x_0" localSheetId="46">'206'!$T$51</definedName>
    <definedName name="OSRRefT22_7x_0" localSheetId="49">'300'!$T$151:$T$152</definedName>
    <definedName name="OSRRefT22_7x_0" localSheetId="50">'300 &amp; 317'!$T$174:$T$175</definedName>
    <definedName name="OSRRefT22_7x_0" localSheetId="51">'301'!$T$54</definedName>
    <definedName name="OSRRefT22_7x_0" localSheetId="53">'307'!$T$70</definedName>
    <definedName name="OSRRefT22_7x_0" localSheetId="54">'308'!$T$90:$T$91</definedName>
    <definedName name="OSRRefT22_7x_0" localSheetId="65">'309'!$T$52:$T$53</definedName>
    <definedName name="OSRRefT22_7x_0" localSheetId="64">'310'!$T$60</definedName>
    <definedName name="OSRRefT22_7x_0" localSheetId="72">'310 &amp; 491'!$T$65</definedName>
    <definedName name="OSRRefT22_7x_0" localSheetId="55">'311'!$T$89:$T$90</definedName>
    <definedName name="OSRRefT22_7x_0" localSheetId="66">'313'!$T$55</definedName>
    <definedName name="OSRRefT22_7x_0" localSheetId="58">'315'!$T$111:$T$112</definedName>
    <definedName name="OSRRefT22_7x_0" localSheetId="61">'316'!$T$63:$T$64</definedName>
    <definedName name="OSRRefT22_7x_0" localSheetId="63">'317'!$T$83</definedName>
    <definedName name="OSRRefT22_7x_0" localSheetId="67">'321'!$T$56:$T$57</definedName>
    <definedName name="OSRRefT22_7x_0" localSheetId="68">'322'!$T$53:$T$54</definedName>
    <definedName name="OSRRefT22_7x_0" localSheetId="69">'325'!$T$56</definedName>
    <definedName name="OSRRefT22_7x_0" localSheetId="59">'326'!$T$77</definedName>
    <definedName name="OSRRefT22_7x_0" localSheetId="52">'330'!$T$70</definedName>
    <definedName name="OSRRefT22_7x_0" localSheetId="57">'331'!$T$111</definedName>
    <definedName name="OSRRefT22_7x_0" localSheetId="60">'332'!$T$63:$T$64</definedName>
    <definedName name="OSRRefT22_7x_0" localSheetId="74">'405'!$T$54</definedName>
    <definedName name="OSRRefT22_7x_0" localSheetId="76">'411'!$T$52</definedName>
    <definedName name="OSRRefT22_7x_0" localSheetId="77">'412'!$T$53</definedName>
    <definedName name="OSRRefT22_7x_0" localSheetId="78">'413'!$T$54</definedName>
    <definedName name="OSRRefT22_7x_0" localSheetId="79">'414'!$T$55</definedName>
    <definedName name="OSRRefT22_7x_0" localSheetId="80">'415'!$T$59</definedName>
    <definedName name="OSRRefT22_7x_0" localSheetId="81">'418'!$T$54</definedName>
    <definedName name="OSRRefT22_7x_0" localSheetId="88">'430'!$T$54</definedName>
    <definedName name="OSRRefT22_7x_0" localSheetId="89">'433'!$T$59</definedName>
    <definedName name="OSRRefT22_7x_0" localSheetId="91">'444'!$T$59</definedName>
    <definedName name="OSRRefT22_7x_0" localSheetId="92">'450'!$T$55</definedName>
    <definedName name="OSRRefT22_7x_0" localSheetId="73">'491'!$T$62</definedName>
    <definedName name="OSRRefT22_7x_0" localSheetId="87">'492'!$T$59</definedName>
    <definedName name="OSRRefT22_7x_0" localSheetId="94">'501'!$T$54</definedName>
    <definedName name="OSRRefT22_7x_0" localSheetId="39">'Div 2'!$T$55</definedName>
    <definedName name="OSRRefT22_7x_0" localSheetId="48">'Div 3'!$T$155:$T$156</definedName>
    <definedName name="OSRRefT22_7x_0" localSheetId="71">'Div 4'!$T$65</definedName>
    <definedName name="OSRRefT22_7x_0" localSheetId="93">'Div 5'!$T$54</definedName>
    <definedName name="OSRRefT22_7x_0" localSheetId="62">'Div 6'!$T$83</definedName>
    <definedName name="OSRRefT22_7x_0" localSheetId="2">Summary!$T$184:$T$185</definedName>
    <definedName name="OSRRefT22_8x_0" localSheetId="41">'201'!$T$54</definedName>
    <definedName name="OSRRefT22_8x_0" localSheetId="42">'202'!$T$56</definedName>
    <definedName name="OSRRefT22_8x_0" localSheetId="43">'203'!$T$55:$T$57</definedName>
    <definedName name="OSRRefT22_8x_0" localSheetId="44">'204'!$T$57:$T$58</definedName>
    <definedName name="OSRRefT22_8x_0" localSheetId="46">'206'!$T$53:$T$54</definedName>
    <definedName name="OSRRefT22_8x_0" localSheetId="49">'300'!$T$154</definedName>
    <definedName name="OSRRefT22_8x_0" localSheetId="50">'300 &amp; 317'!$T$177</definedName>
    <definedName name="OSRRefT22_8x_0" localSheetId="51">'301'!$T$56</definedName>
    <definedName name="OSRRefT22_8x_0" localSheetId="53">'307'!$T$72</definedName>
    <definedName name="OSRRefT22_8x_0" localSheetId="54">'308'!$T$93</definedName>
    <definedName name="OSRRefT22_8x_0" localSheetId="65">'309'!$T$55:$T$56</definedName>
    <definedName name="OSRRefT22_8x_0" localSheetId="64">'310'!$T$62</definedName>
    <definedName name="OSRRefT22_8x_0" localSheetId="72">'310 &amp; 491'!$T$67:$T$68</definedName>
    <definedName name="OSRRefT22_8x_0" localSheetId="55">'311'!$T$92</definedName>
    <definedName name="OSRRefT22_8x_0" localSheetId="66">'313'!$T$57:$T$59</definedName>
    <definedName name="OSRRefT22_8x_0" localSheetId="58">'315'!$T$114</definedName>
    <definedName name="OSRRefT22_8x_0" localSheetId="61">'316'!$T$66</definedName>
    <definedName name="OSRRefT22_8x_0" localSheetId="63">'317'!$T$85</definedName>
    <definedName name="OSRRefT22_8x_0" localSheetId="67">'321'!$T$59:$T$60</definedName>
    <definedName name="OSRRefT22_8x_0" localSheetId="68">'322'!$T$56:$T$57</definedName>
    <definedName name="OSRRefT22_8x_0" localSheetId="69">'325'!$T$58</definedName>
    <definedName name="OSRRefT22_8x_0" localSheetId="59">'326'!$T$79:$T$80</definedName>
    <definedName name="OSRRefT22_8x_0" localSheetId="52">'330'!$T$72</definedName>
    <definedName name="OSRRefT22_8x_0" localSheetId="57">'331'!$T$113:$T$114</definedName>
    <definedName name="OSRRefT22_8x_0" localSheetId="60">'332'!$T$66</definedName>
    <definedName name="OSRRefT22_8x_0" localSheetId="74">'405'!$T$56</definedName>
    <definedName name="OSRRefT22_8x_0" localSheetId="76">'411'!$T$54</definedName>
    <definedName name="OSRRefT22_8x_0" localSheetId="77">'412'!$T$55:$T$56</definedName>
    <definedName name="OSRRefT22_8x_0" localSheetId="78">'413'!$T$56:$T$59</definedName>
    <definedName name="OSRRefT22_8x_0" localSheetId="79">'414'!$T$57:$T$58</definedName>
    <definedName name="OSRRefT22_8x_0" localSheetId="80">'415'!$T$61</definedName>
    <definedName name="OSRRefT22_8x_0" localSheetId="81">'418'!$T$56:$T$58</definedName>
    <definedName name="OSRRefT22_8x_0" localSheetId="89">'433'!$T$61</definedName>
    <definedName name="OSRRefT22_8x_0" localSheetId="91">'444'!$T$61</definedName>
    <definedName name="OSRRefT22_8x_0" localSheetId="92">'450'!$T$57</definedName>
    <definedName name="OSRRefT22_8x_0" localSheetId="73">'491'!$T$64</definedName>
    <definedName name="OSRRefT22_8x_0" localSheetId="87">'492'!$T$61</definedName>
    <definedName name="OSRRefT22_8x_0" localSheetId="94">'501'!$T$56</definedName>
    <definedName name="OSRRefT22_8x_0" localSheetId="39">'Div 2'!$T$57</definedName>
    <definedName name="OSRRefT22_8x_0" localSheetId="48">'Div 3'!$T$158</definedName>
    <definedName name="OSRRefT22_8x_0" localSheetId="71">'Div 4'!$T$67</definedName>
    <definedName name="OSRRefT22_8x_0" localSheetId="93">'Div 5'!$T$56</definedName>
    <definedName name="OSRRefT22_8x_0" localSheetId="62">'Div 6'!$T$85</definedName>
    <definedName name="OSRRefT22_8x_0" localSheetId="2">Summary!$T$187</definedName>
    <definedName name="OSRRefT22_9x_0" localSheetId="41">'201'!$T$56</definedName>
    <definedName name="OSRRefT22_9x_0" localSheetId="42">'202'!$T$58:$T$60</definedName>
    <definedName name="OSRRefT22_9x_0" localSheetId="43">'203'!$T$59:$T$60</definedName>
    <definedName name="OSRRefT22_9x_0" localSheetId="44">'204'!$T$60</definedName>
    <definedName name="OSRRefT22_9x_0" localSheetId="46">'206'!$T$56</definedName>
    <definedName name="OSRRefT22_9x_0" localSheetId="49">'300'!$T$156</definedName>
    <definedName name="OSRRefT22_9x_0" localSheetId="50">'300 &amp; 317'!$T$179</definedName>
    <definedName name="OSRRefT22_9x_0" localSheetId="51">'301'!$T$58</definedName>
    <definedName name="OSRRefT22_9x_0" localSheetId="53">'307'!$T$74:$T$75</definedName>
    <definedName name="OSRRefT22_9x_0" localSheetId="54">'308'!$T$95:$T$96</definedName>
    <definedName name="OSRRefT22_9x_0" localSheetId="65">'309'!$T$58:$T$60</definedName>
    <definedName name="OSRRefT22_9x_0" localSheetId="64">'310'!$T$64</definedName>
    <definedName name="OSRRefT22_9x_0" localSheetId="72">'310 &amp; 491'!$T$70</definedName>
    <definedName name="OSRRefT22_9x_0" localSheetId="55">'311'!$T$94:$T$95</definedName>
    <definedName name="OSRRefT22_9x_0" localSheetId="66">'313'!$T$61:$T$62</definedName>
    <definedName name="OSRRefT22_9x_0" localSheetId="58">'315'!$T$116</definedName>
    <definedName name="OSRRefT22_9x_0" localSheetId="61">'316'!$T$68:$T$72</definedName>
    <definedName name="OSRRefT22_9x_0" localSheetId="63">'317'!$T$87</definedName>
    <definedName name="OSRRefT22_9x_0" localSheetId="67">'321'!$T$62:$T$63</definedName>
    <definedName name="OSRRefT22_9x_0" localSheetId="68">'322'!$T$59:$T$62</definedName>
    <definedName name="OSRRefT22_9x_0" localSheetId="69">'325'!$T$60</definedName>
    <definedName name="OSRRefT22_9x_0" localSheetId="59">'326'!$T$82</definedName>
    <definedName name="OSRRefT22_9x_0" localSheetId="52">'330'!$T$74:$T$75</definedName>
    <definedName name="OSRRefT22_9x_0" localSheetId="57">'331'!$T$116:$T$117</definedName>
    <definedName name="OSRRefT22_9x_0" localSheetId="60">'332'!$T$68:$T$72</definedName>
    <definedName name="OSRRefT22_9x_0" localSheetId="74">'405'!$T$58:$T$59</definedName>
    <definedName name="OSRRefT22_9x_0" localSheetId="76">'411'!$T$56:$T$57</definedName>
    <definedName name="OSRRefT22_9x_0" localSheetId="77">'412'!$T$58</definedName>
    <definedName name="OSRRefT22_9x_0" localSheetId="78">'413'!$T$61:$T$62</definedName>
    <definedName name="OSRRefT22_9x_0" localSheetId="79">'414'!$T$60</definedName>
    <definedName name="OSRRefT22_9x_0" localSheetId="80">'415'!$T$63</definedName>
    <definedName name="OSRRefT22_9x_0" localSheetId="81">'418'!$T$60:$T$61</definedName>
    <definedName name="OSRRefT22_9x_0" localSheetId="89">'433'!$T$63</definedName>
    <definedName name="OSRRefT22_9x_0" localSheetId="91">'444'!$T$63</definedName>
    <definedName name="OSRRefT22_9x_0" localSheetId="92">'450'!$T$59</definedName>
    <definedName name="OSRRefT22_9x_0" localSheetId="73">'491'!$T$66</definedName>
    <definedName name="OSRRefT22_9x_0" localSheetId="87">'492'!$T$63</definedName>
    <definedName name="OSRRefT22_9x_0" localSheetId="94">'501'!$T$58:$T$61</definedName>
    <definedName name="OSRRefT22_9x_0" localSheetId="39">'Div 2'!$T$59:$T$60</definedName>
    <definedName name="OSRRefT22_9x_0" localSheetId="48">'Div 3'!$T$160</definedName>
    <definedName name="OSRRefT22_9x_0" localSheetId="71">'Div 4'!$T$69</definedName>
    <definedName name="OSRRefT22_9x_0" localSheetId="93">'Div 5'!$T$58:$T$61</definedName>
    <definedName name="OSRRefT22_9x_0" localSheetId="62">'Div 6'!$T$87</definedName>
    <definedName name="OSRRefT22_9x_0" localSheetId="2">Summary!$T$189</definedName>
    <definedName name="OSRRefT22x_0" localSheetId="40">'200'!$T$20,'200'!$T$22,'200'!$T$24,'200'!$T$26,'200'!$T$28:$T$29</definedName>
    <definedName name="OSRRefT22x_0" localSheetId="41">'201'!$T$21:$T$29,'201'!$T$31:$T$40,'201'!$T$42,'201'!$T$44,'201'!$T$46,'201'!$T$48,'201'!$T$50,'201'!$T$52,'201'!$T$54,'201'!$T$56,'201'!$T$58:$T$60,'201'!$T$62,'201'!$T$64,'201'!$T$66:$T$68,'201'!$T$70,'201'!$T$72,'201'!$T$74</definedName>
    <definedName name="OSRRefT22x_0" localSheetId="42">'202'!$T$21:$T$29,'202'!$T$31:$T$40,'202'!$T$42,'202'!$T$44,'202'!$T$46:$T$47,'202'!$T$49,'202'!$T$51,'202'!$T$53:$T$54,'202'!$T$56,'202'!$T$58:$T$60,'202'!$T$62,'202'!$T$64,'202'!$T$66</definedName>
    <definedName name="OSRRefT22x_0" localSheetId="43">'203'!$T$20:$T$29,'203'!$T$31:$T$40,'203'!$T$42,'203'!$T$44,'203'!$T$46,'203'!$T$48,'203'!$T$50,'203'!$T$52:$T$53,'203'!$T$55:$T$57,'203'!$T$59:$T$60,'203'!$T$62,'203'!$T$64:$T$66,'203'!$T$68,'203'!$T$70,'203'!$T$72</definedName>
    <definedName name="OSRRefT22x_0" localSheetId="44">'204'!$T$20:$T$29,'204'!$T$31:$T$40,'204'!$T$42,'204'!$T$44:$T$45,'204'!$T$47,'204'!$T$49,'204'!$T$51,'204'!$T$53:$T$55,'204'!$T$57:$T$58,'204'!$T$60,'204'!$T$62:$T$63,'204'!$T$65,'204'!$T$67</definedName>
    <definedName name="OSRRefT22x_0" localSheetId="45">'205'!$T$20:$T$28,'205'!$T$30:$T$39,'205'!$T$41,'205'!$T$43,'205'!$T$45:$T$46,'205'!$T$48,'205'!$T$50:$T$52,'205'!$T$54</definedName>
    <definedName name="OSRRefT22x_0" localSheetId="46">'206'!$T$20:$T$28,'206'!$T$30:$T$39,'206'!$T$41,'206'!$T$43,'206'!$T$45,'206'!$T$47,'206'!$T$49,'206'!$T$51,'206'!$T$53:$T$54,'206'!$T$56</definedName>
    <definedName name="OSRRefT22x_0" localSheetId="49">'300'!$T$116:$T$125,'300'!$T$127:$T$136,'300'!$T$138,'300'!$T$140:$T$141,'300'!$T$143,'300'!$T$145:$T$146,'300'!$T$148:$T$149,'300'!$T$151:$T$152,'300'!$T$154,'300'!$T$156,'300'!$T$158:$T$159,'300'!$T$161:$T$163,'300'!$T$165,'300'!$T$167,'300'!$T$169,'300'!$T$171,'300'!$T$173:$T$176,'300'!$T$178:$T$181,'300'!$T$183:$T$186,'300'!$T$188:$T$189,'300'!$T$191:$T$199,'300'!$T$201:$T$202,'300'!$T$204,'300'!$T$206:$T$208,'300'!$T$210</definedName>
    <definedName name="OSRRefT22x_0" localSheetId="50">'300 &amp; 317'!$T$139:$T$148,'300 &amp; 317'!$T$150:$T$159,'300 &amp; 317'!$T$161,'300 &amp; 317'!$T$163:$T$164,'300 &amp; 317'!$T$166,'300 &amp; 317'!$T$168:$T$169,'300 &amp; 317'!$T$171:$T$172,'300 &amp; 317'!$T$174:$T$175,'300 &amp; 317'!$T$177,'300 &amp; 317'!$T$179,'300 &amp; 317'!$T$181:$T$182,'300 &amp; 317'!$T$184:$T$186,'300 &amp; 317'!$T$188,'300 &amp; 317'!$T$190,'300 &amp; 317'!$T$192,'300 &amp; 317'!$T$194,'300 &amp; 317'!$T$196:$T$199,'300 &amp; 317'!$T$201:$T$204,'300 &amp; 317'!$T$206:$T$209,'300 &amp; 317'!$T$211:$T$212,'300 &amp; 317'!$T$214:$T$222,'300 &amp; 317'!$T$224:$T$225,'300 &amp; 317'!$T$227,'300 &amp; 317'!$T$229:$T$231,'300 &amp; 317'!$T$233</definedName>
    <definedName name="OSRRefT22x_0" localSheetId="51">'301'!$T$20:$T$29,'301'!$T$31:$T$40,'301'!$T$42,'301'!$T$44:$T$45,'301'!$T$47,'301'!$T$49:$T$50,'301'!$T$52,'301'!$T$54,'301'!$T$56,'301'!$T$58,'301'!$T$60,'301'!$T$62,'301'!$T$64,'301'!$T$66,'301'!$T$68:$T$71,'301'!$T$73:$T$75,'301'!$T$77,'301'!$T$79:$T$85,'301'!$T$87,'301'!$T$89,'301'!$T$91:$T$92,'301'!$T$94</definedName>
    <definedName name="OSRRefT22x_0" localSheetId="53">'307'!$T$39:$T$46,'307'!$T$48:$T$57,'307'!$T$59,'307'!$T$61,'307'!$T$63,'307'!$T$65:$T$66,'307'!$T$68,'307'!$T$70,'307'!$T$72,'307'!$T$74:$T$75,'307'!$T$77:$T$78,'307'!$T$80:$T$83,'307'!$T$85:$T$86,'307'!$T$88</definedName>
    <definedName name="OSRRefT22x_0" localSheetId="54">'308'!$T$56:$T$65,'308'!$T$67:$T$76,'308'!$T$78,'308'!$T$80:$T$81,'308'!$T$83,'308'!$T$85,'308'!$T$87:$T$88,'308'!$T$90:$T$91,'308'!$T$93,'308'!$T$95:$T$96,'308'!$T$98:$T$99,'308'!$T$101:$T$103,'308'!$T$105:$T$106,'308'!$T$108</definedName>
    <definedName name="OSRRefT22x_0" localSheetId="65">'309'!$T$22:$T$29,'309'!$T$31:$T$40,'309'!$T$42,'309'!$T$44,'309'!$T$46,'309'!$T$48,'309'!$T$50,'309'!$T$52:$T$53,'309'!$T$55:$T$56,'309'!$T$58:$T$60,'309'!$T$62</definedName>
    <definedName name="OSRRefT22x_0" localSheetId="64">'310'!$T$28:$T$36,'310'!$T$38:$T$47,'310'!$T$49,'310'!$T$51,'310'!$T$53,'310'!$T$55:$T$56,'310'!$T$58,'310'!$T$60,'310'!$T$62,'310'!$T$64,'310'!$T$66,'310'!$T$68,'310'!$T$70,'310'!$T$72:$T$75,'310'!$T$77:$T$78,'310'!$T$80:$T$83,'310'!$T$85,'310'!$T$87:$T$93,'310'!$T$95:$T$96,'310'!$T$98,'310'!$T$100,'310'!$T$102</definedName>
    <definedName name="OSRRefT22x_0" localSheetId="72">'310 &amp; 491'!$T$32:$T$40,'310 &amp; 491'!$T$42:$T$51,'310 &amp; 491'!$T$53,'310 &amp; 491'!$T$55,'310 &amp; 491'!$T$57,'310 &amp; 491'!$T$59:$T$61,'310 &amp; 491'!$T$63,'310 &amp; 491'!$T$65,'310 &amp; 491'!$T$67:$T$68,'310 &amp; 491'!$T$70,'310 &amp; 491'!$T$72,'310 &amp; 491'!$T$74,'310 &amp; 491'!$T$76,'310 &amp; 491'!$T$78:$T$81,'310 &amp; 491'!$T$83:$T$84,'310 &amp; 491'!$T$86:$T$90,'310 &amp; 491'!$T$92:$T$93,'310 &amp; 491'!$T$95:$T$105,'310 &amp; 491'!$T$107:$T$108,'310 &amp; 491'!$T$110,'310 &amp; 491'!$T$112:$T$114,'310 &amp; 491'!$T$116</definedName>
    <definedName name="OSRRefT22x_0" localSheetId="55">'311'!$T$55:$T$64,'311'!$T$66:$T$75,'311'!$T$77,'311'!$T$79:$T$80,'311'!$T$82,'311'!$T$84,'311'!$T$86:$T$87,'311'!$T$89:$T$90,'311'!$T$92,'311'!$T$94:$T$95,'311'!$T$97:$T$98,'311'!$T$100:$T$102,'311'!$T$104:$T$105,'311'!$T$107</definedName>
    <definedName name="OSRRefT22x_0" localSheetId="66">'313'!$T$23:$T$31,'313'!$T$33:$T$42,'313'!$T$44,'313'!$T$46,'313'!$T$48,'313'!$T$50,'313'!$T$52:$T$53,'313'!$T$55,'313'!$T$57:$T$59,'313'!$T$61:$T$62,'313'!$T$64,'313'!$T$66</definedName>
    <definedName name="OSRRefT22x_0" localSheetId="58">'315'!$T$80:$T$88,'315'!$T$90:$T$99,'315'!$T$101,'315'!$T$103,'315'!$T$105,'315'!$T$107,'315'!$T$109,'315'!$T$111:$T$112,'315'!$T$114,'315'!$T$116,'315'!$T$118,'315'!$T$120,'315'!$T$122:$T$124,'315'!$T$126:$T$127,'315'!$T$129:$T$135,'315'!$T$137,'315'!$T$139,'315'!$T$141:$T$142</definedName>
    <definedName name="OSRRefT22x_0" localSheetId="61">'316'!$T$31:$T$39,'316'!$T$41:$T$50,'316'!$T$52,'316'!$T$54,'316'!$T$56,'316'!$T$58,'316'!$T$60:$T$61,'316'!$T$63:$T$64,'316'!$T$66,'316'!$T$68:$T$72,'316'!$T$74,'316'!$T$76</definedName>
    <definedName name="OSRRefT22x_0" localSheetId="63">'317'!$T$50:$T$59,'317'!$T$61:$T$70,'317'!$T$72,'317'!$T$74,'317'!$T$76,'317'!$T$78,'317'!$T$80:$T$81,'317'!$T$83,'317'!$T$85,'317'!$T$87,'317'!$T$89:$T$91,'317'!$T$93,'317'!$T$95</definedName>
    <definedName name="OSRRefT22x_0" localSheetId="67">'321'!$T$25:$T$33,'321'!$T$35:$T$44,'321'!$T$46,'321'!$T$48,'321'!$T$50,'321'!$T$52,'321'!$T$54,'321'!$T$56:$T$57,'321'!$T$59:$T$60,'321'!$T$62:$T$63,'321'!$T$65:$T$67,'321'!$T$69:$T$70,'321'!$T$72,'321'!$T$74</definedName>
    <definedName name="OSRRefT22x_0" localSheetId="68">'322'!$T$23:$T$30,'322'!$T$32:$T$41,'322'!$T$43,'322'!$T$45,'322'!$T$47,'322'!$T$49,'322'!$T$51,'322'!$T$53:$T$54,'322'!$T$56:$T$57,'322'!$T$59:$T$62,'322'!$T$64,'322'!$T$66</definedName>
    <definedName name="OSRRefT22x_0" localSheetId="56">'324'!$T$27:$T$34,'324'!$T$36:$T$45</definedName>
    <definedName name="OSRRefT22x_0" localSheetId="69">'325'!$T$25:$T$32,'325'!$T$34:$T$43,'325'!$T$45,'325'!$T$47,'325'!$T$49,'325'!$T$51:$T$52,'325'!$T$54,'325'!$T$56,'325'!$T$58,'325'!$T$60,'325'!$T$62,'325'!$T$64:$T$67,'325'!$T$69:$T$71,'325'!$T$73,'325'!$T$75:$T$79,'325'!$T$81:$T$82,'325'!$T$84,'325'!$T$86</definedName>
    <definedName name="OSRRefT22x_0" localSheetId="59">'326'!$T$46:$T$54,'326'!$T$56:$T$65,'326'!$T$67,'326'!$T$69,'326'!$T$71,'326'!$T$73,'326'!$T$75,'326'!$T$77,'326'!$T$79:$T$80,'326'!$T$82,'326'!$T$84,'326'!$T$86,'326'!$T$88,'326'!$T$90:$T$91,'326'!$T$93:$T$95,'326'!$T$97:$T$98,'326'!$T$100:$T$105,'326'!$T$107:$T$108,'326'!$T$110,'326'!$T$112:$T$113,'326'!$T$115</definedName>
    <definedName name="OSRRefT22x_0" localSheetId="70">'327'!$T$24</definedName>
    <definedName name="OSRRefT22x_0" localSheetId="52">'330'!$T$39:$T$46,'330'!$T$48:$T$57,'330'!$T$59,'330'!$T$61,'330'!$T$63,'330'!$T$65:$T$66,'330'!$T$68,'330'!$T$70,'330'!$T$72,'330'!$T$74:$T$75,'330'!$T$77:$T$78,'330'!$T$80:$T$83,'330'!$T$85:$T$86,'330'!$T$88</definedName>
    <definedName name="OSRRefT22x_0" localSheetId="57">'331'!$T$80:$T$88,'331'!$T$90:$T$99,'331'!$T$101,'331'!$T$103,'331'!$T$105,'331'!$T$107,'331'!$T$109,'331'!$T$111,'331'!$T$113:$T$114,'331'!$T$116:$T$117,'331'!$T$119,'331'!$T$121,'331'!$T$123,'331'!$T$125,'331'!$T$127:$T$128,'331'!$T$130:$T$132,'331'!$T$134:$T$136,'331'!$T$138:$T$139,'331'!$T$141:$T$148,'331'!$T$150:$T$151,'331'!$T$153,'331'!$T$155:$T$156,'331'!$T$158</definedName>
    <definedName name="OSRRefT22x_0" localSheetId="60">'332'!$T$31:$T$39,'332'!$T$41:$T$50,'332'!$T$52,'332'!$T$54,'332'!$T$56,'332'!$T$58,'332'!$T$60:$T$61,'332'!$T$63:$T$64,'332'!$T$66,'332'!$T$68:$T$72,'332'!$T$74,'332'!$T$76</definedName>
    <definedName name="OSRRefT22x_0" localSheetId="74">'405'!$T$23:$T$30,'405'!$T$32:$T$41,'405'!$T$43,'405'!$T$45,'405'!$T$47:$T$48,'405'!$T$50,'405'!$T$52,'405'!$T$54,'405'!$T$56,'405'!$T$58:$T$59,'405'!$T$61,'405'!$T$63:$T$66,'405'!$T$68,'405'!$T$70:$T$78,'405'!$T$80,'405'!$T$82,'405'!$T$84,'405'!$T$86</definedName>
    <definedName name="OSRRefT22x_0" localSheetId="75">'406'!$T$20,'406'!$T$22,'406'!$T$24,'406'!$T$26,'406'!$T$28</definedName>
    <definedName name="OSRRefT22x_0" localSheetId="76">'411'!$T$20:$T$28,'411'!$T$30:$T$39,'411'!$T$41,'411'!$T$43,'411'!$T$45:$T$46,'411'!$T$48,'411'!$T$50,'411'!$T$52,'411'!$T$54,'411'!$T$56:$T$57,'411'!$T$59:$T$62,'411'!$T$64,'411'!$T$66:$T$72,'411'!$T$74,'411'!$T$76,'411'!$T$78</definedName>
    <definedName name="OSRRefT22x_0" localSheetId="77">'412'!$T$22:$T$29,'412'!$T$31:$T$40,'412'!$T$42,'412'!$T$44,'412'!$T$46:$T$47,'412'!$T$49,'412'!$T$51,'412'!$T$53,'412'!$T$55:$T$56,'412'!$T$58,'412'!$T$60:$T$63,'412'!$T$65:$T$69,'412'!$T$71:$T$72,'412'!$T$74</definedName>
    <definedName name="OSRRefT22x_0" localSheetId="78">'413'!$T$23:$T$31,'413'!$T$33:$T$42,'413'!$T$44,'413'!$T$46,'413'!$T$48,'413'!$T$50,'413'!$T$52,'413'!$T$54,'413'!$T$56:$T$59,'413'!$T$61:$T$62,'413'!$T$64:$T$71,'413'!$T$73:$T$74,'413'!$T$76</definedName>
    <definedName name="OSRRefT22x_0" localSheetId="79">'414'!$T$24:$T$32,'414'!$T$34:$T$43,'414'!$T$45,'414'!$T$47,'414'!$T$49,'414'!$T$51,'414'!$T$53,'414'!$T$55,'414'!$T$57:$T$58,'414'!$T$60,'414'!$T$62,'414'!$T$64,'414'!$T$66:$T$68,'414'!$T$70,'414'!$T$72,'414'!$T$74</definedName>
    <definedName name="OSRRefT22x_0" localSheetId="80">'415'!$T$27:$T$35,'415'!$T$37:$T$46,'415'!$T$48,'415'!$T$50,'415'!$T$52,'415'!$T$54:$T$55,'415'!$T$57,'415'!$T$59,'415'!$T$61,'415'!$T$63,'415'!$T$65,'415'!$T$67:$T$68,'415'!$T$70:$T$74,'415'!$T$76,'415'!$T$78:$T$85,'415'!$T$87:$T$88,'415'!$T$90,'415'!$T$92:$T$93,'415'!$T$95</definedName>
    <definedName name="OSRRefT22x_0" localSheetId="81">'418'!$T$23:$T$30,'418'!$T$32:$T$41,'418'!$T$43,'418'!$T$45,'418'!$T$47:$T$48,'418'!$T$50,'418'!$T$52,'418'!$T$54,'418'!$T$56:$T$58,'418'!$T$60:$T$61,'418'!$T$63:$T$64,'418'!$T$66:$T$75,'418'!$T$77:$T$78,'418'!$T$80</definedName>
    <definedName name="OSRRefT22x_0" localSheetId="82">'420'!$T$21</definedName>
    <definedName name="OSRRefT22x_0" localSheetId="83">'423'!$T$20:$T$27,'423'!$T$29:$T$38,'423'!$T$40,'423'!$T$42:$T$43,'423'!$T$45,'423'!$T$47,'423'!$T$49</definedName>
    <definedName name="OSRRefT22x_0" localSheetId="84">'424'!$T$20,'424'!$T$22,'424'!$T$24,'424'!$T$26</definedName>
    <definedName name="OSRRefT22x_0" localSheetId="85">'425'!$T$20:$T$24,'425'!$T$26,'425'!$T$28,'425'!$T$30,'425'!$T$32:$T$33,'425'!$T$35</definedName>
    <definedName name="OSRRefT22x_0" localSheetId="88">'430'!$T$20:$T$28,'430'!$T$30:$T$39,'430'!$T$41,'430'!$T$43,'430'!$T$45:$T$47,'430'!$T$49:$T$50,'430'!$T$52,'430'!$T$54</definedName>
    <definedName name="OSRRefT22x_0" localSheetId="89">'433'!$T$27:$T$36,'433'!$T$38:$T$47,'433'!$T$49,'433'!$T$51,'433'!$T$53,'433'!$T$55,'433'!$T$57,'433'!$T$59,'433'!$T$61,'433'!$T$63,'433'!$T$65,'433'!$T$67:$T$69,'433'!$T$71:$T$74,'433'!$T$76:$T$83,'433'!$T$85,'433'!$T$87</definedName>
    <definedName name="OSRRefT22x_0" localSheetId="90">'435'!$T$20</definedName>
    <definedName name="OSRRefT22x_0" localSheetId="91">'444'!$T$27:$T$36,'444'!$T$38:$T$47,'444'!$T$49,'444'!$T$51,'444'!$T$53,'444'!$T$55,'444'!$T$57,'444'!$T$59,'444'!$T$61,'444'!$T$63,'444'!$T$65,'444'!$T$67:$T$70,'444'!$T$72:$T$75,'444'!$T$77,'444'!$T$79:$T$87,'444'!$T$89:$T$90,'444'!$T$92</definedName>
    <definedName name="OSRRefT22x_0" localSheetId="92">'450'!$T$23:$T$32,'450'!$T$34:$T$43,'450'!$T$45,'450'!$T$47,'450'!$T$49,'450'!$T$51,'450'!$T$53,'450'!$T$55,'450'!$T$57,'450'!$T$59,'450'!$T$61,'450'!$T$63,'450'!$T$65,'450'!$T$67:$T$69,'450'!$T$71:$T$77,'450'!$T$79:$T$80,'450'!$T$82</definedName>
    <definedName name="OSRRefT22x_0" localSheetId="73">'491'!$T$29:$T$37,'491'!$T$39:$T$48,'491'!$T$50,'491'!$T$52,'491'!$T$54,'491'!$T$56:$T$58,'491'!$T$60,'491'!$T$62,'491'!$T$64,'491'!$T$66,'491'!$T$68,'491'!$T$70,'491'!$T$72,'491'!$T$74:$T$77,'491'!$T$79:$T$80,'491'!$T$82:$T$86,'491'!$T$88:$T$89,'491'!$T$91:$T$101,'491'!$T$103:$T$104,'491'!$T$106,'491'!$T$108:$T$110,'491'!$T$112</definedName>
    <definedName name="OSRRefT22x_0" localSheetId="87">'492'!$T$27:$T$36,'492'!$T$38:$T$47,'492'!$T$49,'492'!$T$51,'492'!$T$53,'492'!$T$55,'492'!$T$57,'492'!$T$59,'492'!$T$61,'492'!$T$63,'492'!$T$65,'492'!$T$67,'492'!$T$69:$T$72,'492'!$T$74:$T$77,'492'!$T$79,'492'!$T$81:$T$90,'492'!$T$92:$T$93,'492'!$T$95,'492'!$T$97</definedName>
    <definedName name="OSRRefT22x_0" localSheetId="94">'501'!$T$21:$T$30,'501'!$T$32:$T$41,'501'!$T$43,'501'!$T$45,'501'!$T$47,'501'!$T$49:$T$50,'501'!$T$52,'501'!$T$54,'501'!$T$56,'501'!$T$58:$T$61,'501'!$T$63:$T$64,'501'!$T$66</definedName>
    <definedName name="OSRRefT22x_0" localSheetId="39">'Div 2'!$T$21:$T$31,'Div 2'!$T$33:$T$42,'Div 2'!$T$44,'Div 2'!$T$46,'Div 2'!$T$48,'Div 2'!$T$50:$T$51,'Div 2'!$T$53,'Div 2'!$T$55,'Div 2'!$T$57,'Div 2'!$T$59:$T$60,'Div 2'!$T$62,'Div 2'!$T$64:$T$65,'Div 2'!$T$67:$T$70,'Div 2'!$T$72:$T$75,'Div 2'!$T$77:$T$78,'Div 2'!$T$80:$T$81,'Div 2'!$T$83:$T$87,'Div 2'!$T$89:$T$90,'Div 2'!$T$92,'Div 2'!$T$94:$T$95</definedName>
    <definedName name="OSRRefT22x_0" localSheetId="48">'Div 3'!$T$120:$T$129,'Div 3'!$T$131:$T$140,'Div 3'!$T$142,'Div 3'!$T$144:$T$145,'Div 3'!$T$147,'Div 3'!$T$149:$T$150,'Div 3'!$T$152:$T$153,'Div 3'!$T$155:$T$156,'Div 3'!$T$158,'Div 3'!$T$160,'Div 3'!$T$162:$T$163,'Div 3'!$T$165:$T$167,'Div 3'!$T$169,'Div 3'!$T$171,'Div 3'!$T$173,'Div 3'!$T$175,'Div 3'!$T$177,'Div 3'!$T$179:$T$182,'Div 3'!$T$184:$T$187,'Div 3'!$T$189:$T$193,'Div 3'!$T$195:$T$196,'Div 3'!$T$198:$T$206,'Div 3'!$T$208:$T$209,'Div 3'!$T$211,'Div 3'!$T$213:$T$215,'Div 3'!$T$217</definedName>
    <definedName name="OSRRefT22x_0" localSheetId="71">'Div 4'!$T$31:$T$40,'Div 4'!$T$42:$T$51,'Div 4'!$T$53,'Div 4'!$T$55,'Div 4'!$T$57,'Div 4'!$T$59:$T$61,'Div 4'!$T$63,'Div 4'!$T$65,'Div 4'!$T$67,'Div 4'!$T$69,'Div 4'!$T$71,'Div 4'!$T$73,'Div 4'!$T$75,'Div 4'!$T$77,'Div 4'!$T$79,'Div 4'!$T$81:$T$84,'Div 4'!$T$86:$T$87,'Div 4'!$T$89:$T$93,'Div 4'!$T$95:$T$96,'Div 4'!$T$98:$T$108,'Div 4'!$T$110:$T$111,'Div 4'!$T$113,'Div 4'!$T$115:$T$117,'Div 4'!$T$119</definedName>
    <definedName name="OSRRefT22x_0" localSheetId="93">'Div 5'!$T$21:$T$30,'Div 5'!$T$32:$T$41,'Div 5'!$T$43,'Div 5'!$T$45,'Div 5'!$T$47,'Div 5'!$T$49:$T$50,'Div 5'!$T$52,'Div 5'!$T$54,'Div 5'!$T$56,'Div 5'!$T$58:$T$61,'Div 5'!$T$63:$T$64,'Div 5'!$T$66</definedName>
    <definedName name="OSRRefT22x_0" localSheetId="62">'Div 6'!$T$50:$T$59,'Div 6'!$T$61:$T$70,'Div 6'!$T$72,'Div 6'!$T$74,'Div 6'!$T$76,'Div 6'!$T$78,'Div 6'!$T$80:$T$81,'Div 6'!$T$83,'Div 6'!$T$85,'Div 6'!$T$87,'Div 6'!$T$89:$T$91,'Div 6'!$T$93,'Div 6'!$T$95</definedName>
    <definedName name="OSRRefT22x_0" localSheetId="2">Summary!$T$148:$T$157,Summary!$T$159:$T$168,Summary!$T$170,Summary!$T$172:$T$173,Summary!$T$175,Summary!$T$177:$T$179,Summary!$T$181:$T$182,Summary!$T$184:$T$185,Summary!$T$187,Summary!$T$189,Summary!$T$191:$T$192,Summary!$T$194:$T$196,Summary!$T$198,Summary!$T$200,Summary!$T$202,Summary!$T$204,Summary!$T$206,Summary!$T$208,Summary!$T$210:$T$213,Summary!$T$215:$T$218,Summary!$T$220:$T$224,Summary!$T$226:$T$227,Summary!$T$229:$T$239,Summary!$T$241:$T$242,Summary!$T$244,Summary!$T$246:$T$248,Summary!$T$250</definedName>
    <definedName name="OSRRefT25x_0" localSheetId="42">'202'!$T$69:$T$71</definedName>
    <definedName name="OSRRefT25x_0" localSheetId="49">'300'!$T$213:$T$216</definedName>
    <definedName name="OSRRefT25x_0" localSheetId="50">'300 &amp; 317'!$T$236:$T$240</definedName>
    <definedName name="OSRRefT25x_0" localSheetId="51">'301'!$T$97:$T$98</definedName>
    <definedName name="OSRRefT25x_0" localSheetId="54">'308'!$T$111:$T$113</definedName>
    <definedName name="OSRRefT25x_0" localSheetId="72">'310 &amp; 491'!$T$119:$T$122</definedName>
    <definedName name="OSRRefT25x_0" localSheetId="55">'311'!$T$110:$T$112</definedName>
    <definedName name="OSRRefT25x_0" localSheetId="58">'315'!$T$145:$T$147</definedName>
    <definedName name="OSRRefT25x_0" localSheetId="61">'316'!$T$79</definedName>
    <definedName name="OSRRefT25x_0" localSheetId="63">'317'!$T$98:$T$99</definedName>
    <definedName name="OSRRefT25x_0" localSheetId="57">'331'!$T$161:$T$163</definedName>
    <definedName name="OSRRefT25x_0" localSheetId="60">'332'!$T$79</definedName>
    <definedName name="OSRRefT25x_0" localSheetId="76">'411'!$T$81:$T$82</definedName>
    <definedName name="OSRRefT25x_0" localSheetId="81">'418'!$T$83</definedName>
    <definedName name="OSRRefT25x_0" localSheetId="83">'423'!$T$52:$T$54</definedName>
    <definedName name="OSRRefT25x_0" localSheetId="86">'455'!$T$21:$T$22</definedName>
    <definedName name="OSRRefT25x_0" localSheetId="73">'491'!$T$115:$T$118</definedName>
    <definedName name="OSRRefT25x_0" localSheetId="94">'501'!$T$69</definedName>
    <definedName name="OSRRefT25x_0" localSheetId="39">'Div 2'!$T$98:$T$100</definedName>
    <definedName name="OSRRefT25x_0" localSheetId="48">'Div 3'!$T$220:$T$223</definedName>
    <definedName name="OSRRefT25x_0" localSheetId="71">'Div 4'!$T$122:$T$125</definedName>
    <definedName name="OSRRefT25x_0" localSheetId="93">'Div 5'!$T$69</definedName>
    <definedName name="OSRRefT25x_0" localSheetId="62">'Div 6'!$T$98:$T$99</definedName>
    <definedName name="OSRRefT25x_0" localSheetId="2">Summary!$T$253:$T$259</definedName>
    <definedName name="_xlnm.Print_Area" localSheetId="38">'100'!$A$1:$Z$34</definedName>
    <definedName name="_xlnm.Print_Area" localSheetId="40">'200'!$A$1:$Z$43</definedName>
    <definedName name="_xlnm.Print_Area" localSheetId="41">'201'!$A$1:$Z$88</definedName>
    <definedName name="_xlnm.Print_Area" localSheetId="42">'202'!$A$1:$Z$83</definedName>
    <definedName name="_xlnm.Print_Area" localSheetId="43">'203'!$A$1:$Z$86</definedName>
    <definedName name="_xlnm.Print_Area" localSheetId="44">'204'!$A$1:$Z$81</definedName>
    <definedName name="_xlnm.Print_Area" localSheetId="45">'205'!$A$1:$Z$68</definedName>
    <definedName name="_xlnm.Print_Area" localSheetId="46">'206'!$A$1:$Z$70</definedName>
    <definedName name="_xlnm.Print_Area" localSheetId="47">'207'!$A$1:$Z$32</definedName>
    <definedName name="_xlnm.Print_Area" localSheetId="49">'300'!$A$1:$Z$228</definedName>
    <definedName name="_xlnm.Print_Area" localSheetId="50">'300 &amp; 317'!$A$1:$Z$252</definedName>
    <definedName name="_xlnm.Print_Area" localSheetId="51">'301'!$A$1:$Z$110</definedName>
    <definedName name="_xlnm.Print_Area" localSheetId="53">'307'!$A$1:$Z$102</definedName>
    <definedName name="_xlnm.Print_Area" localSheetId="54">'308'!$A$1:$Z$125</definedName>
    <definedName name="_xlnm.Print_Area" localSheetId="65">'309'!$A$1:$Z$76</definedName>
    <definedName name="_xlnm.Print_Area" localSheetId="64">'310'!$A$1:$Z$116</definedName>
    <definedName name="_xlnm.Print_Area" localSheetId="72">'310 &amp; 491'!$A$1:$Z$134</definedName>
    <definedName name="_xlnm.Print_Area" localSheetId="55">'311'!$A$1:$Z$124</definedName>
    <definedName name="_xlnm.Print_Area" localSheetId="66">'313'!$A$1:$Z$80</definedName>
    <definedName name="_xlnm.Print_Area" localSheetId="58">'315'!$A$1:$Z$159</definedName>
    <definedName name="_xlnm.Print_Area" localSheetId="61">'316'!$A$1:$Z$91</definedName>
    <definedName name="_xlnm.Print_Area" localSheetId="63">'317'!$A$1:$Z$111</definedName>
    <definedName name="_xlnm.Print_Area" localSheetId="67">'321'!$A$1:$Z$88</definedName>
    <definedName name="_xlnm.Print_Area" localSheetId="68">'322'!$A$1:$Z$80</definedName>
    <definedName name="_xlnm.Print_Area" localSheetId="56">'324'!$A$1:$Z$59</definedName>
    <definedName name="_xlnm.Print_Area" localSheetId="69">'325'!$A$1:$Z$100</definedName>
    <definedName name="_xlnm.Print_Area" localSheetId="59">'326'!$A$1:$Z$129</definedName>
    <definedName name="_xlnm.Print_Area" localSheetId="70">'327'!$A$1:$Z$38</definedName>
    <definedName name="_xlnm.Print_Area" localSheetId="52">'330'!$A$1:$Z$102</definedName>
    <definedName name="_xlnm.Print_Area" localSheetId="57">'331'!$A$1:$Z$175</definedName>
    <definedName name="_xlnm.Print_Area" localSheetId="60">'332'!$A$1:$Z$91</definedName>
    <definedName name="_xlnm.Print_Area" localSheetId="74">'405'!$A$1:$Z$100</definedName>
    <definedName name="_xlnm.Print_Area" localSheetId="75">'406'!$A$1:$Z$42</definedName>
    <definedName name="_xlnm.Print_Area" localSheetId="76">'411'!$A$1:$Z$94</definedName>
    <definedName name="_xlnm.Print_Area" localSheetId="77">'412'!$A$1:$Z$88</definedName>
    <definedName name="_xlnm.Print_Area" localSheetId="78">'413'!$A$1:$Z$90</definedName>
    <definedName name="_xlnm.Print_Area" localSheetId="79">'414'!$A$1:$Z$88</definedName>
    <definedName name="_xlnm.Print_Area" localSheetId="80">'415'!$A$1:$Z$109</definedName>
    <definedName name="_xlnm.Print_Area" localSheetId="81">'418'!$A$1:$Z$95</definedName>
    <definedName name="_xlnm.Print_Area" localSheetId="82">'420'!$A$1:$Z$35</definedName>
    <definedName name="_xlnm.Print_Area" localSheetId="83">'423'!$A$1:$Z$66</definedName>
    <definedName name="_xlnm.Print_Area" localSheetId="84">'424'!$A$1:$Z$40</definedName>
    <definedName name="_xlnm.Print_Area" localSheetId="85">'425'!$A$1:$Z$49</definedName>
    <definedName name="_xlnm.Print_Area" localSheetId="88">'430'!$A$1:$Z$68</definedName>
    <definedName name="_xlnm.Print_Area" localSheetId="89">'433'!$A$1:$Z$101</definedName>
    <definedName name="_xlnm.Print_Area" localSheetId="90">'435'!$A$1:$Z$34</definedName>
    <definedName name="_xlnm.Print_Area" localSheetId="91">'444'!$A$1:$Z$106</definedName>
    <definedName name="_xlnm.Print_Area" localSheetId="92">'450'!$A$1:$Z$96</definedName>
    <definedName name="_xlnm.Print_Area" localSheetId="86">'455'!$A$1:$Z$34</definedName>
    <definedName name="_xlnm.Print_Area" localSheetId="73">'491'!$A$1:$Z$130</definedName>
    <definedName name="_xlnm.Print_Area" localSheetId="87">'492'!$A$1:$Z$111</definedName>
    <definedName name="_xlnm.Print_Area" localSheetId="94">'501'!$A$1:$Z$81</definedName>
    <definedName name="_xlnm.Print_Area" localSheetId="95">Dept!$A$1:$Z$39</definedName>
    <definedName name="_xlnm.Print_Area" localSheetId="37">'Div 1'!$A$1:$Z$34</definedName>
    <definedName name="_xlnm.Print_Area" localSheetId="39">'Div 2'!$A$1:$Z$112</definedName>
    <definedName name="_xlnm.Print_Area" localSheetId="48">'Div 3'!$A$1:$Z$235</definedName>
    <definedName name="_xlnm.Print_Area" localSheetId="71">'Div 4'!$A$1:$Z$137</definedName>
    <definedName name="_xlnm.Print_Area" localSheetId="93">'Div 5'!$A$1:$Z$81</definedName>
    <definedName name="_xlnm.Print_Area" localSheetId="62">'Div 6'!$A$1:$Z$111</definedName>
    <definedName name="_xlnm.Print_Area" localSheetId="13">'OSR_300 &amp; 317_1C00ID4'!$A$1:$Z$39</definedName>
    <definedName name="_xlnm.Print_Area" localSheetId="14">'OSR_300 (2)_...6aa5a22d_14M6XO4'!$A$1:$Z$39</definedName>
    <definedName name="_xlnm.Print_Area" localSheetId="10">'OSR_300 (2)_7...54cb56fc_UFX0O2'!$A$1:$Z$39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2">'OSR_310 (2)_5...3d931dee_QNK8R2'!$A$1:$Z$39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(2)_...853a34aa_1UNC34K'!$A$1:$Z$39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96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(2)...32d16c57_IVJ1QO'!$A$1:$Z$39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97">'OSR_Summary (...56e5d78f_5JEYZH'!$A$1:$Z$39</definedName>
    <definedName name="_xlnm.Print_Area" localSheetId="3">OSR_Summary_18VAVWG!$A$1:$Z$39</definedName>
    <definedName name="_xlnm.Print_Area" localSheetId="2">Summary!$A$1:$Z$273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7">'207'!$A:$C,'207'!$1:$10</definedName>
    <definedName name="_xlnm.Print_Titles" localSheetId="49">'300'!$A:$C,'300'!$1:$10</definedName>
    <definedName name="_xlnm.Print_Titles" localSheetId="50">'300 &amp; 317'!$A:$C,'300 &amp; 317'!$1:$10</definedName>
    <definedName name="_xlnm.Print_Titles" localSheetId="51">'301'!$A:$C,'301'!$1:$10</definedName>
    <definedName name="_xlnm.Print_Titles" localSheetId="53">'307'!$A:$C,'307'!$1:$10</definedName>
    <definedName name="_xlnm.Print_Titles" localSheetId="54">'308'!$A:$C,'308'!$1:$10</definedName>
    <definedName name="_xlnm.Print_Titles" localSheetId="65">'309'!$A:$C,'309'!$1:$10</definedName>
    <definedName name="_xlnm.Print_Titles" localSheetId="64">'310'!$A:$C,'310'!$1:$10</definedName>
    <definedName name="_xlnm.Print_Titles" localSheetId="72">'310 &amp; 491'!$A:$C,'310 &amp; 491'!$1:$10</definedName>
    <definedName name="_xlnm.Print_Titles" localSheetId="55">'311'!$A:$C,'311'!$1:$10</definedName>
    <definedName name="_xlnm.Print_Titles" localSheetId="66">'313'!$A:$C,'313'!$1:$10</definedName>
    <definedName name="_xlnm.Print_Titles" localSheetId="58">'315'!$A:$C,'315'!$1:$10</definedName>
    <definedName name="_xlnm.Print_Titles" localSheetId="61">'316'!$A:$C,'316'!$1:$10</definedName>
    <definedName name="_xlnm.Print_Titles" localSheetId="63">'317'!$A:$C,'317'!$1:$10</definedName>
    <definedName name="_xlnm.Print_Titles" localSheetId="67">'321'!$A:$C,'321'!$1:$10</definedName>
    <definedName name="_xlnm.Print_Titles" localSheetId="68">'322'!$A:$C,'322'!$1:$10</definedName>
    <definedName name="_xlnm.Print_Titles" localSheetId="56">'324'!$A:$C,'324'!$1:$10</definedName>
    <definedName name="_xlnm.Print_Titles" localSheetId="69">'325'!$A:$C,'325'!$1:$10</definedName>
    <definedName name="_xlnm.Print_Titles" localSheetId="59">'326'!$A:$C,'326'!$1:$10</definedName>
    <definedName name="_xlnm.Print_Titles" localSheetId="70">'327'!$A:$C,'327'!$1:$10</definedName>
    <definedName name="_xlnm.Print_Titles" localSheetId="52">'330'!$A:$C,'330'!$1:$10</definedName>
    <definedName name="_xlnm.Print_Titles" localSheetId="57">'331'!$A:$C,'331'!$1:$10</definedName>
    <definedName name="_xlnm.Print_Titles" localSheetId="60">'332'!$A:$C,'332'!$1:$10</definedName>
    <definedName name="_xlnm.Print_Titles" localSheetId="74">'405'!$A:$C,'405'!$1:$10</definedName>
    <definedName name="_xlnm.Print_Titles" localSheetId="75">'406'!$A:$C,'406'!$1:$10</definedName>
    <definedName name="_xlnm.Print_Titles" localSheetId="76">'411'!$A:$C,'411'!$1:$10</definedName>
    <definedName name="_xlnm.Print_Titles" localSheetId="77">'412'!$A:$C,'412'!$1:$10</definedName>
    <definedName name="_xlnm.Print_Titles" localSheetId="78">'413'!$A:$C,'413'!$1:$10</definedName>
    <definedName name="_xlnm.Print_Titles" localSheetId="79">'414'!$A:$C,'414'!$1:$10</definedName>
    <definedName name="_xlnm.Print_Titles" localSheetId="80">'415'!$A:$C,'415'!$1:$10</definedName>
    <definedName name="_xlnm.Print_Titles" localSheetId="81">'418'!$A:$C,'418'!$1:$10</definedName>
    <definedName name="_xlnm.Print_Titles" localSheetId="82">'420'!$A:$C,'420'!$1:$10</definedName>
    <definedName name="_xlnm.Print_Titles" localSheetId="83">'423'!$A:$C,'423'!$1:$10</definedName>
    <definedName name="_xlnm.Print_Titles" localSheetId="84">'424'!$A:$C,'424'!$1:$10</definedName>
    <definedName name="_xlnm.Print_Titles" localSheetId="85">'425'!$A:$C,'425'!$1:$10</definedName>
    <definedName name="_xlnm.Print_Titles" localSheetId="88">'430'!$A:$C,'430'!$1:$10</definedName>
    <definedName name="_xlnm.Print_Titles" localSheetId="89">'433'!$A:$C,'433'!$1:$10</definedName>
    <definedName name="_xlnm.Print_Titles" localSheetId="90">'435'!$A:$C,'435'!$1:$10</definedName>
    <definedName name="_xlnm.Print_Titles" localSheetId="91">'444'!$A:$C,'444'!$1:$10</definedName>
    <definedName name="_xlnm.Print_Titles" localSheetId="92">'450'!$A:$C,'450'!$1:$10</definedName>
    <definedName name="_xlnm.Print_Titles" localSheetId="86">'455'!$A:$C,'455'!$1:$10</definedName>
    <definedName name="_xlnm.Print_Titles" localSheetId="73">'491'!$A:$C,'491'!$1:$10</definedName>
    <definedName name="_xlnm.Print_Titles" localSheetId="87">'492'!$A:$C,'492'!$1:$10</definedName>
    <definedName name="_xlnm.Print_Titles" localSheetId="94">'501'!$A:$C,'501'!$1:$10</definedName>
    <definedName name="_xlnm.Print_Titles" localSheetId="95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8">'Div 3'!$A:$C,'Div 3'!$1:$10</definedName>
    <definedName name="_xlnm.Print_Titles" localSheetId="71">'Div 4'!$A:$C,'Div 4'!$1:$10</definedName>
    <definedName name="_xlnm.Print_Titles" localSheetId="93">'Div 5'!$A:$C,'Div 5'!$1:$10</definedName>
    <definedName name="_xlnm.Print_Titles" localSheetId="62">'Div 6'!$A:$C,'Div 6'!$1:$10</definedName>
    <definedName name="_xlnm.Print_Titles" localSheetId="13">'OSR_300 &amp; 317_1C00ID4'!$A:$C,'OSR_300 &amp; 317_1C00ID4'!$1:$10</definedName>
    <definedName name="_xlnm.Print_Titles" localSheetId="14">'OSR_300 (2)_...6aa5a22d_14M6XO4'!$A:$C,'OSR_300 (2)_...6aa5a22d_14M6XO4'!$1:$10</definedName>
    <definedName name="_xlnm.Print_Titles" localSheetId="10">'OSR_300 (2)_7...54cb56fc_UFX0O2'!$A:$C,'OSR_300 (2)_7...54cb56fc_UFX0O2'!$1:$10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2">'OSR_310 (2)_5...3d931dee_QNK8R2'!$A:$C,'OSR_310 (2)_5...3d931dee_QNK8R2'!$1:$10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(2)_...853a34aa_1UNC34K'!$A:$C,'OSR_491 (2)_...853a34aa_1UNC34K'!$1:$10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96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(2)...32d16c57_IVJ1QO'!$A:$C,'OSR_Div 5 (2)...32d16c57_IVJ1QO'!$1:$10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97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73" i="109" l="1"/>
  <c r="X73" i="109"/>
  <c r="N73" i="109"/>
  <c r="L73" i="109"/>
  <c r="P69" i="109"/>
  <c r="X69" i="109" s="1"/>
  <c r="Z69" i="109" s="1"/>
  <c r="L69" i="109"/>
  <c r="N69" i="109" s="1"/>
  <c r="J69" i="109"/>
  <c r="D69" i="109"/>
  <c r="B69" i="109"/>
  <c r="T68" i="109"/>
  <c r="Z68" i="109" s="1"/>
  <c r="P68" i="109"/>
  <c r="X68" i="109" s="1"/>
  <c r="J68" i="109"/>
  <c r="H68" i="109"/>
  <c r="D68" i="109"/>
  <c r="L68" i="109" s="1"/>
  <c r="X66" i="109"/>
  <c r="Z66" i="109" s="1"/>
  <c r="L66" i="109"/>
  <c r="N66" i="109" s="1"/>
  <c r="B66" i="109"/>
  <c r="Z65" i="109"/>
  <c r="T65" i="109"/>
  <c r="P65" i="109"/>
  <c r="X65" i="109" s="1"/>
  <c r="H65" i="109"/>
  <c r="D65" i="109"/>
  <c r="L65" i="109" s="1"/>
  <c r="N65" i="109" s="1"/>
  <c r="B65" i="109"/>
  <c r="Z64" i="109"/>
  <c r="X64" i="109"/>
  <c r="N64" i="109"/>
  <c r="L64" i="109"/>
  <c r="B64" i="109"/>
  <c r="X63" i="109"/>
  <c r="Z63" i="109" s="1"/>
  <c r="N63" i="109"/>
  <c r="L63" i="109"/>
  <c r="B63" i="109"/>
  <c r="T62" i="109"/>
  <c r="P62" i="109"/>
  <c r="X62" i="109" s="1"/>
  <c r="L62" i="109"/>
  <c r="N62" i="109" s="1"/>
  <c r="H62" i="109"/>
  <c r="D62" i="109"/>
  <c r="B62" i="109"/>
  <c r="Z61" i="109"/>
  <c r="X61" i="109"/>
  <c r="N61" i="109"/>
  <c r="L61" i="109"/>
  <c r="B61" i="109"/>
  <c r="Z60" i="109"/>
  <c r="X60" i="109"/>
  <c r="N60" i="109"/>
  <c r="L60" i="109"/>
  <c r="J60" i="109"/>
  <c r="B60" i="109"/>
  <c r="Z59" i="109"/>
  <c r="X59" i="109"/>
  <c r="N59" i="109"/>
  <c r="L59" i="109"/>
  <c r="B59" i="109"/>
  <c r="Z58" i="109"/>
  <c r="X58" i="109"/>
  <c r="N58" i="109"/>
  <c r="L58" i="109"/>
  <c r="B58" i="109"/>
  <c r="T57" i="109"/>
  <c r="P57" i="109"/>
  <c r="J57" i="109"/>
  <c r="H57" i="109"/>
  <c r="D57" i="109"/>
  <c r="L57" i="109" s="1"/>
  <c r="N57" i="109" s="1"/>
  <c r="B57" i="109"/>
  <c r="Z56" i="109"/>
  <c r="X56" i="109"/>
  <c r="N56" i="109"/>
  <c r="L56" i="109"/>
  <c r="B56" i="109"/>
  <c r="T55" i="109"/>
  <c r="P55" i="109"/>
  <c r="X55" i="109" s="1"/>
  <c r="N55" i="109"/>
  <c r="H55" i="109"/>
  <c r="D55" i="109"/>
  <c r="L55" i="109" s="1"/>
  <c r="B55" i="109"/>
  <c r="X54" i="109"/>
  <c r="Z54" i="109" s="1"/>
  <c r="L54" i="109"/>
  <c r="N54" i="109" s="1"/>
  <c r="B54" i="109"/>
  <c r="X53" i="109"/>
  <c r="Z53" i="109" s="1"/>
  <c r="T53" i="109"/>
  <c r="P53" i="109"/>
  <c r="L53" i="109"/>
  <c r="J53" i="109"/>
  <c r="H53" i="109"/>
  <c r="D53" i="109"/>
  <c r="B53" i="109"/>
  <c r="Z52" i="109"/>
  <c r="X52" i="109"/>
  <c r="N52" i="109"/>
  <c r="L52" i="109"/>
  <c r="J52" i="109"/>
  <c r="B52" i="109"/>
  <c r="T51" i="109"/>
  <c r="P51" i="109"/>
  <c r="H51" i="109"/>
  <c r="F51" i="109"/>
  <c r="D51" i="109"/>
  <c r="B51" i="109"/>
  <c r="X50" i="109"/>
  <c r="Z50" i="109" s="1"/>
  <c r="L50" i="109"/>
  <c r="N50" i="109" s="1"/>
  <c r="B50" i="109"/>
  <c r="Z49" i="109"/>
  <c r="X49" i="109"/>
  <c r="N49" i="109"/>
  <c r="L49" i="109"/>
  <c r="B49" i="109"/>
  <c r="T48" i="109"/>
  <c r="P48" i="109"/>
  <c r="X48" i="109" s="1"/>
  <c r="L48" i="109"/>
  <c r="J48" i="109"/>
  <c r="H48" i="109"/>
  <c r="D48" i="109"/>
  <c r="B48" i="109"/>
  <c r="X47" i="109"/>
  <c r="Z47" i="109" s="1"/>
  <c r="N47" i="109"/>
  <c r="L47" i="109"/>
  <c r="J47" i="109"/>
  <c r="B47" i="109"/>
  <c r="T46" i="109"/>
  <c r="P46" i="109"/>
  <c r="X46" i="109" s="1"/>
  <c r="Z46" i="109" s="1"/>
  <c r="H46" i="109"/>
  <c r="D46" i="109"/>
  <c r="L46" i="109" s="1"/>
  <c r="B46" i="109"/>
  <c r="Z45" i="109"/>
  <c r="X45" i="109"/>
  <c r="N45" i="109"/>
  <c r="L45" i="109"/>
  <c r="B45" i="109"/>
  <c r="T44" i="109"/>
  <c r="X44" i="109" s="1"/>
  <c r="Z44" i="109" s="1"/>
  <c r="P44" i="109"/>
  <c r="J44" i="109"/>
  <c r="H44" i="109"/>
  <c r="D44" i="109"/>
  <c r="L44" i="109" s="1"/>
  <c r="N44" i="109" s="1"/>
  <c r="B44" i="109"/>
  <c r="Z43" i="109"/>
  <c r="X43" i="109"/>
  <c r="L43" i="109"/>
  <c r="N43" i="109" s="1"/>
  <c r="J43" i="109"/>
  <c r="B43" i="109"/>
  <c r="X42" i="109"/>
  <c r="T42" i="109"/>
  <c r="Z42" i="109" s="1"/>
  <c r="P42" i="109"/>
  <c r="H42" i="109"/>
  <c r="D42" i="109"/>
  <c r="B42" i="109"/>
  <c r="Z41" i="109"/>
  <c r="X41" i="109"/>
  <c r="N41" i="109"/>
  <c r="L41" i="109"/>
  <c r="B41" i="109"/>
  <c r="Z40" i="109"/>
  <c r="X40" i="109"/>
  <c r="N40" i="109"/>
  <c r="L40" i="109"/>
  <c r="B40" i="109"/>
  <c r="X39" i="109"/>
  <c r="Z39" i="109" s="1"/>
  <c r="N39" i="109"/>
  <c r="L39" i="109"/>
  <c r="J39" i="109"/>
  <c r="B39" i="109"/>
  <c r="X38" i="109"/>
  <c r="Z38" i="109" s="1"/>
  <c r="N38" i="109"/>
  <c r="L38" i="109"/>
  <c r="J38" i="109"/>
  <c r="B38" i="109"/>
  <c r="Z37" i="109"/>
  <c r="X37" i="109"/>
  <c r="N37" i="109"/>
  <c r="L37" i="109"/>
  <c r="B37" i="109"/>
  <c r="Z36" i="109"/>
  <c r="X36" i="109"/>
  <c r="N36" i="109"/>
  <c r="L36" i="109"/>
  <c r="B36" i="109"/>
  <c r="X35" i="109"/>
  <c r="Z35" i="109" s="1"/>
  <c r="N35" i="109"/>
  <c r="L35" i="109"/>
  <c r="J35" i="109"/>
  <c r="B35" i="109"/>
  <c r="Z34" i="109"/>
  <c r="X34" i="109"/>
  <c r="N34" i="109"/>
  <c r="L34" i="109"/>
  <c r="J34" i="109"/>
  <c r="B34" i="109"/>
  <c r="X33" i="109"/>
  <c r="Z33" i="109" s="1"/>
  <c r="N33" i="109"/>
  <c r="L33" i="109"/>
  <c r="B33" i="109"/>
  <c r="Z32" i="109"/>
  <c r="X32" i="109"/>
  <c r="N32" i="109"/>
  <c r="L32" i="109"/>
  <c r="B32" i="109"/>
  <c r="T31" i="109"/>
  <c r="P31" i="109"/>
  <c r="L31" i="109"/>
  <c r="N31" i="109" s="1"/>
  <c r="H31" i="109"/>
  <c r="D31" i="109"/>
  <c r="B31" i="109"/>
  <c r="X30" i="109"/>
  <c r="Z30" i="109" s="1"/>
  <c r="L30" i="109"/>
  <c r="N30" i="109" s="1"/>
  <c r="J30" i="109"/>
  <c r="B30" i="109"/>
  <c r="Z29" i="109"/>
  <c r="X29" i="109"/>
  <c r="L29" i="109"/>
  <c r="N29" i="109" s="1"/>
  <c r="B29" i="109"/>
  <c r="Z28" i="109"/>
  <c r="X28" i="109"/>
  <c r="N28" i="109"/>
  <c r="L28" i="109"/>
  <c r="J28" i="109"/>
  <c r="B28" i="109"/>
  <c r="Z27" i="109"/>
  <c r="X27" i="109"/>
  <c r="R27" i="109"/>
  <c r="N27" i="109"/>
  <c r="L27" i="109"/>
  <c r="J27" i="109"/>
  <c r="B27" i="109"/>
  <c r="Z26" i="109"/>
  <c r="X26" i="109"/>
  <c r="N26" i="109"/>
  <c r="L26" i="109"/>
  <c r="J26" i="109"/>
  <c r="B26" i="109"/>
  <c r="Z25" i="109"/>
  <c r="X25" i="109"/>
  <c r="L25" i="109"/>
  <c r="N25" i="109" s="1"/>
  <c r="B25" i="109"/>
  <c r="Z24" i="109"/>
  <c r="X24" i="109"/>
  <c r="N24" i="109"/>
  <c r="L24" i="109"/>
  <c r="J24" i="109"/>
  <c r="F24" i="109"/>
  <c r="B24" i="109"/>
  <c r="Z23" i="109"/>
  <c r="X23" i="109"/>
  <c r="N23" i="109"/>
  <c r="L23" i="109"/>
  <c r="J23" i="109"/>
  <c r="B23" i="109"/>
  <c r="Z22" i="109"/>
  <c r="X22" i="109"/>
  <c r="L22" i="109"/>
  <c r="N22" i="109" s="1"/>
  <c r="J22" i="109"/>
  <c r="B22" i="109"/>
  <c r="Z21" i="109"/>
  <c r="X21" i="109"/>
  <c r="L21" i="109"/>
  <c r="N21" i="109" s="1"/>
  <c r="B21" i="109"/>
  <c r="Z20" i="109"/>
  <c r="T20" i="109"/>
  <c r="X20" i="109" s="1"/>
  <c r="P20" i="109"/>
  <c r="N20" i="109"/>
  <c r="L20" i="109"/>
  <c r="J20" i="109"/>
  <c r="H20" i="109"/>
  <c r="D20" i="109"/>
  <c r="B20" i="109"/>
  <c r="T19" i="109"/>
  <c r="P19" i="109"/>
  <c r="X19" i="109" s="1"/>
  <c r="H19" i="109"/>
  <c r="F19" i="109"/>
  <c r="D19" i="109"/>
  <c r="T15" i="109"/>
  <c r="Z15" i="109" s="1"/>
  <c r="P15" i="109"/>
  <c r="H15" i="109"/>
  <c r="L15" i="109" s="1"/>
  <c r="D15" i="109"/>
  <c r="P13" i="109"/>
  <c r="X13" i="109" s="1"/>
  <c r="Z13" i="109" s="1"/>
  <c r="D13" i="109"/>
  <c r="L13" i="109" s="1"/>
  <c r="N13" i="109" s="1"/>
  <c r="B13" i="109"/>
  <c r="T12" i="109"/>
  <c r="V22" i="109" s="1"/>
  <c r="P12" i="109"/>
  <c r="R25" i="109" s="1"/>
  <c r="H12" i="109"/>
  <c r="J73" i="109" s="1"/>
  <c r="D12" i="109"/>
  <c r="F69" i="109" s="1"/>
  <c r="D6" i="109"/>
  <c r="D4" i="109"/>
  <c r="V31" i="108"/>
  <c r="V28" i="108"/>
  <c r="Z26" i="108"/>
  <c r="X26" i="108"/>
  <c r="V26" i="108"/>
  <c r="N26" i="108"/>
  <c r="L26" i="108"/>
  <c r="J26" i="108"/>
  <c r="V24" i="108"/>
  <c r="J24" i="108"/>
  <c r="F24" i="108"/>
  <c r="Z22" i="108"/>
  <c r="V22" i="108"/>
  <c r="P22" i="108"/>
  <c r="X22" i="108" s="1"/>
  <c r="N22" i="108"/>
  <c r="D22" i="108"/>
  <c r="L22" i="108" s="1"/>
  <c r="B22" i="108"/>
  <c r="Z21" i="108"/>
  <c r="V21" i="108"/>
  <c r="P21" i="108"/>
  <c r="X21" i="108" s="1"/>
  <c r="N21" i="108"/>
  <c r="L21" i="108"/>
  <c r="J21" i="108"/>
  <c r="D21" i="108"/>
  <c r="B21" i="108"/>
  <c r="T20" i="108"/>
  <c r="Z20" i="108" s="1"/>
  <c r="P20" i="108"/>
  <c r="X20" i="108" s="1"/>
  <c r="N20" i="108"/>
  <c r="L20" i="108"/>
  <c r="J20" i="108"/>
  <c r="H20" i="108"/>
  <c r="D20" i="108"/>
  <c r="T18" i="108"/>
  <c r="Z18" i="108" s="1"/>
  <c r="P18" i="108"/>
  <c r="X18" i="108" s="1"/>
  <c r="N18" i="108"/>
  <c r="L18" i="108"/>
  <c r="H18" i="108"/>
  <c r="F18" i="108"/>
  <c r="D18" i="108"/>
  <c r="J16" i="108"/>
  <c r="F16" i="108"/>
  <c r="Z14" i="108"/>
  <c r="T14" i="108"/>
  <c r="T16" i="108" s="1"/>
  <c r="P14" i="108"/>
  <c r="N14" i="108"/>
  <c r="H14" i="108"/>
  <c r="D14" i="108"/>
  <c r="L14" i="108" s="1"/>
  <c r="Z12" i="108"/>
  <c r="T12" i="108"/>
  <c r="V20" i="108" s="1"/>
  <c r="P12" i="108"/>
  <c r="N12" i="108"/>
  <c r="H12" i="108"/>
  <c r="J14" i="108" s="1"/>
  <c r="D12" i="108"/>
  <c r="F22" i="108" s="1"/>
  <c r="D6" i="108"/>
  <c r="D4" i="108"/>
  <c r="X88" i="107"/>
  <c r="Z88" i="107" s="1"/>
  <c r="L88" i="107"/>
  <c r="N88" i="107" s="1"/>
  <c r="Z84" i="107"/>
  <c r="T84" i="107"/>
  <c r="X84" i="107" s="1"/>
  <c r="P84" i="107"/>
  <c r="H84" i="107"/>
  <c r="N84" i="107" s="1"/>
  <c r="D84" i="107"/>
  <c r="L84" i="107" s="1"/>
  <c r="Z82" i="107"/>
  <c r="X82" i="107"/>
  <c r="L82" i="107"/>
  <c r="N82" i="107" s="1"/>
  <c r="B82" i="107"/>
  <c r="V81" i="107"/>
  <c r="T81" i="107"/>
  <c r="P81" i="107"/>
  <c r="X81" i="107" s="1"/>
  <c r="H81" i="107"/>
  <c r="D81" i="107"/>
  <c r="L81" i="107" s="1"/>
  <c r="N81" i="107" s="1"/>
  <c r="B81" i="107"/>
  <c r="Z80" i="107"/>
  <c r="X80" i="107"/>
  <c r="V80" i="107"/>
  <c r="N80" i="107"/>
  <c r="L80" i="107"/>
  <c r="B80" i="107"/>
  <c r="X79" i="107"/>
  <c r="Z79" i="107" s="1"/>
  <c r="N79" i="107"/>
  <c r="L79" i="107"/>
  <c r="B79" i="107"/>
  <c r="T78" i="107"/>
  <c r="P78" i="107"/>
  <c r="X78" i="107" s="1"/>
  <c r="L78" i="107"/>
  <c r="J78" i="107"/>
  <c r="H78" i="107"/>
  <c r="D78" i="107"/>
  <c r="B78" i="107"/>
  <c r="Z77" i="107"/>
  <c r="X77" i="107"/>
  <c r="N77" i="107"/>
  <c r="L77" i="107"/>
  <c r="J77" i="107"/>
  <c r="B77" i="107"/>
  <c r="X76" i="107"/>
  <c r="Z76" i="107" s="1"/>
  <c r="N76" i="107"/>
  <c r="L76" i="107"/>
  <c r="B76" i="107"/>
  <c r="X75" i="107"/>
  <c r="Z75" i="107" s="1"/>
  <c r="N75" i="107"/>
  <c r="L75" i="107"/>
  <c r="B75" i="107"/>
  <c r="X74" i="107"/>
  <c r="Z74" i="107" s="1"/>
  <c r="N74" i="107"/>
  <c r="L74" i="107"/>
  <c r="B74" i="107"/>
  <c r="X73" i="107"/>
  <c r="Z73" i="107" s="1"/>
  <c r="N73" i="107"/>
  <c r="L73" i="107"/>
  <c r="J73" i="107"/>
  <c r="B73" i="107"/>
  <c r="X72" i="107"/>
  <c r="Z72" i="107" s="1"/>
  <c r="L72" i="107"/>
  <c r="N72" i="107" s="1"/>
  <c r="B72" i="107"/>
  <c r="X71" i="107"/>
  <c r="Z71" i="107" s="1"/>
  <c r="N71" i="107"/>
  <c r="L71" i="107"/>
  <c r="B71" i="107"/>
  <c r="T70" i="107"/>
  <c r="P70" i="107"/>
  <c r="L70" i="107"/>
  <c r="H70" i="107"/>
  <c r="N70" i="107" s="1"/>
  <c r="D70" i="107"/>
  <c r="B70" i="107"/>
  <c r="Z69" i="107"/>
  <c r="X69" i="107"/>
  <c r="V69" i="107"/>
  <c r="N69" i="107"/>
  <c r="L69" i="107"/>
  <c r="B69" i="107"/>
  <c r="X68" i="107"/>
  <c r="Z68" i="107" s="1"/>
  <c r="L68" i="107"/>
  <c r="N68" i="107" s="1"/>
  <c r="J68" i="107"/>
  <c r="B68" i="107"/>
  <c r="Z67" i="107"/>
  <c r="X67" i="107"/>
  <c r="L67" i="107"/>
  <c r="N67" i="107" s="1"/>
  <c r="B67" i="107"/>
  <c r="Z66" i="107"/>
  <c r="T66" i="107"/>
  <c r="X66" i="107" s="1"/>
  <c r="P66" i="107"/>
  <c r="H66" i="107"/>
  <c r="D66" i="107"/>
  <c r="L66" i="107" s="1"/>
  <c r="B66" i="107"/>
  <c r="Z65" i="107"/>
  <c r="X65" i="107"/>
  <c r="N65" i="107"/>
  <c r="L65" i="107"/>
  <c r="B65" i="107"/>
  <c r="X64" i="107"/>
  <c r="V64" i="107"/>
  <c r="T64" i="107"/>
  <c r="Z64" i="107" s="1"/>
  <c r="P64" i="107"/>
  <c r="H64" i="107"/>
  <c r="D64" i="107"/>
  <c r="L64" i="107" s="1"/>
  <c r="B64" i="107"/>
  <c r="X63" i="107"/>
  <c r="Z63" i="107" s="1"/>
  <c r="N63" i="107"/>
  <c r="L63" i="107"/>
  <c r="B63" i="107"/>
  <c r="T62" i="107"/>
  <c r="P62" i="107"/>
  <c r="L62" i="107"/>
  <c r="H62" i="107"/>
  <c r="N62" i="107" s="1"/>
  <c r="D62" i="107"/>
  <c r="B62" i="107"/>
  <c r="Z61" i="107"/>
  <c r="X61" i="107"/>
  <c r="V61" i="107"/>
  <c r="N61" i="107"/>
  <c r="L61" i="107"/>
  <c r="B61" i="107"/>
  <c r="T60" i="107"/>
  <c r="P60" i="107"/>
  <c r="X60" i="107" s="1"/>
  <c r="H60" i="107"/>
  <c r="L60" i="107" s="1"/>
  <c r="N60" i="107" s="1"/>
  <c r="D60" i="107"/>
  <c r="B60" i="107"/>
  <c r="X59" i="107"/>
  <c r="Z59" i="107" s="1"/>
  <c r="L59" i="107"/>
  <c r="N59" i="107" s="1"/>
  <c r="B59" i="107"/>
  <c r="T58" i="107"/>
  <c r="P58" i="107"/>
  <c r="X58" i="107" s="1"/>
  <c r="L58" i="107"/>
  <c r="J58" i="107"/>
  <c r="H58" i="107"/>
  <c r="N58" i="107" s="1"/>
  <c r="D58" i="107"/>
  <c r="B58" i="107"/>
  <c r="Z57" i="107"/>
  <c r="X57" i="107"/>
  <c r="N57" i="107"/>
  <c r="L57" i="107"/>
  <c r="J57" i="107"/>
  <c r="B57" i="107"/>
  <c r="X56" i="107"/>
  <c r="T56" i="107"/>
  <c r="Z56" i="107" s="1"/>
  <c r="P56" i="107"/>
  <c r="H56" i="107"/>
  <c r="D56" i="107"/>
  <c r="B56" i="107"/>
  <c r="Z55" i="107"/>
  <c r="X55" i="107"/>
  <c r="L55" i="107"/>
  <c r="N55" i="107" s="1"/>
  <c r="B55" i="107"/>
  <c r="Z54" i="107"/>
  <c r="T54" i="107"/>
  <c r="X54" i="107" s="1"/>
  <c r="P54" i="107"/>
  <c r="H54" i="107"/>
  <c r="D54" i="107"/>
  <c r="L54" i="107" s="1"/>
  <c r="B54" i="107"/>
  <c r="Z53" i="107"/>
  <c r="X53" i="107"/>
  <c r="N53" i="107"/>
  <c r="L53" i="107"/>
  <c r="B53" i="107"/>
  <c r="X52" i="107"/>
  <c r="V52" i="107"/>
  <c r="T52" i="107"/>
  <c r="P52" i="107"/>
  <c r="H52" i="107"/>
  <c r="D52" i="107"/>
  <c r="L52" i="107" s="1"/>
  <c r="B52" i="107"/>
  <c r="X51" i="107"/>
  <c r="Z51" i="107" s="1"/>
  <c r="N51" i="107"/>
  <c r="L51" i="107"/>
  <c r="B51" i="107"/>
  <c r="T50" i="107"/>
  <c r="P50" i="107"/>
  <c r="L50" i="107"/>
  <c r="H50" i="107"/>
  <c r="N50" i="107" s="1"/>
  <c r="D50" i="107"/>
  <c r="B50" i="107"/>
  <c r="Z49" i="107"/>
  <c r="X49" i="107"/>
  <c r="V49" i="107"/>
  <c r="N49" i="107"/>
  <c r="L49" i="107"/>
  <c r="B49" i="107"/>
  <c r="T48" i="107"/>
  <c r="P48" i="107"/>
  <c r="X48" i="107" s="1"/>
  <c r="H48" i="107"/>
  <c r="L48" i="107" s="1"/>
  <c r="N48" i="107" s="1"/>
  <c r="D48" i="107"/>
  <c r="B48" i="107"/>
  <c r="Z47" i="107"/>
  <c r="X47" i="107"/>
  <c r="L47" i="107"/>
  <c r="N47" i="107" s="1"/>
  <c r="B47" i="107"/>
  <c r="T46" i="107"/>
  <c r="Z46" i="107" s="1"/>
  <c r="P46" i="107"/>
  <c r="X46" i="107" s="1"/>
  <c r="L46" i="107"/>
  <c r="J46" i="107"/>
  <c r="H46" i="107"/>
  <c r="N46" i="107" s="1"/>
  <c r="D46" i="107"/>
  <c r="B46" i="107"/>
  <c r="Z45" i="107"/>
  <c r="X45" i="107"/>
  <c r="N45" i="107"/>
  <c r="L45" i="107"/>
  <c r="J45" i="107"/>
  <c r="B45" i="107"/>
  <c r="X44" i="107"/>
  <c r="T44" i="107"/>
  <c r="Z44" i="107" s="1"/>
  <c r="P44" i="107"/>
  <c r="H44" i="107"/>
  <c r="D44" i="107"/>
  <c r="B44" i="107"/>
  <c r="Z43" i="107"/>
  <c r="X43" i="107"/>
  <c r="N43" i="107"/>
  <c r="L43" i="107"/>
  <c r="B43" i="107"/>
  <c r="Z42" i="107"/>
  <c r="X42" i="107"/>
  <c r="N42" i="107"/>
  <c r="L42" i="107"/>
  <c r="B42" i="107"/>
  <c r="Z41" i="107"/>
  <c r="X41" i="107"/>
  <c r="V41" i="107"/>
  <c r="N41" i="107"/>
  <c r="L41" i="107"/>
  <c r="B41" i="107"/>
  <c r="X40" i="107"/>
  <c r="Z40" i="107" s="1"/>
  <c r="N40" i="107"/>
  <c r="L40" i="107"/>
  <c r="J40" i="107"/>
  <c r="B40" i="107"/>
  <c r="Z39" i="107"/>
  <c r="X39" i="107"/>
  <c r="N39" i="107"/>
  <c r="L39" i="107"/>
  <c r="B39" i="107"/>
  <c r="Z38" i="107"/>
  <c r="X38" i="107"/>
  <c r="L38" i="107"/>
  <c r="N38" i="107" s="1"/>
  <c r="B38" i="107"/>
  <c r="Z37" i="107"/>
  <c r="X37" i="107"/>
  <c r="V37" i="107"/>
  <c r="N37" i="107"/>
  <c r="L37" i="107"/>
  <c r="B37" i="107"/>
  <c r="Z36" i="107"/>
  <c r="X36" i="107"/>
  <c r="N36" i="107"/>
  <c r="L36" i="107"/>
  <c r="J36" i="107"/>
  <c r="B36" i="107"/>
  <c r="Z35" i="107"/>
  <c r="X35" i="107"/>
  <c r="L35" i="107"/>
  <c r="N35" i="107" s="1"/>
  <c r="J35" i="107"/>
  <c r="B35" i="107"/>
  <c r="Z34" i="107"/>
  <c r="X34" i="107"/>
  <c r="N34" i="107"/>
  <c r="L34" i="107"/>
  <c r="B34" i="107"/>
  <c r="T33" i="107"/>
  <c r="P33" i="107"/>
  <c r="H33" i="107"/>
  <c r="D33" i="107"/>
  <c r="L33" i="107" s="1"/>
  <c r="N33" i="107" s="1"/>
  <c r="B33" i="107"/>
  <c r="Z32" i="107"/>
  <c r="X32" i="107"/>
  <c r="V32" i="107"/>
  <c r="N32" i="107"/>
  <c r="L32" i="107"/>
  <c r="B32" i="107"/>
  <c r="X31" i="107"/>
  <c r="Z31" i="107" s="1"/>
  <c r="V31" i="107"/>
  <c r="N31" i="107"/>
  <c r="L31" i="107"/>
  <c r="B31" i="107"/>
  <c r="X30" i="107"/>
  <c r="Z30" i="107" s="1"/>
  <c r="L30" i="107"/>
  <c r="N30" i="107" s="1"/>
  <c r="B30" i="107"/>
  <c r="Z29" i="107"/>
  <c r="X29" i="107"/>
  <c r="V29" i="107"/>
  <c r="N29" i="107"/>
  <c r="L29" i="107"/>
  <c r="B29" i="107"/>
  <c r="Z28" i="107"/>
  <c r="X28" i="107"/>
  <c r="V28" i="107"/>
  <c r="N28" i="107"/>
  <c r="L28" i="107"/>
  <c r="B28" i="107"/>
  <c r="X27" i="107"/>
  <c r="Z27" i="107" s="1"/>
  <c r="V27" i="107"/>
  <c r="L27" i="107"/>
  <c r="N27" i="107" s="1"/>
  <c r="B27" i="107"/>
  <c r="X26" i="107"/>
  <c r="Z26" i="107" s="1"/>
  <c r="L26" i="107"/>
  <c r="N26" i="107" s="1"/>
  <c r="F26" i="107"/>
  <c r="B26" i="107"/>
  <c r="Z25" i="107"/>
  <c r="X25" i="107"/>
  <c r="V25" i="107"/>
  <c r="N25" i="107"/>
  <c r="L25" i="107"/>
  <c r="B25" i="107"/>
  <c r="X24" i="107"/>
  <c r="Z24" i="107" s="1"/>
  <c r="V24" i="107"/>
  <c r="L24" i="107"/>
  <c r="N24" i="107" s="1"/>
  <c r="B24" i="107"/>
  <c r="X23" i="107"/>
  <c r="Z23" i="107" s="1"/>
  <c r="V23" i="107"/>
  <c r="L23" i="107"/>
  <c r="N23" i="107" s="1"/>
  <c r="B23" i="107"/>
  <c r="T22" i="107"/>
  <c r="P22" i="107"/>
  <c r="X22" i="107" s="1"/>
  <c r="L22" i="107"/>
  <c r="J22" i="107"/>
  <c r="H22" i="107"/>
  <c r="N22" i="107" s="1"/>
  <c r="D22" i="107"/>
  <c r="B22" i="107"/>
  <c r="T21" i="107"/>
  <c r="P21" i="107"/>
  <c r="X21" i="107" s="1"/>
  <c r="H21" i="107"/>
  <c r="D21" i="107"/>
  <c r="L21" i="107" s="1"/>
  <c r="N21" i="107" s="1"/>
  <c r="T19" i="107"/>
  <c r="Z17" i="107"/>
  <c r="X17" i="107"/>
  <c r="N17" i="107"/>
  <c r="L17" i="107"/>
  <c r="J17" i="107"/>
  <c r="B17" i="107"/>
  <c r="X16" i="107"/>
  <c r="Z16" i="107" s="1"/>
  <c r="T16" i="107"/>
  <c r="P16" i="107"/>
  <c r="H16" i="107"/>
  <c r="D16" i="107"/>
  <c r="Z14" i="107"/>
  <c r="X14" i="107"/>
  <c r="P14" i="107"/>
  <c r="N14" i="107"/>
  <c r="L14" i="107"/>
  <c r="D14" i="107"/>
  <c r="B14" i="107"/>
  <c r="P13" i="107"/>
  <c r="D13" i="107"/>
  <c r="L13" i="107" s="1"/>
  <c r="N13" i="107" s="1"/>
  <c r="B13" i="107"/>
  <c r="T12" i="107"/>
  <c r="H12" i="107"/>
  <c r="J74" i="107" s="1"/>
  <c r="D12" i="107"/>
  <c r="D6" i="107"/>
  <c r="D4" i="107"/>
  <c r="X98" i="105"/>
  <c r="Z98" i="105" s="1"/>
  <c r="N98" i="105"/>
  <c r="L98" i="105"/>
  <c r="T94" i="105"/>
  <c r="Z94" i="105" s="1"/>
  <c r="P94" i="105"/>
  <c r="X94" i="105" s="1"/>
  <c r="H94" i="105"/>
  <c r="N94" i="105" s="1"/>
  <c r="D94" i="105"/>
  <c r="L94" i="105" s="1"/>
  <c r="X92" i="105"/>
  <c r="Z92" i="105" s="1"/>
  <c r="L92" i="105"/>
  <c r="N92" i="105" s="1"/>
  <c r="B92" i="105"/>
  <c r="Z91" i="105"/>
  <c r="T91" i="105"/>
  <c r="P91" i="105"/>
  <c r="X91" i="105" s="1"/>
  <c r="H91" i="105"/>
  <c r="D91" i="105"/>
  <c r="L91" i="105" s="1"/>
  <c r="N91" i="105" s="1"/>
  <c r="B91" i="105"/>
  <c r="Z90" i="105"/>
  <c r="X90" i="105"/>
  <c r="N90" i="105"/>
  <c r="L90" i="105"/>
  <c r="B90" i="105"/>
  <c r="X89" i="105"/>
  <c r="Z89" i="105" s="1"/>
  <c r="N89" i="105"/>
  <c r="L89" i="105"/>
  <c r="B89" i="105"/>
  <c r="T88" i="105"/>
  <c r="X88" i="105" s="1"/>
  <c r="Z88" i="105" s="1"/>
  <c r="P88" i="105"/>
  <c r="H88" i="105"/>
  <c r="D88" i="105"/>
  <c r="L88" i="105" s="1"/>
  <c r="B88" i="105"/>
  <c r="Z87" i="105"/>
  <c r="X87" i="105"/>
  <c r="N87" i="105"/>
  <c r="L87" i="105"/>
  <c r="B87" i="105"/>
  <c r="X86" i="105"/>
  <c r="Z86" i="105" s="1"/>
  <c r="L86" i="105"/>
  <c r="N86" i="105" s="1"/>
  <c r="B86" i="105"/>
  <c r="Z85" i="105"/>
  <c r="X85" i="105"/>
  <c r="N85" i="105"/>
  <c r="L85" i="105"/>
  <c r="B85" i="105"/>
  <c r="X84" i="105"/>
  <c r="Z84" i="105" s="1"/>
  <c r="L84" i="105"/>
  <c r="N84" i="105" s="1"/>
  <c r="B84" i="105"/>
  <c r="Z83" i="105"/>
  <c r="X83" i="105"/>
  <c r="N83" i="105"/>
  <c r="L83" i="105"/>
  <c r="B83" i="105"/>
  <c r="X82" i="105"/>
  <c r="Z82" i="105" s="1"/>
  <c r="V82" i="105"/>
  <c r="L82" i="105"/>
  <c r="N82" i="105" s="1"/>
  <c r="B82" i="105"/>
  <c r="X81" i="105"/>
  <c r="Z81" i="105" s="1"/>
  <c r="N81" i="105"/>
  <c r="L81" i="105"/>
  <c r="J81" i="105"/>
  <c r="B81" i="105"/>
  <c r="Z80" i="105"/>
  <c r="X80" i="105"/>
  <c r="L80" i="105"/>
  <c r="N80" i="105" s="1"/>
  <c r="B80" i="105"/>
  <c r="X79" i="105"/>
  <c r="Z79" i="105" s="1"/>
  <c r="N79" i="105"/>
  <c r="L79" i="105"/>
  <c r="B79" i="105"/>
  <c r="X78" i="105"/>
  <c r="Z78" i="105" s="1"/>
  <c r="T78" i="105"/>
  <c r="P78" i="105"/>
  <c r="L78" i="105"/>
  <c r="N78" i="105" s="1"/>
  <c r="H78" i="105"/>
  <c r="D78" i="105"/>
  <c r="B78" i="105"/>
  <c r="Z77" i="105"/>
  <c r="X77" i="105"/>
  <c r="N77" i="105"/>
  <c r="L77" i="105"/>
  <c r="B77" i="105"/>
  <c r="T76" i="105"/>
  <c r="Z76" i="105" s="1"/>
  <c r="P76" i="105"/>
  <c r="N76" i="105"/>
  <c r="H76" i="105"/>
  <c r="L76" i="105" s="1"/>
  <c r="D76" i="105"/>
  <c r="B76" i="105"/>
  <c r="X75" i="105"/>
  <c r="Z75" i="105" s="1"/>
  <c r="L75" i="105"/>
  <c r="N75" i="105" s="1"/>
  <c r="B75" i="105"/>
  <c r="X74" i="105"/>
  <c r="Z74" i="105" s="1"/>
  <c r="L74" i="105"/>
  <c r="N74" i="105" s="1"/>
  <c r="B74" i="105"/>
  <c r="Z73" i="105"/>
  <c r="X73" i="105"/>
  <c r="N73" i="105"/>
  <c r="L73" i="105"/>
  <c r="B73" i="105"/>
  <c r="Z72" i="105"/>
  <c r="X72" i="105"/>
  <c r="V72" i="105"/>
  <c r="L72" i="105"/>
  <c r="N72" i="105" s="1"/>
  <c r="B72" i="105"/>
  <c r="T71" i="105"/>
  <c r="P71" i="105"/>
  <c r="X71" i="105" s="1"/>
  <c r="Z71" i="105" s="1"/>
  <c r="L71" i="105"/>
  <c r="N71" i="105" s="1"/>
  <c r="J71" i="105"/>
  <c r="H71" i="105"/>
  <c r="D71" i="105"/>
  <c r="B71" i="105"/>
  <c r="X70" i="105"/>
  <c r="Z70" i="105" s="1"/>
  <c r="N70" i="105"/>
  <c r="L70" i="105"/>
  <c r="B70" i="105"/>
  <c r="Z69" i="105"/>
  <c r="X69" i="105"/>
  <c r="N69" i="105"/>
  <c r="L69" i="105"/>
  <c r="F69" i="105"/>
  <c r="B69" i="105"/>
  <c r="X68" i="105"/>
  <c r="Z68" i="105" s="1"/>
  <c r="N68" i="105"/>
  <c r="L68" i="105"/>
  <c r="B68" i="105"/>
  <c r="X67" i="105"/>
  <c r="Z67" i="105" s="1"/>
  <c r="N67" i="105"/>
  <c r="L67" i="105"/>
  <c r="B67" i="105"/>
  <c r="X66" i="105"/>
  <c r="Z66" i="105" s="1"/>
  <c r="T66" i="105"/>
  <c r="P66" i="105"/>
  <c r="L66" i="105"/>
  <c r="N66" i="105" s="1"/>
  <c r="H66" i="105"/>
  <c r="D66" i="105"/>
  <c r="B66" i="105"/>
  <c r="Z65" i="105"/>
  <c r="X65" i="105"/>
  <c r="L65" i="105"/>
  <c r="N65" i="105" s="1"/>
  <c r="J65" i="105"/>
  <c r="B65" i="105"/>
  <c r="T64" i="105"/>
  <c r="P64" i="105"/>
  <c r="N64" i="105"/>
  <c r="H64" i="105"/>
  <c r="L64" i="105" s="1"/>
  <c r="D64" i="105"/>
  <c r="B64" i="105"/>
  <c r="X63" i="105"/>
  <c r="Z63" i="105" s="1"/>
  <c r="L63" i="105"/>
  <c r="N63" i="105" s="1"/>
  <c r="B63" i="105"/>
  <c r="T62" i="105"/>
  <c r="P62" i="105"/>
  <c r="X62" i="105" s="1"/>
  <c r="J62" i="105"/>
  <c r="H62" i="105"/>
  <c r="N62" i="105" s="1"/>
  <c r="D62" i="105"/>
  <c r="L62" i="105" s="1"/>
  <c r="B62" i="105"/>
  <c r="Z61" i="105"/>
  <c r="X61" i="105"/>
  <c r="N61" i="105"/>
  <c r="L61" i="105"/>
  <c r="B61" i="105"/>
  <c r="X60" i="105"/>
  <c r="Z60" i="105" s="1"/>
  <c r="T60" i="105"/>
  <c r="P60" i="105"/>
  <c r="L60" i="105"/>
  <c r="N60" i="105" s="1"/>
  <c r="H60" i="105"/>
  <c r="F60" i="105"/>
  <c r="D60" i="105"/>
  <c r="B60" i="105"/>
  <c r="Z59" i="105"/>
  <c r="X59" i="105"/>
  <c r="L59" i="105"/>
  <c r="N59" i="105" s="1"/>
  <c r="J59" i="105"/>
  <c r="B59" i="105"/>
  <c r="T58" i="105"/>
  <c r="X58" i="105" s="1"/>
  <c r="Z58" i="105" s="1"/>
  <c r="P58" i="105"/>
  <c r="H58" i="105"/>
  <c r="D58" i="105"/>
  <c r="L58" i="105" s="1"/>
  <c r="B58" i="105"/>
  <c r="X57" i="105"/>
  <c r="Z57" i="105" s="1"/>
  <c r="N57" i="105"/>
  <c r="L57" i="105"/>
  <c r="B57" i="105"/>
  <c r="V56" i="105"/>
  <c r="T56" i="105"/>
  <c r="P56" i="105"/>
  <c r="X56" i="105" s="1"/>
  <c r="H56" i="105"/>
  <c r="N56" i="105" s="1"/>
  <c r="D56" i="105"/>
  <c r="L56" i="105" s="1"/>
  <c r="B56" i="105"/>
  <c r="Z55" i="105"/>
  <c r="X55" i="105"/>
  <c r="N55" i="105"/>
  <c r="L55" i="105"/>
  <c r="B55" i="105"/>
  <c r="Z54" i="105"/>
  <c r="X54" i="105"/>
  <c r="T54" i="105"/>
  <c r="P54" i="105"/>
  <c r="N54" i="105"/>
  <c r="L54" i="105"/>
  <c r="H54" i="105"/>
  <c r="D54" i="105"/>
  <c r="B54" i="105"/>
  <c r="Z53" i="105"/>
  <c r="X53" i="105"/>
  <c r="L53" i="105"/>
  <c r="N53" i="105" s="1"/>
  <c r="J53" i="105"/>
  <c r="B53" i="105"/>
  <c r="T52" i="105"/>
  <c r="Z52" i="105" s="1"/>
  <c r="P52" i="105"/>
  <c r="X52" i="105" s="1"/>
  <c r="H52" i="105"/>
  <c r="D52" i="105"/>
  <c r="L52" i="105" s="1"/>
  <c r="N52" i="105" s="1"/>
  <c r="B52" i="105"/>
  <c r="X51" i="105"/>
  <c r="Z51" i="105" s="1"/>
  <c r="L51" i="105"/>
  <c r="N51" i="105" s="1"/>
  <c r="B51" i="105"/>
  <c r="T50" i="105"/>
  <c r="Z50" i="105" s="1"/>
  <c r="P50" i="105"/>
  <c r="X50" i="105" s="1"/>
  <c r="J50" i="105"/>
  <c r="H50" i="105"/>
  <c r="N50" i="105" s="1"/>
  <c r="D50" i="105"/>
  <c r="L50" i="105" s="1"/>
  <c r="B50" i="105"/>
  <c r="Z49" i="105"/>
  <c r="X49" i="105"/>
  <c r="N49" i="105"/>
  <c r="L49" i="105"/>
  <c r="B49" i="105"/>
  <c r="X48" i="105"/>
  <c r="Z48" i="105" s="1"/>
  <c r="T48" i="105"/>
  <c r="P48" i="105"/>
  <c r="L48" i="105"/>
  <c r="N48" i="105" s="1"/>
  <c r="H48" i="105"/>
  <c r="D48" i="105"/>
  <c r="B48" i="105"/>
  <c r="Z47" i="105"/>
  <c r="X47" i="105"/>
  <c r="N47" i="105"/>
  <c r="L47" i="105"/>
  <c r="J47" i="105"/>
  <c r="B47" i="105"/>
  <c r="Z46" i="105"/>
  <c r="X46" i="105"/>
  <c r="N46" i="105"/>
  <c r="L46" i="105"/>
  <c r="B46" i="105"/>
  <c r="Z45" i="105"/>
  <c r="X45" i="105"/>
  <c r="L45" i="105"/>
  <c r="N45" i="105" s="1"/>
  <c r="J45" i="105"/>
  <c r="B45" i="105"/>
  <c r="X44" i="105"/>
  <c r="Z44" i="105" s="1"/>
  <c r="N44" i="105"/>
  <c r="L44" i="105"/>
  <c r="J44" i="105"/>
  <c r="B44" i="105"/>
  <c r="Z43" i="105"/>
  <c r="X43" i="105"/>
  <c r="N43" i="105"/>
  <c r="L43" i="105"/>
  <c r="J43" i="105"/>
  <c r="B43" i="105"/>
  <c r="Z42" i="105"/>
  <c r="X42" i="105"/>
  <c r="L42" i="105"/>
  <c r="N42" i="105" s="1"/>
  <c r="B42" i="105"/>
  <c r="Z41" i="105"/>
  <c r="X41" i="105"/>
  <c r="L41" i="105"/>
  <c r="N41" i="105" s="1"/>
  <c r="J41" i="105"/>
  <c r="B41" i="105"/>
  <c r="Z40" i="105"/>
  <c r="X40" i="105"/>
  <c r="N40" i="105"/>
  <c r="L40" i="105"/>
  <c r="J40" i="105"/>
  <c r="B40" i="105"/>
  <c r="Z39" i="105"/>
  <c r="X39" i="105"/>
  <c r="L39" i="105"/>
  <c r="N39" i="105" s="1"/>
  <c r="J39" i="105"/>
  <c r="B39" i="105"/>
  <c r="Z38" i="105"/>
  <c r="X38" i="105"/>
  <c r="N38" i="105"/>
  <c r="L38" i="105"/>
  <c r="B38" i="105"/>
  <c r="T37" i="105"/>
  <c r="P37" i="105"/>
  <c r="X37" i="105" s="1"/>
  <c r="J37" i="105"/>
  <c r="H37" i="105"/>
  <c r="D37" i="105"/>
  <c r="L37" i="105" s="1"/>
  <c r="N37" i="105" s="1"/>
  <c r="B37" i="105"/>
  <c r="X36" i="105"/>
  <c r="Z36" i="105" s="1"/>
  <c r="V36" i="105"/>
  <c r="L36" i="105"/>
  <c r="N36" i="105" s="1"/>
  <c r="B36" i="105"/>
  <c r="X35" i="105"/>
  <c r="Z35" i="105" s="1"/>
  <c r="L35" i="105"/>
  <c r="N35" i="105" s="1"/>
  <c r="B35" i="105"/>
  <c r="X34" i="105"/>
  <c r="Z34" i="105" s="1"/>
  <c r="L34" i="105"/>
  <c r="N34" i="105" s="1"/>
  <c r="B34" i="105"/>
  <c r="Z33" i="105"/>
  <c r="X33" i="105"/>
  <c r="N33" i="105"/>
  <c r="L33" i="105"/>
  <c r="B33" i="105"/>
  <c r="Z32" i="105"/>
  <c r="X32" i="105"/>
  <c r="V32" i="105"/>
  <c r="N32" i="105"/>
  <c r="L32" i="105"/>
  <c r="B32" i="105"/>
  <c r="X31" i="105"/>
  <c r="Z31" i="105" s="1"/>
  <c r="L31" i="105"/>
  <c r="N31" i="105" s="1"/>
  <c r="B31" i="105"/>
  <c r="X30" i="105"/>
  <c r="Z30" i="105" s="1"/>
  <c r="L30" i="105"/>
  <c r="N30" i="105" s="1"/>
  <c r="B30" i="105"/>
  <c r="X29" i="105"/>
  <c r="Z29" i="105" s="1"/>
  <c r="N29" i="105"/>
  <c r="L29" i="105"/>
  <c r="B29" i="105"/>
  <c r="X28" i="105"/>
  <c r="Z28" i="105" s="1"/>
  <c r="V28" i="105"/>
  <c r="L28" i="105"/>
  <c r="N28" i="105" s="1"/>
  <c r="B28" i="105"/>
  <c r="X27" i="105"/>
  <c r="Z27" i="105" s="1"/>
  <c r="V27" i="105"/>
  <c r="L27" i="105"/>
  <c r="N27" i="105" s="1"/>
  <c r="B27" i="105"/>
  <c r="T26" i="105"/>
  <c r="P26" i="105"/>
  <c r="X26" i="105" s="1"/>
  <c r="J26" i="105"/>
  <c r="H26" i="105"/>
  <c r="D26" i="105"/>
  <c r="L26" i="105" s="1"/>
  <c r="B26" i="105"/>
  <c r="T25" i="105"/>
  <c r="P25" i="105"/>
  <c r="X25" i="105" s="1"/>
  <c r="H25" i="105"/>
  <c r="D25" i="105"/>
  <c r="H23" i="105"/>
  <c r="Z21" i="105"/>
  <c r="X21" i="105"/>
  <c r="N21" i="105"/>
  <c r="L21" i="105"/>
  <c r="J21" i="105"/>
  <c r="B21" i="105"/>
  <c r="Z20" i="105"/>
  <c r="X20" i="105"/>
  <c r="N20" i="105"/>
  <c r="L20" i="105"/>
  <c r="J20" i="105"/>
  <c r="B20" i="105"/>
  <c r="X19" i="105"/>
  <c r="Z19" i="105" s="1"/>
  <c r="N19" i="105"/>
  <c r="L19" i="105"/>
  <c r="J19" i="105"/>
  <c r="B19" i="105"/>
  <c r="X18" i="105"/>
  <c r="Z18" i="105" s="1"/>
  <c r="T18" i="105"/>
  <c r="P18" i="105"/>
  <c r="L18" i="105"/>
  <c r="N18" i="105" s="1"/>
  <c r="H18" i="105"/>
  <c r="J18" i="105" s="1"/>
  <c r="D18" i="105"/>
  <c r="Z16" i="105"/>
  <c r="X16" i="105"/>
  <c r="P16" i="105"/>
  <c r="N16" i="105"/>
  <c r="L16" i="105"/>
  <c r="D16" i="105"/>
  <c r="B16" i="105"/>
  <c r="Z15" i="105"/>
  <c r="P15" i="105"/>
  <c r="X15" i="105" s="1"/>
  <c r="N15" i="105"/>
  <c r="D15" i="105"/>
  <c r="L15" i="105" s="1"/>
  <c r="B15" i="105"/>
  <c r="P14" i="105"/>
  <c r="D14" i="105"/>
  <c r="L14" i="105" s="1"/>
  <c r="N14" i="105" s="1"/>
  <c r="B14" i="105"/>
  <c r="Z13" i="105"/>
  <c r="P13" i="105"/>
  <c r="X13" i="105" s="1"/>
  <c r="N13" i="105"/>
  <c r="L13" i="105"/>
  <c r="D13" i="105"/>
  <c r="D12" i="105" s="1"/>
  <c r="F49" i="105" s="1"/>
  <c r="B13" i="105"/>
  <c r="T12" i="105"/>
  <c r="V73" i="105" s="1"/>
  <c r="H12" i="105"/>
  <c r="J73" i="105" s="1"/>
  <c r="D6" i="105"/>
  <c r="D4" i="105"/>
  <c r="V31" i="104"/>
  <c r="R31" i="104"/>
  <c r="F31" i="104"/>
  <c r="V28" i="104"/>
  <c r="R28" i="104"/>
  <c r="F28" i="104"/>
  <c r="Z26" i="104"/>
  <c r="X26" i="104"/>
  <c r="V26" i="104"/>
  <c r="N26" i="104"/>
  <c r="L26" i="104"/>
  <c r="V24" i="104"/>
  <c r="R24" i="104"/>
  <c r="J24" i="104"/>
  <c r="V22" i="104"/>
  <c r="T22" i="104"/>
  <c r="Z22" i="104" s="1"/>
  <c r="R22" i="104"/>
  <c r="P22" i="104"/>
  <c r="X22" i="104" s="1"/>
  <c r="J22" i="104"/>
  <c r="H22" i="104"/>
  <c r="N22" i="104" s="1"/>
  <c r="D22" i="104"/>
  <c r="Z20" i="104"/>
  <c r="X20" i="104"/>
  <c r="V20" i="104"/>
  <c r="R20" i="104"/>
  <c r="N20" i="104"/>
  <c r="L20" i="104"/>
  <c r="J20" i="104"/>
  <c r="B20" i="104"/>
  <c r="Z19" i="104"/>
  <c r="V19" i="104"/>
  <c r="T19" i="104"/>
  <c r="P19" i="104"/>
  <c r="X19" i="104" s="1"/>
  <c r="N19" i="104"/>
  <c r="J19" i="104"/>
  <c r="H19" i="104"/>
  <c r="D19" i="104"/>
  <c r="L19" i="104" s="1"/>
  <c r="B19" i="104"/>
  <c r="T18" i="104"/>
  <c r="Z18" i="104" s="1"/>
  <c r="R18" i="104"/>
  <c r="P18" i="104"/>
  <c r="X18" i="104" s="1"/>
  <c r="N18" i="104"/>
  <c r="J18" i="104"/>
  <c r="H18" i="104"/>
  <c r="F18" i="104"/>
  <c r="D18" i="104"/>
  <c r="L18" i="104" s="1"/>
  <c r="R16" i="104"/>
  <c r="J16" i="104"/>
  <c r="F16" i="104"/>
  <c r="Z14" i="104"/>
  <c r="T14" i="104"/>
  <c r="T16" i="104" s="1"/>
  <c r="Z16" i="104" s="1"/>
  <c r="R14" i="104"/>
  <c r="P14" i="104"/>
  <c r="X14" i="104" s="1"/>
  <c r="N14" i="104"/>
  <c r="J14" i="104"/>
  <c r="H14" i="104"/>
  <c r="F14" i="104"/>
  <c r="D14" i="104"/>
  <c r="L14" i="104" s="1"/>
  <c r="Z12" i="104"/>
  <c r="X12" i="104"/>
  <c r="T12" i="104"/>
  <c r="V18" i="104" s="1"/>
  <c r="P12" i="104"/>
  <c r="R19" i="104" s="1"/>
  <c r="N12" i="104"/>
  <c r="L12" i="104"/>
  <c r="H12" i="104"/>
  <c r="J26" i="104" s="1"/>
  <c r="D12" i="104"/>
  <c r="F24" i="104" s="1"/>
  <c r="D6" i="104"/>
  <c r="D4" i="104"/>
  <c r="X93" i="103"/>
  <c r="Z93" i="103" s="1"/>
  <c r="L93" i="103"/>
  <c r="N93" i="103" s="1"/>
  <c r="Z89" i="103"/>
  <c r="T89" i="103"/>
  <c r="P89" i="103"/>
  <c r="X89" i="103" s="1"/>
  <c r="H89" i="103"/>
  <c r="N89" i="103" s="1"/>
  <c r="D89" i="103"/>
  <c r="L89" i="103" s="1"/>
  <c r="X87" i="103"/>
  <c r="Z87" i="103" s="1"/>
  <c r="L87" i="103"/>
  <c r="N87" i="103" s="1"/>
  <c r="B87" i="103"/>
  <c r="T86" i="103"/>
  <c r="Z86" i="103" s="1"/>
  <c r="P86" i="103"/>
  <c r="X86" i="103" s="1"/>
  <c r="L86" i="103"/>
  <c r="H86" i="103"/>
  <c r="N86" i="103" s="1"/>
  <c r="D86" i="103"/>
  <c r="B86" i="103"/>
  <c r="X85" i="103"/>
  <c r="Z85" i="103" s="1"/>
  <c r="N85" i="103"/>
  <c r="L85" i="103"/>
  <c r="B85" i="103"/>
  <c r="T84" i="103"/>
  <c r="Z84" i="103" s="1"/>
  <c r="P84" i="103"/>
  <c r="X84" i="103" s="1"/>
  <c r="L84" i="103"/>
  <c r="H84" i="103"/>
  <c r="D84" i="103"/>
  <c r="B84" i="103"/>
  <c r="X83" i="103"/>
  <c r="Z83" i="103" s="1"/>
  <c r="L83" i="103"/>
  <c r="N83" i="103" s="1"/>
  <c r="B83" i="103"/>
  <c r="Z82" i="103"/>
  <c r="X82" i="103"/>
  <c r="L82" i="103"/>
  <c r="N82" i="103" s="1"/>
  <c r="B82" i="103"/>
  <c r="Z81" i="103"/>
  <c r="X81" i="103"/>
  <c r="L81" i="103"/>
  <c r="N81" i="103" s="1"/>
  <c r="B81" i="103"/>
  <c r="Z80" i="103"/>
  <c r="X80" i="103"/>
  <c r="L80" i="103"/>
  <c r="N80" i="103" s="1"/>
  <c r="B80" i="103"/>
  <c r="X79" i="103"/>
  <c r="Z79" i="103" s="1"/>
  <c r="L79" i="103"/>
  <c r="N79" i="103" s="1"/>
  <c r="B79" i="103"/>
  <c r="Z78" i="103"/>
  <c r="X78" i="103"/>
  <c r="L78" i="103"/>
  <c r="N78" i="103" s="1"/>
  <c r="B78" i="103"/>
  <c r="Z77" i="103"/>
  <c r="X77" i="103"/>
  <c r="L77" i="103"/>
  <c r="N77" i="103" s="1"/>
  <c r="B77" i="103"/>
  <c r="Z76" i="103"/>
  <c r="X76" i="103"/>
  <c r="L76" i="103"/>
  <c r="N76" i="103" s="1"/>
  <c r="B76" i="103"/>
  <c r="V75" i="103"/>
  <c r="T75" i="103"/>
  <c r="P75" i="103"/>
  <c r="X75" i="103" s="1"/>
  <c r="H75" i="103"/>
  <c r="D75" i="103"/>
  <c r="L75" i="103" s="1"/>
  <c r="N75" i="103" s="1"/>
  <c r="B75" i="103"/>
  <c r="X74" i="103"/>
  <c r="Z74" i="103" s="1"/>
  <c r="L74" i="103"/>
  <c r="N74" i="103" s="1"/>
  <c r="B74" i="103"/>
  <c r="X73" i="103"/>
  <c r="Z73" i="103" s="1"/>
  <c r="L73" i="103"/>
  <c r="N73" i="103" s="1"/>
  <c r="B73" i="103"/>
  <c r="X72" i="103"/>
  <c r="Z72" i="103" s="1"/>
  <c r="N72" i="103"/>
  <c r="L72" i="103"/>
  <c r="B72" i="103"/>
  <c r="X71" i="103"/>
  <c r="Z71" i="103" s="1"/>
  <c r="V71" i="103"/>
  <c r="L71" i="103"/>
  <c r="N71" i="103" s="1"/>
  <c r="B71" i="103"/>
  <c r="X70" i="103"/>
  <c r="T70" i="103"/>
  <c r="Z70" i="103" s="1"/>
  <c r="P70" i="103"/>
  <c r="L70" i="103"/>
  <c r="H70" i="103"/>
  <c r="N70" i="103" s="1"/>
  <c r="D70" i="103"/>
  <c r="B70" i="103"/>
  <c r="X69" i="103"/>
  <c r="Z69" i="103" s="1"/>
  <c r="N69" i="103"/>
  <c r="L69" i="103"/>
  <c r="B69" i="103"/>
  <c r="Z68" i="103"/>
  <c r="X68" i="103"/>
  <c r="N68" i="103"/>
  <c r="L68" i="103"/>
  <c r="B68" i="103"/>
  <c r="X67" i="103"/>
  <c r="Z67" i="103" s="1"/>
  <c r="L67" i="103"/>
  <c r="N67" i="103" s="1"/>
  <c r="B67" i="103"/>
  <c r="X66" i="103"/>
  <c r="T66" i="103"/>
  <c r="P66" i="103"/>
  <c r="H66" i="103"/>
  <c r="D66" i="103"/>
  <c r="B66" i="103"/>
  <c r="Z65" i="103"/>
  <c r="X65" i="103"/>
  <c r="L65" i="103"/>
  <c r="N65" i="103" s="1"/>
  <c r="B65" i="103"/>
  <c r="T64" i="103"/>
  <c r="Z64" i="103" s="1"/>
  <c r="P64" i="103"/>
  <c r="X64" i="103" s="1"/>
  <c r="N64" i="103"/>
  <c r="H64" i="103"/>
  <c r="D64" i="103"/>
  <c r="L64" i="103" s="1"/>
  <c r="B64" i="103"/>
  <c r="X63" i="103"/>
  <c r="Z63" i="103" s="1"/>
  <c r="L63" i="103"/>
  <c r="N63" i="103" s="1"/>
  <c r="B63" i="103"/>
  <c r="T62" i="103"/>
  <c r="P62" i="103"/>
  <c r="X62" i="103" s="1"/>
  <c r="L62" i="103"/>
  <c r="H62" i="103"/>
  <c r="N62" i="103" s="1"/>
  <c r="D62" i="103"/>
  <c r="B62" i="103"/>
  <c r="X61" i="103"/>
  <c r="Z61" i="103" s="1"/>
  <c r="N61" i="103"/>
  <c r="L61" i="103"/>
  <c r="B61" i="103"/>
  <c r="T60" i="103"/>
  <c r="P60" i="103"/>
  <c r="L60" i="103"/>
  <c r="H60" i="103"/>
  <c r="D60" i="103"/>
  <c r="B60" i="103"/>
  <c r="X59" i="103"/>
  <c r="Z59" i="103" s="1"/>
  <c r="L59" i="103"/>
  <c r="N59" i="103" s="1"/>
  <c r="B59" i="103"/>
  <c r="V58" i="103"/>
  <c r="T58" i="103"/>
  <c r="P58" i="103"/>
  <c r="X58" i="103" s="1"/>
  <c r="Z58" i="103" s="1"/>
  <c r="H58" i="103"/>
  <c r="D58" i="103"/>
  <c r="B58" i="103"/>
  <c r="X57" i="103"/>
  <c r="Z57" i="103" s="1"/>
  <c r="L57" i="103"/>
  <c r="N57" i="103" s="1"/>
  <c r="B57" i="103"/>
  <c r="X56" i="103"/>
  <c r="V56" i="103"/>
  <c r="T56" i="103"/>
  <c r="Z56" i="103" s="1"/>
  <c r="P56" i="103"/>
  <c r="L56" i="103"/>
  <c r="H56" i="103"/>
  <c r="N56" i="103" s="1"/>
  <c r="D56" i="103"/>
  <c r="B56" i="103"/>
  <c r="Z55" i="103"/>
  <c r="X55" i="103"/>
  <c r="N55" i="103"/>
  <c r="L55" i="103"/>
  <c r="B55" i="103"/>
  <c r="T54" i="103"/>
  <c r="Z54" i="103" s="1"/>
  <c r="P54" i="103"/>
  <c r="N54" i="103"/>
  <c r="H54" i="103"/>
  <c r="D54" i="103"/>
  <c r="L54" i="103" s="1"/>
  <c r="B54" i="103"/>
  <c r="Z53" i="103"/>
  <c r="X53" i="103"/>
  <c r="V53" i="103"/>
  <c r="L53" i="103"/>
  <c r="N53" i="103" s="1"/>
  <c r="B53" i="103"/>
  <c r="T52" i="103"/>
  <c r="P52" i="103"/>
  <c r="J52" i="103"/>
  <c r="H52" i="103"/>
  <c r="D52" i="103"/>
  <c r="L52" i="103" s="1"/>
  <c r="N52" i="103" s="1"/>
  <c r="B52" i="103"/>
  <c r="X51" i="103"/>
  <c r="Z51" i="103" s="1"/>
  <c r="N51" i="103"/>
  <c r="L51" i="103"/>
  <c r="B51" i="103"/>
  <c r="T50" i="103"/>
  <c r="P50" i="103"/>
  <c r="X50" i="103" s="1"/>
  <c r="L50" i="103"/>
  <c r="H50" i="103"/>
  <c r="D50" i="103"/>
  <c r="B50" i="103"/>
  <c r="Z49" i="103"/>
  <c r="X49" i="103"/>
  <c r="N49" i="103"/>
  <c r="L49" i="103"/>
  <c r="B49" i="103"/>
  <c r="T48" i="103"/>
  <c r="P48" i="103"/>
  <c r="N48" i="103"/>
  <c r="L48" i="103"/>
  <c r="H48" i="103"/>
  <c r="D48" i="103"/>
  <c r="B48" i="103"/>
  <c r="Z47" i="103"/>
  <c r="X47" i="103"/>
  <c r="N47" i="103"/>
  <c r="L47" i="103"/>
  <c r="B47" i="103"/>
  <c r="Z46" i="103"/>
  <c r="X46" i="103"/>
  <c r="N46" i="103"/>
  <c r="L46" i="103"/>
  <c r="B46" i="103"/>
  <c r="Z45" i="103"/>
  <c r="X45" i="103"/>
  <c r="V45" i="103"/>
  <c r="L45" i="103"/>
  <c r="N45" i="103" s="1"/>
  <c r="B45" i="103"/>
  <c r="Z44" i="103"/>
  <c r="X44" i="103"/>
  <c r="V44" i="103"/>
  <c r="N44" i="103"/>
  <c r="L44" i="103"/>
  <c r="B44" i="103"/>
  <c r="Z43" i="103"/>
  <c r="X43" i="103"/>
  <c r="N43" i="103"/>
  <c r="L43" i="103"/>
  <c r="B43" i="103"/>
  <c r="Z42" i="103"/>
  <c r="X42" i="103"/>
  <c r="V42" i="103"/>
  <c r="N42" i="103"/>
  <c r="L42" i="103"/>
  <c r="J42" i="103"/>
  <c r="B42" i="103"/>
  <c r="Z41" i="103"/>
  <c r="X41" i="103"/>
  <c r="L41" i="103"/>
  <c r="N41" i="103" s="1"/>
  <c r="B41" i="103"/>
  <c r="Z40" i="103"/>
  <c r="X40" i="103"/>
  <c r="V40" i="103"/>
  <c r="N40" i="103"/>
  <c r="L40" i="103"/>
  <c r="B40" i="103"/>
  <c r="Z39" i="103"/>
  <c r="X39" i="103"/>
  <c r="V39" i="103"/>
  <c r="L39" i="103"/>
  <c r="N39" i="103" s="1"/>
  <c r="B39" i="103"/>
  <c r="Z38" i="103"/>
  <c r="X38" i="103"/>
  <c r="N38" i="103"/>
  <c r="L38" i="103"/>
  <c r="B38" i="103"/>
  <c r="Z37" i="103"/>
  <c r="T37" i="103"/>
  <c r="P37" i="103"/>
  <c r="X37" i="103" s="1"/>
  <c r="H37" i="103"/>
  <c r="D37" i="103"/>
  <c r="L37" i="103" s="1"/>
  <c r="N37" i="103" s="1"/>
  <c r="B37" i="103"/>
  <c r="X36" i="103"/>
  <c r="Z36" i="103" s="1"/>
  <c r="V36" i="103"/>
  <c r="L36" i="103"/>
  <c r="N36" i="103" s="1"/>
  <c r="B36" i="103"/>
  <c r="Z35" i="103"/>
  <c r="X35" i="103"/>
  <c r="N35" i="103"/>
  <c r="L35" i="103"/>
  <c r="B35" i="103"/>
  <c r="X34" i="103"/>
  <c r="Z34" i="103" s="1"/>
  <c r="V34" i="103"/>
  <c r="L34" i="103"/>
  <c r="N34" i="103" s="1"/>
  <c r="B34" i="103"/>
  <c r="Z33" i="103"/>
  <c r="X33" i="103"/>
  <c r="V33" i="103"/>
  <c r="N33" i="103"/>
  <c r="L33" i="103"/>
  <c r="B33" i="103"/>
  <c r="Z32" i="103"/>
  <c r="X32" i="103"/>
  <c r="V32" i="103"/>
  <c r="N32" i="103"/>
  <c r="L32" i="103"/>
  <c r="B32" i="103"/>
  <c r="Z31" i="103"/>
  <c r="X31" i="103"/>
  <c r="V31" i="103"/>
  <c r="L31" i="103"/>
  <c r="N31" i="103" s="1"/>
  <c r="B31" i="103"/>
  <c r="X30" i="103"/>
  <c r="Z30" i="103" s="1"/>
  <c r="V30" i="103"/>
  <c r="L30" i="103"/>
  <c r="N30" i="103" s="1"/>
  <c r="B30" i="103"/>
  <c r="Z29" i="103"/>
  <c r="X29" i="103"/>
  <c r="V29" i="103"/>
  <c r="L29" i="103"/>
  <c r="N29" i="103" s="1"/>
  <c r="B29" i="103"/>
  <c r="Z28" i="103"/>
  <c r="X28" i="103"/>
  <c r="V28" i="103"/>
  <c r="L28" i="103"/>
  <c r="N28" i="103" s="1"/>
  <c r="B28" i="103"/>
  <c r="Z27" i="103"/>
  <c r="X27" i="103"/>
  <c r="V27" i="103"/>
  <c r="L27" i="103"/>
  <c r="N27" i="103" s="1"/>
  <c r="B27" i="103"/>
  <c r="V26" i="103"/>
  <c r="T26" i="103"/>
  <c r="Z26" i="103" s="1"/>
  <c r="P26" i="103"/>
  <c r="X26" i="103" s="1"/>
  <c r="H26" i="103"/>
  <c r="D26" i="103"/>
  <c r="L26" i="103" s="1"/>
  <c r="B26" i="103"/>
  <c r="T25" i="103"/>
  <c r="P25" i="103"/>
  <c r="H25" i="103"/>
  <c r="D25" i="103"/>
  <c r="L25" i="103" s="1"/>
  <c r="T23" i="103"/>
  <c r="T91" i="103" s="1"/>
  <c r="Z21" i="103"/>
  <c r="X21" i="103"/>
  <c r="V21" i="103"/>
  <c r="N21" i="103"/>
  <c r="L21" i="103"/>
  <c r="B21" i="103"/>
  <c r="Z20" i="103"/>
  <c r="X20" i="103"/>
  <c r="V20" i="103"/>
  <c r="N20" i="103"/>
  <c r="L20" i="103"/>
  <c r="B20" i="103"/>
  <c r="X19" i="103"/>
  <c r="Z19" i="103" s="1"/>
  <c r="N19" i="103"/>
  <c r="L19" i="103"/>
  <c r="B19" i="103"/>
  <c r="X18" i="103"/>
  <c r="Z18" i="103" s="1"/>
  <c r="V18" i="103"/>
  <c r="T18" i="103"/>
  <c r="P18" i="103"/>
  <c r="L18" i="103"/>
  <c r="H18" i="103"/>
  <c r="D18" i="103"/>
  <c r="Z16" i="103"/>
  <c r="X16" i="103"/>
  <c r="P16" i="103"/>
  <c r="N16" i="103"/>
  <c r="L16" i="103"/>
  <c r="D16" i="103"/>
  <c r="B16" i="103"/>
  <c r="Z15" i="103"/>
  <c r="P15" i="103"/>
  <c r="X15" i="103" s="1"/>
  <c r="N15" i="103"/>
  <c r="L15" i="103"/>
  <c r="D15" i="103"/>
  <c r="B15" i="103"/>
  <c r="P14" i="103"/>
  <c r="X14" i="103" s="1"/>
  <c r="Z14" i="103" s="1"/>
  <c r="D14" i="103"/>
  <c r="B14" i="103"/>
  <c r="Z13" i="103"/>
  <c r="X13" i="103"/>
  <c r="P13" i="103"/>
  <c r="N13" i="103"/>
  <c r="L13" i="103"/>
  <c r="D13" i="103"/>
  <c r="B13" i="103"/>
  <c r="T12" i="103"/>
  <c r="V46" i="103" s="1"/>
  <c r="P12" i="103"/>
  <c r="H12" i="103"/>
  <c r="J75" i="103" s="1"/>
  <c r="D6" i="103"/>
  <c r="D4" i="103"/>
  <c r="Z60" i="102"/>
  <c r="X60" i="102"/>
  <c r="N60" i="102"/>
  <c r="L60" i="102"/>
  <c r="V58" i="102"/>
  <c r="V56" i="102"/>
  <c r="T56" i="102"/>
  <c r="Z56" i="102" s="1"/>
  <c r="P56" i="102"/>
  <c r="H56" i="102"/>
  <c r="N56" i="102" s="1"/>
  <c r="D56" i="102"/>
  <c r="Z54" i="102"/>
  <c r="X54" i="102"/>
  <c r="V54" i="102"/>
  <c r="R54" i="102"/>
  <c r="N54" i="102"/>
  <c r="L54" i="102"/>
  <c r="B54" i="102"/>
  <c r="Z53" i="102"/>
  <c r="T53" i="102"/>
  <c r="P53" i="102"/>
  <c r="X53" i="102" s="1"/>
  <c r="H53" i="102"/>
  <c r="L53" i="102" s="1"/>
  <c r="N53" i="102" s="1"/>
  <c r="D53" i="102"/>
  <c r="B53" i="102"/>
  <c r="Z52" i="102"/>
  <c r="X52" i="102"/>
  <c r="V52" i="102"/>
  <c r="L52" i="102"/>
  <c r="N52" i="102" s="1"/>
  <c r="B52" i="102"/>
  <c r="V51" i="102"/>
  <c r="T51" i="102"/>
  <c r="Z51" i="102" s="1"/>
  <c r="P51" i="102"/>
  <c r="X51" i="102" s="1"/>
  <c r="L51" i="102"/>
  <c r="N51" i="102" s="1"/>
  <c r="H51" i="102"/>
  <c r="D51" i="102"/>
  <c r="B51" i="102"/>
  <c r="X50" i="102"/>
  <c r="Z50" i="102" s="1"/>
  <c r="N50" i="102"/>
  <c r="L50" i="102"/>
  <c r="B50" i="102"/>
  <c r="X49" i="102"/>
  <c r="Z49" i="102" s="1"/>
  <c r="N49" i="102"/>
  <c r="L49" i="102"/>
  <c r="B49" i="102"/>
  <c r="X48" i="102"/>
  <c r="Z48" i="102" s="1"/>
  <c r="T48" i="102"/>
  <c r="P48" i="102"/>
  <c r="L48" i="102"/>
  <c r="H48" i="102"/>
  <c r="D48" i="102"/>
  <c r="B48" i="102"/>
  <c r="Z47" i="102"/>
  <c r="X47" i="102"/>
  <c r="L47" i="102"/>
  <c r="N47" i="102" s="1"/>
  <c r="J47" i="102"/>
  <c r="B47" i="102"/>
  <c r="X46" i="102"/>
  <c r="Z46" i="102" s="1"/>
  <c r="V46" i="102"/>
  <c r="R46" i="102"/>
  <c r="N46" i="102"/>
  <c r="L46" i="102"/>
  <c r="B46" i="102"/>
  <c r="Z45" i="102"/>
  <c r="X45" i="102"/>
  <c r="L45" i="102"/>
  <c r="N45" i="102" s="1"/>
  <c r="B45" i="102"/>
  <c r="T44" i="102"/>
  <c r="P44" i="102"/>
  <c r="H44" i="102"/>
  <c r="D44" i="102"/>
  <c r="B44" i="102"/>
  <c r="Z43" i="102"/>
  <c r="X43" i="102"/>
  <c r="V43" i="102"/>
  <c r="N43" i="102"/>
  <c r="L43" i="102"/>
  <c r="B43" i="102"/>
  <c r="Z42" i="102"/>
  <c r="V42" i="102"/>
  <c r="T42" i="102"/>
  <c r="P42" i="102"/>
  <c r="X42" i="102" s="1"/>
  <c r="H42" i="102"/>
  <c r="N42" i="102" s="1"/>
  <c r="D42" i="102"/>
  <c r="L42" i="102" s="1"/>
  <c r="B42" i="102"/>
  <c r="Z41" i="102"/>
  <c r="X41" i="102"/>
  <c r="N41" i="102"/>
  <c r="L41" i="102"/>
  <c r="B41" i="102"/>
  <c r="Z40" i="102"/>
  <c r="X40" i="102"/>
  <c r="T40" i="102"/>
  <c r="R40" i="102"/>
  <c r="P40" i="102"/>
  <c r="L40" i="102"/>
  <c r="H40" i="102"/>
  <c r="N40" i="102" s="1"/>
  <c r="D40" i="102"/>
  <c r="B40" i="102"/>
  <c r="Z39" i="102"/>
  <c r="X39" i="102"/>
  <c r="R39" i="102"/>
  <c r="N39" i="102"/>
  <c r="L39" i="102"/>
  <c r="J39" i="102"/>
  <c r="B39" i="102"/>
  <c r="Z38" i="102"/>
  <c r="X38" i="102"/>
  <c r="V38" i="102"/>
  <c r="R38" i="102"/>
  <c r="N38" i="102"/>
  <c r="L38" i="102"/>
  <c r="B38" i="102"/>
  <c r="Z37" i="102"/>
  <c r="X37" i="102"/>
  <c r="N37" i="102"/>
  <c r="L37" i="102"/>
  <c r="B37" i="102"/>
  <c r="Z36" i="102"/>
  <c r="X36" i="102"/>
  <c r="R36" i="102"/>
  <c r="N36" i="102"/>
  <c r="L36" i="102"/>
  <c r="B36" i="102"/>
  <c r="Z35" i="102"/>
  <c r="X35" i="102"/>
  <c r="R35" i="102"/>
  <c r="N35" i="102"/>
  <c r="L35" i="102"/>
  <c r="J35" i="102"/>
  <c r="B35" i="102"/>
  <c r="Z34" i="102"/>
  <c r="X34" i="102"/>
  <c r="V34" i="102"/>
  <c r="R34" i="102"/>
  <c r="N34" i="102"/>
  <c r="L34" i="102"/>
  <c r="B34" i="102"/>
  <c r="Z33" i="102"/>
  <c r="X33" i="102"/>
  <c r="N33" i="102"/>
  <c r="L33" i="102"/>
  <c r="B33" i="102"/>
  <c r="Z32" i="102"/>
  <c r="X32" i="102"/>
  <c r="R32" i="102"/>
  <c r="N32" i="102"/>
  <c r="L32" i="102"/>
  <c r="B32" i="102"/>
  <c r="Z31" i="102"/>
  <c r="X31" i="102"/>
  <c r="R31" i="102"/>
  <c r="L31" i="102"/>
  <c r="N31" i="102" s="1"/>
  <c r="J31" i="102"/>
  <c r="B31" i="102"/>
  <c r="Z30" i="102"/>
  <c r="X30" i="102"/>
  <c r="V30" i="102"/>
  <c r="R30" i="102"/>
  <c r="N30" i="102"/>
  <c r="L30" i="102"/>
  <c r="B30" i="102"/>
  <c r="T29" i="102"/>
  <c r="R29" i="102"/>
  <c r="P29" i="102"/>
  <c r="X29" i="102" s="1"/>
  <c r="Z29" i="102" s="1"/>
  <c r="H29" i="102"/>
  <c r="L29" i="102" s="1"/>
  <c r="N29" i="102" s="1"/>
  <c r="D29" i="102"/>
  <c r="B29" i="102"/>
  <c r="Z28" i="102"/>
  <c r="X28" i="102"/>
  <c r="V28" i="102"/>
  <c r="R28" i="102"/>
  <c r="N28" i="102"/>
  <c r="L28" i="102"/>
  <c r="B28" i="102"/>
  <c r="X27" i="102"/>
  <c r="Z27" i="102" s="1"/>
  <c r="V27" i="102"/>
  <c r="L27" i="102"/>
  <c r="N27" i="102" s="1"/>
  <c r="B27" i="102"/>
  <c r="Z26" i="102"/>
  <c r="X26" i="102"/>
  <c r="V26" i="102"/>
  <c r="L26" i="102"/>
  <c r="N26" i="102" s="1"/>
  <c r="B26" i="102"/>
  <c r="Z25" i="102"/>
  <c r="X25" i="102"/>
  <c r="V25" i="102"/>
  <c r="N25" i="102"/>
  <c r="L25" i="102"/>
  <c r="B25" i="102"/>
  <c r="X24" i="102"/>
  <c r="Z24" i="102" s="1"/>
  <c r="V24" i="102"/>
  <c r="R24" i="102"/>
  <c r="N24" i="102"/>
  <c r="L24" i="102"/>
  <c r="B24" i="102"/>
  <c r="X23" i="102"/>
  <c r="Z23" i="102" s="1"/>
  <c r="V23" i="102"/>
  <c r="L23" i="102"/>
  <c r="N23" i="102" s="1"/>
  <c r="B23" i="102"/>
  <c r="Z22" i="102"/>
  <c r="X22" i="102"/>
  <c r="V22" i="102"/>
  <c r="L22" i="102"/>
  <c r="N22" i="102" s="1"/>
  <c r="B22" i="102"/>
  <c r="X21" i="102"/>
  <c r="Z21" i="102" s="1"/>
  <c r="V21" i="102"/>
  <c r="L21" i="102"/>
  <c r="N21" i="102" s="1"/>
  <c r="B21" i="102"/>
  <c r="X20" i="102"/>
  <c r="Z20" i="102" s="1"/>
  <c r="V20" i="102"/>
  <c r="R20" i="102"/>
  <c r="N20" i="102"/>
  <c r="L20" i="102"/>
  <c r="B20" i="102"/>
  <c r="V19" i="102"/>
  <c r="T19" i="102"/>
  <c r="P19" i="102"/>
  <c r="X19" i="102" s="1"/>
  <c r="L19" i="102"/>
  <c r="N19" i="102" s="1"/>
  <c r="H19" i="102"/>
  <c r="D19" i="102"/>
  <c r="B19" i="102"/>
  <c r="T18" i="102"/>
  <c r="R18" i="102"/>
  <c r="P18" i="102"/>
  <c r="H18" i="102"/>
  <c r="L18" i="102" s="1"/>
  <c r="D18" i="102"/>
  <c r="R16" i="102"/>
  <c r="X14" i="102"/>
  <c r="T14" i="102"/>
  <c r="T16" i="102" s="1"/>
  <c r="R14" i="102"/>
  <c r="P14" i="102"/>
  <c r="P16" i="102" s="1"/>
  <c r="N14" i="102"/>
  <c r="L14" i="102"/>
  <c r="H14" i="102"/>
  <c r="D14" i="102"/>
  <c r="Z12" i="102"/>
  <c r="X12" i="102"/>
  <c r="T12" i="102"/>
  <c r="V53" i="102" s="1"/>
  <c r="P12" i="102"/>
  <c r="R51" i="102" s="1"/>
  <c r="H12" i="102"/>
  <c r="J49" i="102" s="1"/>
  <c r="D12" i="102"/>
  <c r="F60" i="102" s="1"/>
  <c r="D6" i="102"/>
  <c r="D4" i="102"/>
  <c r="J46" i="101"/>
  <c r="J43" i="101"/>
  <c r="Z41" i="101"/>
  <c r="X41" i="101"/>
  <c r="N41" i="101"/>
  <c r="L41" i="101"/>
  <c r="Z37" i="101"/>
  <c r="X37" i="101"/>
  <c r="T37" i="101"/>
  <c r="P37" i="101"/>
  <c r="L37" i="101"/>
  <c r="H37" i="101"/>
  <c r="N37" i="101" s="1"/>
  <c r="D37" i="101"/>
  <c r="Z35" i="101"/>
  <c r="X35" i="101"/>
  <c r="N35" i="101"/>
  <c r="L35" i="101"/>
  <c r="F35" i="101"/>
  <c r="B35" i="101"/>
  <c r="T34" i="101"/>
  <c r="P34" i="101"/>
  <c r="N34" i="101"/>
  <c r="L34" i="101"/>
  <c r="H34" i="101"/>
  <c r="F34" i="101"/>
  <c r="D34" i="101"/>
  <c r="B34" i="101"/>
  <c r="Z33" i="101"/>
  <c r="X33" i="101"/>
  <c r="N33" i="101"/>
  <c r="L33" i="101"/>
  <c r="J33" i="101"/>
  <c r="B33" i="101"/>
  <c r="Z32" i="101"/>
  <c r="X32" i="101"/>
  <c r="N32" i="101"/>
  <c r="L32" i="101"/>
  <c r="J32" i="101"/>
  <c r="B32" i="101"/>
  <c r="T31" i="101"/>
  <c r="Z31" i="101" s="1"/>
  <c r="P31" i="101"/>
  <c r="X31" i="101" s="1"/>
  <c r="J31" i="101"/>
  <c r="H31" i="101"/>
  <c r="N31" i="101" s="1"/>
  <c r="D31" i="101"/>
  <c r="B31" i="101"/>
  <c r="Z30" i="101"/>
  <c r="X30" i="101"/>
  <c r="N30" i="101"/>
  <c r="L30" i="101"/>
  <c r="J30" i="101"/>
  <c r="F30" i="101"/>
  <c r="B30" i="101"/>
  <c r="Z29" i="101"/>
  <c r="T29" i="101"/>
  <c r="P29" i="101"/>
  <c r="X29" i="101" s="1"/>
  <c r="J29" i="101"/>
  <c r="H29" i="101"/>
  <c r="N29" i="101" s="1"/>
  <c r="F29" i="101"/>
  <c r="D29" i="101"/>
  <c r="L29" i="101" s="1"/>
  <c r="B29" i="101"/>
  <c r="X28" i="101"/>
  <c r="Z28" i="101" s="1"/>
  <c r="N28" i="101"/>
  <c r="L28" i="101"/>
  <c r="B28" i="101"/>
  <c r="X27" i="101"/>
  <c r="Z27" i="101" s="1"/>
  <c r="T27" i="101"/>
  <c r="P27" i="101"/>
  <c r="L27" i="101"/>
  <c r="H27" i="101"/>
  <c r="D27" i="101"/>
  <c r="B27" i="101"/>
  <c r="Z26" i="101"/>
  <c r="X26" i="101"/>
  <c r="N26" i="101"/>
  <c r="L26" i="101"/>
  <c r="J26" i="101"/>
  <c r="B26" i="101"/>
  <c r="V25" i="101"/>
  <c r="T25" i="101"/>
  <c r="P25" i="101"/>
  <c r="H25" i="101"/>
  <c r="N25" i="101" s="1"/>
  <c r="D25" i="101"/>
  <c r="L25" i="101" s="1"/>
  <c r="B25" i="101"/>
  <c r="Z24" i="101"/>
  <c r="X24" i="101"/>
  <c r="N24" i="101"/>
  <c r="L24" i="101"/>
  <c r="B24" i="101"/>
  <c r="Z23" i="101"/>
  <c r="X23" i="101"/>
  <c r="R23" i="101"/>
  <c r="N23" i="101"/>
  <c r="L23" i="101"/>
  <c r="B23" i="101"/>
  <c r="Z22" i="101"/>
  <c r="X22" i="101"/>
  <c r="N22" i="101"/>
  <c r="L22" i="101"/>
  <c r="J22" i="101"/>
  <c r="F22" i="101"/>
  <c r="B22" i="101"/>
  <c r="Z21" i="101"/>
  <c r="X21" i="101"/>
  <c r="N21" i="101"/>
  <c r="L21" i="101"/>
  <c r="B21" i="101"/>
  <c r="Z20" i="101"/>
  <c r="X20" i="101"/>
  <c r="N20" i="101"/>
  <c r="L20" i="101"/>
  <c r="B20" i="101"/>
  <c r="T19" i="101"/>
  <c r="Z19" i="101" s="1"/>
  <c r="R19" i="101"/>
  <c r="P19" i="101"/>
  <c r="X19" i="101" s="1"/>
  <c r="N19" i="101"/>
  <c r="J19" i="101"/>
  <c r="H19" i="101"/>
  <c r="D19" i="101"/>
  <c r="L19" i="101" s="1"/>
  <c r="B19" i="101"/>
  <c r="T18" i="101"/>
  <c r="R18" i="101"/>
  <c r="P18" i="101"/>
  <c r="H18" i="101"/>
  <c r="F18" i="101"/>
  <c r="D18" i="101"/>
  <c r="L18" i="101" s="1"/>
  <c r="N18" i="101" s="1"/>
  <c r="F16" i="101"/>
  <c r="T14" i="101"/>
  <c r="R14" i="101"/>
  <c r="P14" i="101"/>
  <c r="N14" i="101"/>
  <c r="L14" i="101"/>
  <c r="H14" i="101"/>
  <c r="F14" i="101"/>
  <c r="D14" i="101"/>
  <c r="T12" i="101"/>
  <c r="V24" i="101" s="1"/>
  <c r="P12" i="101"/>
  <c r="N12" i="101"/>
  <c r="H12" i="101"/>
  <c r="J28" i="101" s="1"/>
  <c r="D12" i="101"/>
  <c r="F21" i="101" s="1"/>
  <c r="D6" i="101"/>
  <c r="D4" i="101"/>
  <c r="Z32" i="100"/>
  <c r="X32" i="100"/>
  <c r="N32" i="100"/>
  <c r="L32" i="100"/>
  <c r="F30" i="100"/>
  <c r="X28" i="100"/>
  <c r="T28" i="100"/>
  <c r="Z28" i="100" s="1"/>
  <c r="P28" i="100"/>
  <c r="H28" i="100"/>
  <c r="F28" i="100"/>
  <c r="D28" i="100"/>
  <c r="Z26" i="100"/>
  <c r="X26" i="100"/>
  <c r="N26" i="100"/>
  <c r="L26" i="100"/>
  <c r="F26" i="100"/>
  <c r="B26" i="100"/>
  <c r="Z25" i="100"/>
  <c r="X25" i="100"/>
  <c r="T25" i="100"/>
  <c r="P25" i="100"/>
  <c r="N25" i="100"/>
  <c r="L25" i="100"/>
  <c r="H25" i="100"/>
  <c r="F25" i="100"/>
  <c r="D25" i="100"/>
  <c r="B25" i="100"/>
  <c r="Z24" i="100"/>
  <c r="X24" i="100"/>
  <c r="N24" i="100"/>
  <c r="L24" i="100"/>
  <c r="J24" i="100"/>
  <c r="B24" i="100"/>
  <c r="X23" i="100"/>
  <c r="V23" i="100"/>
  <c r="T23" i="100"/>
  <c r="Z23" i="100" s="1"/>
  <c r="P23" i="100"/>
  <c r="N23" i="100"/>
  <c r="H23" i="100"/>
  <c r="D23" i="100"/>
  <c r="L23" i="100" s="1"/>
  <c r="B23" i="100"/>
  <c r="Z22" i="100"/>
  <c r="X22" i="100"/>
  <c r="V22" i="100"/>
  <c r="N22" i="100"/>
  <c r="L22" i="100"/>
  <c r="B22" i="100"/>
  <c r="V21" i="100"/>
  <c r="T21" i="100"/>
  <c r="Z21" i="100" s="1"/>
  <c r="R21" i="100"/>
  <c r="P21" i="100"/>
  <c r="X21" i="100" s="1"/>
  <c r="N21" i="100"/>
  <c r="H21" i="100"/>
  <c r="D21" i="100"/>
  <c r="L21" i="100" s="1"/>
  <c r="B21" i="100"/>
  <c r="X20" i="100"/>
  <c r="Z20" i="100" s="1"/>
  <c r="V20" i="100"/>
  <c r="R20" i="100"/>
  <c r="N20" i="100"/>
  <c r="L20" i="100"/>
  <c r="F20" i="100"/>
  <c r="B20" i="100"/>
  <c r="T19" i="100"/>
  <c r="P19" i="100"/>
  <c r="X19" i="100" s="1"/>
  <c r="N19" i="100"/>
  <c r="L19" i="100"/>
  <c r="H19" i="100"/>
  <c r="F19" i="100"/>
  <c r="D19" i="100"/>
  <c r="B19" i="100"/>
  <c r="T18" i="100"/>
  <c r="P18" i="100"/>
  <c r="H18" i="100"/>
  <c r="D18" i="100"/>
  <c r="T16" i="100"/>
  <c r="Z16" i="100" s="1"/>
  <c r="R16" i="100"/>
  <c r="Z14" i="100"/>
  <c r="T14" i="100"/>
  <c r="R14" i="100"/>
  <c r="P14" i="100"/>
  <c r="H14" i="100"/>
  <c r="N14" i="100" s="1"/>
  <c r="D14" i="100"/>
  <c r="Z12" i="100"/>
  <c r="T12" i="100"/>
  <c r="V37" i="100" s="1"/>
  <c r="P12" i="100"/>
  <c r="R34" i="100" s="1"/>
  <c r="L12" i="100"/>
  <c r="H12" i="100"/>
  <c r="J21" i="100" s="1"/>
  <c r="D12" i="100"/>
  <c r="F32" i="100" s="1"/>
  <c r="D6" i="100"/>
  <c r="D4" i="100"/>
  <c r="Z58" i="99"/>
  <c r="X58" i="99"/>
  <c r="N58" i="99"/>
  <c r="L58" i="99"/>
  <c r="Z54" i="99"/>
  <c r="X54" i="99"/>
  <c r="P54" i="99"/>
  <c r="L54" i="99"/>
  <c r="N54" i="99" s="1"/>
  <c r="D54" i="99"/>
  <c r="D51" i="99" s="1"/>
  <c r="B54" i="99"/>
  <c r="P53" i="99"/>
  <c r="P51" i="99" s="1"/>
  <c r="L53" i="99"/>
  <c r="N53" i="99" s="1"/>
  <c r="D53" i="99"/>
  <c r="B53" i="99"/>
  <c r="X52" i="99"/>
  <c r="Z52" i="99" s="1"/>
  <c r="P52" i="99"/>
  <c r="N52" i="99"/>
  <c r="L52" i="99"/>
  <c r="D52" i="99"/>
  <c r="B52" i="99"/>
  <c r="X51" i="99"/>
  <c r="Z51" i="99" s="1"/>
  <c r="T51" i="99"/>
  <c r="H51" i="99"/>
  <c r="Z49" i="99"/>
  <c r="X49" i="99"/>
  <c r="N49" i="99"/>
  <c r="L49" i="99"/>
  <c r="B49" i="99"/>
  <c r="T48" i="99"/>
  <c r="Z48" i="99" s="1"/>
  <c r="P48" i="99"/>
  <c r="N48" i="99"/>
  <c r="H48" i="99"/>
  <c r="D48" i="99"/>
  <c r="B48" i="99"/>
  <c r="X47" i="99"/>
  <c r="Z47" i="99" s="1"/>
  <c r="R47" i="99"/>
  <c r="L47" i="99"/>
  <c r="N47" i="99" s="1"/>
  <c r="B47" i="99"/>
  <c r="T46" i="99"/>
  <c r="P46" i="99"/>
  <c r="X46" i="99" s="1"/>
  <c r="J46" i="99"/>
  <c r="H46" i="99"/>
  <c r="D46" i="99"/>
  <c r="L46" i="99" s="1"/>
  <c r="N46" i="99" s="1"/>
  <c r="B46" i="99"/>
  <c r="X45" i="99"/>
  <c r="Z45" i="99" s="1"/>
  <c r="N45" i="99"/>
  <c r="L45" i="99"/>
  <c r="F45" i="99"/>
  <c r="B45" i="99"/>
  <c r="X44" i="99"/>
  <c r="Z44" i="99" s="1"/>
  <c r="T44" i="99"/>
  <c r="P44" i="99"/>
  <c r="L44" i="99"/>
  <c r="H44" i="99"/>
  <c r="N44" i="99" s="1"/>
  <c r="F44" i="99"/>
  <c r="D44" i="99"/>
  <c r="B44" i="99"/>
  <c r="Z43" i="99"/>
  <c r="X43" i="99"/>
  <c r="N43" i="99"/>
  <c r="L43" i="99"/>
  <c r="B43" i="99"/>
  <c r="Z42" i="99"/>
  <c r="X42" i="99"/>
  <c r="N42" i="99"/>
  <c r="L42" i="99"/>
  <c r="B42" i="99"/>
  <c r="T41" i="99"/>
  <c r="Z41" i="99" s="1"/>
  <c r="P41" i="99"/>
  <c r="X41" i="99" s="1"/>
  <c r="N41" i="99"/>
  <c r="H41" i="99"/>
  <c r="L41" i="99" s="1"/>
  <c r="D41" i="99"/>
  <c r="B41" i="99"/>
  <c r="X40" i="99"/>
  <c r="Z40" i="99" s="1"/>
  <c r="V40" i="99"/>
  <c r="N40" i="99"/>
  <c r="L40" i="99"/>
  <c r="B40" i="99"/>
  <c r="T39" i="99"/>
  <c r="P39" i="99"/>
  <c r="X39" i="99" s="1"/>
  <c r="Z39" i="99" s="1"/>
  <c r="H39" i="99"/>
  <c r="N39" i="99" s="1"/>
  <c r="D39" i="99"/>
  <c r="L39" i="99" s="1"/>
  <c r="B39" i="99"/>
  <c r="Z38" i="99"/>
  <c r="X38" i="99"/>
  <c r="N38" i="99"/>
  <c r="L38" i="99"/>
  <c r="B38" i="99"/>
  <c r="Z37" i="99"/>
  <c r="X37" i="99"/>
  <c r="N37" i="99"/>
  <c r="L37" i="99"/>
  <c r="F37" i="99"/>
  <c r="B37" i="99"/>
  <c r="Z36" i="99"/>
  <c r="X36" i="99"/>
  <c r="N36" i="99"/>
  <c r="L36" i="99"/>
  <c r="B36" i="99"/>
  <c r="Z35" i="99"/>
  <c r="X35" i="99"/>
  <c r="N35" i="99"/>
  <c r="L35" i="99"/>
  <c r="B35" i="99"/>
  <c r="Z34" i="99"/>
  <c r="X34" i="99"/>
  <c r="N34" i="99"/>
  <c r="L34" i="99"/>
  <c r="B34" i="99"/>
  <c r="Z33" i="99"/>
  <c r="X33" i="99"/>
  <c r="N33" i="99"/>
  <c r="L33" i="99"/>
  <c r="F33" i="99"/>
  <c r="B33" i="99"/>
  <c r="Z32" i="99"/>
  <c r="X32" i="99"/>
  <c r="N32" i="99"/>
  <c r="L32" i="99"/>
  <c r="F32" i="99"/>
  <c r="B32" i="99"/>
  <c r="Z31" i="99"/>
  <c r="X31" i="99"/>
  <c r="N31" i="99"/>
  <c r="L31" i="99"/>
  <c r="B31" i="99"/>
  <c r="Z30" i="99"/>
  <c r="X30" i="99"/>
  <c r="N30" i="99"/>
  <c r="L30" i="99"/>
  <c r="B30" i="99"/>
  <c r="X29" i="99"/>
  <c r="Z29" i="99" s="1"/>
  <c r="N29" i="99"/>
  <c r="L29" i="99"/>
  <c r="F29" i="99"/>
  <c r="B29" i="99"/>
  <c r="T28" i="99"/>
  <c r="P28" i="99"/>
  <c r="X28" i="99" s="1"/>
  <c r="Z28" i="99" s="1"/>
  <c r="L28" i="99"/>
  <c r="H28" i="99"/>
  <c r="N28" i="99" s="1"/>
  <c r="F28" i="99"/>
  <c r="D28" i="99"/>
  <c r="B28" i="99"/>
  <c r="Z27" i="99"/>
  <c r="X27" i="99"/>
  <c r="N27" i="99"/>
  <c r="L27" i="99"/>
  <c r="J27" i="99"/>
  <c r="B27" i="99"/>
  <c r="Z26" i="99"/>
  <c r="X26" i="99"/>
  <c r="N26" i="99"/>
  <c r="L26" i="99"/>
  <c r="B26" i="99"/>
  <c r="Z25" i="99"/>
  <c r="X25" i="99"/>
  <c r="R25" i="99"/>
  <c r="N25" i="99"/>
  <c r="L25" i="99"/>
  <c r="B25" i="99"/>
  <c r="X24" i="99"/>
  <c r="Z24" i="99" s="1"/>
  <c r="L24" i="99"/>
  <c r="N24" i="99" s="1"/>
  <c r="J24" i="99"/>
  <c r="B24" i="99"/>
  <c r="X23" i="99"/>
  <c r="Z23" i="99" s="1"/>
  <c r="N23" i="99"/>
  <c r="L23" i="99"/>
  <c r="J23" i="99"/>
  <c r="B23" i="99"/>
  <c r="Z22" i="99"/>
  <c r="X22" i="99"/>
  <c r="N22" i="99"/>
  <c r="L22" i="99"/>
  <c r="F22" i="99"/>
  <c r="B22" i="99"/>
  <c r="Z21" i="99"/>
  <c r="X21" i="99"/>
  <c r="R21" i="99"/>
  <c r="L21" i="99"/>
  <c r="N21" i="99" s="1"/>
  <c r="F21" i="99"/>
  <c r="B21" i="99"/>
  <c r="X20" i="99"/>
  <c r="Z20" i="99" s="1"/>
  <c r="L20" i="99"/>
  <c r="N20" i="99" s="1"/>
  <c r="J20" i="99"/>
  <c r="B20" i="99"/>
  <c r="X19" i="99"/>
  <c r="T19" i="99"/>
  <c r="Z19" i="99" s="1"/>
  <c r="P19" i="99"/>
  <c r="H19" i="99"/>
  <c r="D19" i="99"/>
  <c r="L19" i="99" s="1"/>
  <c r="B19" i="99"/>
  <c r="T18" i="99"/>
  <c r="P18" i="99"/>
  <c r="J18" i="99"/>
  <c r="H18" i="99"/>
  <c r="F18" i="99"/>
  <c r="D18" i="99"/>
  <c r="J16" i="99"/>
  <c r="F16" i="99"/>
  <c r="T14" i="99"/>
  <c r="Z14" i="99" s="1"/>
  <c r="P14" i="99"/>
  <c r="X14" i="99" s="1"/>
  <c r="N14" i="99"/>
  <c r="J14" i="99"/>
  <c r="H14" i="99"/>
  <c r="F14" i="99"/>
  <c r="D14" i="99"/>
  <c r="D16" i="99" s="1"/>
  <c r="Z12" i="99"/>
  <c r="T12" i="99"/>
  <c r="V49" i="99" s="1"/>
  <c r="P12" i="99"/>
  <c r="R49" i="99" s="1"/>
  <c r="N12" i="99"/>
  <c r="L12" i="99"/>
  <c r="H12" i="99"/>
  <c r="J53" i="99" s="1"/>
  <c r="D12" i="99"/>
  <c r="F24" i="99" s="1"/>
  <c r="D6" i="99"/>
  <c r="D4" i="99"/>
  <c r="Z27" i="98"/>
  <c r="X27" i="98"/>
  <c r="N27" i="98"/>
  <c r="L27" i="98"/>
  <c r="V25" i="98"/>
  <c r="V23" i="98"/>
  <c r="T23" i="98"/>
  <c r="Z23" i="98" s="1"/>
  <c r="P23" i="98"/>
  <c r="X23" i="98" s="1"/>
  <c r="H23" i="98"/>
  <c r="N23" i="98" s="1"/>
  <c r="D23" i="98"/>
  <c r="L23" i="98" s="1"/>
  <c r="Z21" i="98"/>
  <c r="X21" i="98"/>
  <c r="V21" i="98"/>
  <c r="N21" i="98"/>
  <c r="L21" i="98"/>
  <c r="B21" i="98"/>
  <c r="Z20" i="98"/>
  <c r="V20" i="98"/>
  <c r="T20" i="98"/>
  <c r="P20" i="98"/>
  <c r="X20" i="98" s="1"/>
  <c r="H20" i="98"/>
  <c r="N20" i="98" s="1"/>
  <c r="D20" i="98"/>
  <c r="L20" i="98" s="1"/>
  <c r="B20" i="98"/>
  <c r="X19" i="98"/>
  <c r="T19" i="98"/>
  <c r="Z19" i="98" s="1"/>
  <c r="R19" i="98"/>
  <c r="P19" i="98"/>
  <c r="H19" i="98"/>
  <c r="N19" i="98" s="1"/>
  <c r="D19" i="98"/>
  <c r="L19" i="98" s="1"/>
  <c r="X15" i="98"/>
  <c r="T15" i="98"/>
  <c r="Z15" i="98" s="1"/>
  <c r="R15" i="98"/>
  <c r="P15" i="98"/>
  <c r="H15" i="98"/>
  <c r="N15" i="98" s="1"/>
  <c r="D15" i="98"/>
  <c r="L15" i="98" s="1"/>
  <c r="Z13" i="98"/>
  <c r="X13" i="98"/>
  <c r="P13" i="98"/>
  <c r="N13" i="98"/>
  <c r="L13" i="98"/>
  <c r="D13" i="98"/>
  <c r="D12" i="98" s="1"/>
  <c r="B13" i="98"/>
  <c r="Z12" i="98"/>
  <c r="T12" i="98"/>
  <c r="V32" i="98" s="1"/>
  <c r="P12" i="98"/>
  <c r="H12" i="98"/>
  <c r="J20" i="98" s="1"/>
  <c r="D6" i="98"/>
  <c r="D4" i="98"/>
  <c r="Z87" i="97"/>
  <c r="X87" i="97"/>
  <c r="N87" i="97"/>
  <c r="L87" i="97"/>
  <c r="Z83" i="97"/>
  <c r="P83" i="97"/>
  <c r="X83" i="97" s="1"/>
  <c r="N83" i="97"/>
  <c r="L83" i="97"/>
  <c r="D83" i="97"/>
  <c r="B83" i="97"/>
  <c r="X82" i="97"/>
  <c r="T82" i="97"/>
  <c r="Z82" i="97" s="1"/>
  <c r="P82" i="97"/>
  <c r="H82" i="97"/>
  <c r="N82" i="97" s="1"/>
  <c r="D82" i="97"/>
  <c r="L82" i="97" s="1"/>
  <c r="Z80" i="97"/>
  <c r="X80" i="97"/>
  <c r="N80" i="97"/>
  <c r="L80" i="97"/>
  <c r="B80" i="97"/>
  <c r="Z79" i="97"/>
  <c r="X79" i="97"/>
  <c r="T79" i="97"/>
  <c r="P79" i="97"/>
  <c r="L79" i="97"/>
  <c r="H79" i="97"/>
  <c r="N79" i="97" s="1"/>
  <c r="D79" i="97"/>
  <c r="B79" i="97"/>
  <c r="Z78" i="97"/>
  <c r="X78" i="97"/>
  <c r="N78" i="97"/>
  <c r="L78" i="97"/>
  <c r="J78" i="97"/>
  <c r="B78" i="97"/>
  <c r="Z77" i="97"/>
  <c r="X77" i="97"/>
  <c r="N77" i="97"/>
  <c r="L77" i="97"/>
  <c r="B77" i="97"/>
  <c r="Z76" i="97"/>
  <c r="T76" i="97"/>
  <c r="P76" i="97"/>
  <c r="X76" i="97" s="1"/>
  <c r="H76" i="97"/>
  <c r="N76" i="97" s="1"/>
  <c r="D76" i="97"/>
  <c r="B76" i="97"/>
  <c r="Z75" i="97"/>
  <c r="X75" i="97"/>
  <c r="N75" i="97"/>
  <c r="L75" i="97"/>
  <c r="B75" i="97"/>
  <c r="Z74" i="97"/>
  <c r="X74" i="97"/>
  <c r="V74" i="97"/>
  <c r="N74" i="97"/>
  <c r="L74" i="97"/>
  <c r="B74" i="97"/>
  <c r="Z73" i="97"/>
  <c r="X73" i="97"/>
  <c r="N73" i="97"/>
  <c r="L73" i="97"/>
  <c r="B73" i="97"/>
  <c r="Z72" i="97"/>
  <c r="X72" i="97"/>
  <c r="N72" i="97"/>
  <c r="L72" i="97"/>
  <c r="B72" i="97"/>
  <c r="Z71" i="97"/>
  <c r="X71" i="97"/>
  <c r="N71" i="97"/>
  <c r="L71" i="97"/>
  <c r="B71" i="97"/>
  <c r="Z70" i="97"/>
  <c r="X70" i="97"/>
  <c r="V70" i="97"/>
  <c r="N70" i="97"/>
  <c r="L70" i="97"/>
  <c r="B70" i="97"/>
  <c r="Z69" i="97"/>
  <c r="X69" i="97"/>
  <c r="N69" i="97"/>
  <c r="L69" i="97"/>
  <c r="B69" i="97"/>
  <c r="Z68" i="97"/>
  <c r="X68" i="97"/>
  <c r="N68" i="97"/>
  <c r="L68" i="97"/>
  <c r="B68" i="97"/>
  <c r="Z67" i="97"/>
  <c r="X67" i="97"/>
  <c r="N67" i="97"/>
  <c r="L67" i="97"/>
  <c r="B67" i="97"/>
  <c r="Z66" i="97"/>
  <c r="X66" i="97"/>
  <c r="V66" i="97"/>
  <c r="N66" i="97"/>
  <c r="L66" i="97"/>
  <c r="B66" i="97"/>
  <c r="Z65" i="97"/>
  <c r="T65" i="97"/>
  <c r="P65" i="97"/>
  <c r="X65" i="97" s="1"/>
  <c r="H65" i="97"/>
  <c r="N65" i="97" s="1"/>
  <c r="D65" i="97"/>
  <c r="L65" i="97" s="1"/>
  <c r="B65" i="97"/>
  <c r="Z64" i="97"/>
  <c r="X64" i="97"/>
  <c r="N64" i="97"/>
  <c r="L64" i="97"/>
  <c r="B64" i="97"/>
  <c r="Z63" i="97"/>
  <c r="X63" i="97"/>
  <c r="N63" i="97"/>
  <c r="L63" i="97"/>
  <c r="B63" i="97"/>
  <c r="T62" i="97"/>
  <c r="Z62" i="97" s="1"/>
  <c r="P62" i="97"/>
  <c r="X62" i="97" s="1"/>
  <c r="L62" i="97"/>
  <c r="H62" i="97"/>
  <c r="N62" i="97" s="1"/>
  <c r="D62" i="97"/>
  <c r="B62" i="97"/>
  <c r="Z61" i="97"/>
  <c r="X61" i="97"/>
  <c r="N61" i="97"/>
  <c r="L61" i="97"/>
  <c r="B61" i="97"/>
  <c r="Z60" i="97"/>
  <c r="X60" i="97"/>
  <c r="N60" i="97"/>
  <c r="L60" i="97"/>
  <c r="B60" i="97"/>
  <c r="T59" i="97"/>
  <c r="Z59" i="97" s="1"/>
  <c r="P59" i="97"/>
  <c r="X59" i="97" s="1"/>
  <c r="N59" i="97"/>
  <c r="H59" i="97"/>
  <c r="L59" i="97" s="1"/>
  <c r="D59" i="97"/>
  <c r="B59" i="97"/>
  <c r="Z58" i="97"/>
  <c r="X58" i="97"/>
  <c r="V58" i="97"/>
  <c r="N58" i="97"/>
  <c r="L58" i="97"/>
  <c r="B58" i="97"/>
  <c r="Z57" i="97"/>
  <c r="X57" i="97"/>
  <c r="N57" i="97"/>
  <c r="L57" i="97"/>
  <c r="B57" i="97"/>
  <c r="Z56" i="97"/>
  <c r="X56" i="97"/>
  <c r="N56" i="97"/>
  <c r="L56" i="97"/>
  <c r="B56" i="97"/>
  <c r="T55" i="97"/>
  <c r="Z55" i="97" s="1"/>
  <c r="P55" i="97"/>
  <c r="X55" i="97" s="1"/>
  <c r="N55" i="97"/>
  <c r="H55" i="97"/>
  <c r="D55" i="97"/>
  <c r="L55" i="97" s="1"/>
  <c r="B55" i="97"/>
  <c r="Z54" i="97"/>
  <c r="X54" i="97"/>
  <c r="N54" i="97"/>
  <c r="L54" i="97"/>
  <c r="B54" i="97"/>
  <c r="X53" i="97"/>
  <c r="T53" i="97"/>
  <c r="Z53" i="97" s="1"/>
  <c r="P53" i="97"/>
  <c r="N53" i="97"/>
  <c r="L53" i="97"/>
  <c r="H53" i="97"/>
  <c r="D53" i="97"/>
  <c r="B53" i="97"/>
  <c r="Z52" i="97"/>
  <c r="X52" i="97"/>
  <c r="N52" i="97"/>
  <c r="L52" i="97"/>
  <c r="B52" i="97"/>
  <c r="T51" i="97"/>
  <c r="Z51" i="97" s="1"/>
  <c r="P51" i="97"/>
  <c r="X51" i="97" s="1"/>
  <c r="N51" i="97"/>
  <c r="H51" i="97"/>
  <c r="D51" i="97"/>
  <c r="L51" i="97" s="1"/>
  <c r="B51" i="97"/>
  <c r="Z50" i="97"/>
  <c r="X50" i="97"/>
  <c r="V50" i="97"/>
  <c r="N50" i="97"/>
  <c r="L50" i="97"/>
  <c r="B50" i="97"/>
  <c r="Z49" i="97"/>
  <c r="T49" i="97"/>
  <c r="P49" i="97"/>
  <c r="X49" i="97" s="1"/>
  <c r="H49" i="97"/>
  <c r="N49" i="97" s="1"/>
  <c r="D49" i="97"/>
  <c r="L49" i="97" s="1"/>
  <c r="B49" i="97"/>
  <c r="X48" i="97"/>
  <c r="Z48" i="97" s="1"/>
  <c r="N48" i="97"/>
  <c r="L48" i="97"/>
  <c r="B48" i="97"/>
  <c r="Z47" i="97"/>
  <c r="X47" i="97"/>
  <c r="N47" i="97"/>
  <c r="L47" i="97"/>
  <c r="B47" i="97"/>
  <c r="T46" i="97"/>
  <c r="Z46" i="97" s="1"/>
  <c r="P46" i="97"/>
  <c r="X46" i="97" s="1"/>
  <c r="L46" i="97"/>
  <c r="H46" i="97"/>
  <c r="N46" i="97" s="1"/>
  <c r="D46" i="97"/>
  <c r="B46" i="97"/>
  <c r="Z45" i="97"/>
  <c r="X45" i="97"/>
  <c r="N45" i="97"/>
  <c r="L45" i="97"/>
  <c r="B45" i="97"/>
  <c r="Z44" i="97"/>
  <c r="T44" i="97"/>
  <c r="P44" i="97"/>
  <c r="X44" i="97" s="1"/>
  <c r="H44" i="97"/>
  <c r="N44" i="97" s="1"/>
  <c r="D44" i="97"/>
  <c r="B44" i="97"/>
  <c r="Z43" i="97"/>
  <c r="X43" i="97"/>
  <c r="N43" i="97"/>
  <c r="L43" i="97"/>
  <c r="B43" i="97"/>
  <c r="V42" i="97"/>
  <c r="T42" i="97"/>
  <c r="Z42" i="97" s="1"/>
  <c r="P42" i="97"/>
  <c r="X42" i="97" s="1"/>
  <c r="H42" i="97"/>
  <c r="N42" i="97" s="1"/>
  <c r="D42" i="97"/>
  <c r="L42" i="97" s="1"/>
  <c r="B42" i="97"/>
  <c r="Z41" i="97"/>
  <c r="X41" i="97"/>
  <c r="N41" i="97"/>
  <c r="L41" i="97"/>
  <c r="B41" i="97"/>
  <c r="Z40" i="97"/>
  <c r="X40" i="97"/>
  <c r="N40" i="97"/>
  <c r="L40" i="97"/>
  <c r="B40" i="97"/>
  <c r="Z39" i="97"/>
  <c r="X39" i="97"/>
  <c r="N39" i="97"/>
  <c r="L39" i="97"/>
  <c r="B39" i="97"/>
  <c r="Z38" i="97"/>
  <c r="X38" i="97"/>
  <c r="N38" i="97"/>
  <c r="L38" i="97"/>
  <c r="B38" i="97"/>
  <c r="Z37" i="97"/>
  <c r="X37" i="97"/>
  <c r="N37" i="97"/>
  <c r="L37" i="97"/>
  <c r="B37" i="97"/>
  <c r="Z36" i="97"/>
  <c r="X36" i="97"/>
  <c r="N36" i="97"/>
  <c r="L36" i="97"/>
  <c r="B36" i="97"/>
  <c r="Z35" i="97"/>
  <c r="X35" i="97"/>
  <c r="N35" i="97"/>
  <c r="L35" i="97"/>
  <c r="B35" i="97"/>
  <c r="Z34" i="97"/>
  <c r="X34" i="97"/>
  <c r="N34" i="97"/>
  <c r="L34" i="97"/>
  <c r="B34" i="97"/>
  <c r="Z33" i="97"/>
  <c r="X33" i="97"/>
  <c r="N33" i="97"/>
  <c r="L33" i="97"/>
  <c r="B33" i="97"/>
  <c r="Z32" i="97"/>
  <c r="X32" i="97"/>
  <c r="N32" i="97"/>
  <c r="L32" i="97"/>
  <c r="B32" i="97"/>
  <c r="Z31" i="97"/>
  <c r="X31" i="97"/>
  <c r="V31" i="97"/>
  <c r="T31" i="97"/>
  <c r="P31" i="97"/>
  <c r="N31" i="97"/>
  <c r="L31" i="97"/>
  <c r="H31" i="97"/>
  <c r="D31" i="97"/>
  <c r="B31" i="97"/>
  <c r="Z30" i="97"/>
  <c r="X30" i="97"/>
  <c r="N30" i="97"/>
  <c r="L30" i="97"/>
  <c r="J30" i="97"/>
  <c r="B30" i="97"/>
  <c r="Z29" i="97"/>
  <c r="X29" i="97"/>
  <c r="V29" i="97"/>
  <c r="N29" i="97"/>
  <c r="L29" i="97"/>
  <c r="B29" i="97"/>
  <c r="Z28" i="97"/>
  <c r="X28" i="97"/>
  <c r="N28" i="97"/>
  <c r="L28" i="97"/>
  <c r="B28" i="97"/>
  <c r="Z27" i="97"/>
  <c r="X27" i="97"/>
  <c r="N27" i="97"/>
  <c r="L27" i="97"/>
  <c r="B27" i="97"/>
  <c r="Z26" i="97"/>
  <c r="X26" i="97"/>
  <c r="N26" i="97"/>
  <c r="L26" i="97"/>
  <c r="J26" i="97"/>
  <c r="B26" i="97"/>
  <c r="Z25" i="97"/>
  <c r="X25" i="97"/>
  <c r="V25" i="97"/>
  <c r="N25" i="97"/>
  <c r="L25" i="97"/>
  <c r="B25" i="97"/>
  <c r="Z24" i="97"/>
  <c r="X24" i="97"/>
  <c r="N24" i="97"/>
  <c r="L24" i="97"/>
  <c r="B24" i="97"/>
  <c r="Z23" i="97"/>
  <c r="X23" i="97"/>
  <c r="R23" i="97"/>
  <c r="N23" i="97"/>
  <c r="L23" i="97"/>
  <c r="B23" i="97"/>
  <c r="X22" i="97"/>
  <c r="T22" i="97"/>
  <c r="Z22" i="97" s="1"/>
  <c r="P22" i="97"/>
  <c r="N22" i="97"/>
  <c r="H22" i="97"/>
  <c r="D22" i="97"/>
  <c r="L22" i="97" s="1"/>
  <c r="B22" i="97"/>
  <c r="V21" i="97"/>
  <c r="T21" i="97"/>
  <c r="P21" i="97"/>
  <c r="X21" i="97" s="1"/>
  <c r="Z21" i="97" s="1"/>
  <c r="H21" i="97"/>
  <c r="D21" i="97"/>
  <c r="L21" i="97" s="1"/>
  <c r="V19" i="97"/>
  <c r="H19" i="97"/>
  <c r="Z17" i="97"/>
  <c r="X17" i="97"/>
  <c r="V17" i="97"/>
  <c r="N17" i="97"/>
  <c r="L17" i="97"/>
  <c r="B17" i="97"/>
  <c r="X16" i="97"/>
  <c r="V16" i="97"/>
  <c r="T16" i="97"/>
  <c r="T19" i="97" s="1"/>
  <c r="Z19" i="97" s="1"/>
  <c r="P16" i="97"/>
  <c r="N16" i="97"/>
  <c r="J16" i="97"/>
  <c r="H16" i="97"/>
  <c r="D16" i="97"/>
  <c r="L16" i="97" s="1"/>
  <c r="Z14" i="97"/>
  <c r="X14" i="97"/>
  <c r="P14" i="97"/>
  <c r="N14" i="97"/>
  <c r="D14" i="97"/>
  <c r="L14" i="97" s="1"/>
  <c r="B14" i="97"/>
  <c r="Z13" i="97"/>
  <c r="X13" i="97"/>
  <c r="P13" i="97"/>
  <c r="N13" i="97"/>
  <c r="D13" i="97"/>
  <c r="B13" i="97"/>
  <c r="Z12" i="97"/>
  <c r="X12" i="97"/>
  <c r="T12" i="97"/>
  <c r="V76" i="97" s="1"/>
  <c r="P12" i="97"/>
  <c r="P19" i="97" s="1"/>
  <c r="N12" i="97"/>
  <c r="H12" i="97"/>
  <c r="D6" i="97"/>
  <c r="D4" i="97"/>
  <c r="Z101" i="95"/>
  <c r="X101" i="95"/>
  <c r="L101" i="95"/>
  <c r="N101" i="95" s="1"/>
  <c r="Z97" i="95"/>
  <c r="T97" i="95"/>
  <c r="P97" i="95"/>
  <c r="X97" i="95" s="1"/>
  <c r="H97" i="95"/>
  <c r="N97" i="95" s="1"/>
  <c r="D97" i="95"/>
  <c r="L97" i="95" s="1"/>
  <c r="Z95" i="95"/>
  <c r="X95" i="95"/>
  <c r="N95" i="95"/>
  <c r="L95" i="95"/>
  <c r="B95" i="95"/>
  <c r="X94" i="95"/>
  <c r="T94" i="95"/>
  <c r="Z94" i="95" s="1"/>
  <c r="P94" i="95"/>
  <c r="H94" i="95"/>
  <c r="D94" i="95"/>
  <c r="L94" i="95" s="1"/>
  <c r="B94" i="95"/>
  <c r="Z93" i="95"/>
  <c r="X93" i="95"/>
  <c r="N93" i="95"/>
  <c r="L93" i="95"/>
  <c r="B93" i="95"/>
  <c r="Z92" i="95"/>
  <c r="X92" i="95"/>
  <c r="N92" i="95"/>
  <c r="L92" i="95"/>
  <c r="B92" i="95"/>
  <c r="T91" i="95"/>
  <c r="Z91" i="95" s="1"/>
  <c r="P91" i="95"/>
  <c r="H91" i="95"/>
  <c r="N91" i="95" s="1"/>
  <c r="D91" i="95"/>
  <c r="L91" i="95" s="1"/>
  <c r="B91" i="95"/>
  <c r="Z90" i="95"/>
  <c r="X90" i="95"/>
  <c r="N90" i="95"/>
  <c r="L90" i="95"/>
  <c r="B90" i="95"/>
  <c r="T89" i="95"/>
  <c r="Z89" i="95" s="1"/>
  <c r="P89" i="95"/>
  <c r="X89" i="95" s="1"/>
  <c r="N89" i="95"/>
  <c r="H89" i="95"/>
  <c r="D89" i="95"/>
  <c r="L89" i="95" s="1"/>
  <c r="B89" i="95"/>
  <c r="X88" i="95"/>
  <c r="Z88" i="95" s="1"/>
  <c r="N88" i="95"/>
  <c r="L88" i="95"/>
  <c r="B88" i="95"/>
  <c r="X87" i="95"/>
  <c r="Z87" i="95" s="1"/>
  <c r="N87" i="95"/>
  <c r="L87" i="95"/>
  <c r="F87" i="95"/>
  <c r="B87" i="95"/>
  <c r="X86" i="95"/>
  <c r="T86" i="95"/>
  <c r="Z86" i="95" s="1"/>
  <c r="P86" i="95"/>
  <c r="H86" i="95"/>
  <c r="F86" i="95"/>
  <c r="D86" i="95"/>
  <c r="B86" i="95"/>
  <c r="Z85" i="95"/>
  <c r="X85" i="95"/>
  <c r="L85" i="95"/>
  <c r="N85" i="95" s="1"/>
  <c r="B85" i="95"/>
  <c r="Z84" i="95"/>
  <c r="X84" i="95"/>
  <c r="N84" i="95"/>
  <c r="L84" i="95"/>
  <c r="B84" i="95"/>
  <c r="Z83" i="95"/>
  <c r="X83" i="95"/>
  <c r="N83" i="95"/>
  <c r="L83" i="95"/>
  <c r="B83" i="95"/>
  <c r="Z82" i="95"/>
  <c r="X82" i="95"/>
  <c r="N82" i="95"/>
  <c r="L82" i="95"/>
  <c r="J82" i="95"/>
  <c r="B82" i="95"/>
  <c r="Z81" i="95"/>
  <c r="X81" i="95"/>
  <c r="N81" i="95"/>
  <c r="L81" i="95"/>
  <c r="B81" i="95"/>
  <c r="Z80" i="95"/>
  <c r="X80" i="95"/>
  <c r="L80" i="95"/>
  <c r="N80" i="95" s="1"/>
  <c r="B80" i="95"/>
  <c r="Z79" i="95"/>
  <c r="X79" i="95"/>
  <c r="N79" i="95"/>
  <c r="L79" i="95"/>
  <c r="B79" i="95"/>
  <c r="Z78" i="95"/>
  <c r="X78" i="95"/>
  <c r="L78" i="95"/>
  <c r="N78" i="95" s="1"/>
  <c r="J78" i="95"/>
  <c r="B78" i="95"/>
  <c r="T77" i="95"/>
  <c r="P77" i="95"/>
  <c r="X77" i="95" s="1"/>
  <c r="H77" i="95"/>
  <c r="D77" i="95"/>
  <c r="B77" i="95"/>
  <c r="X76" i="95"/>
  <c r="Z76" i="95" s="1"/>
  <c r="L76" i="95"/>
  <c r="N76" i="95" s="1"/>
  <c r="B76" i="95"/>
  <c r="T75" i="95"/>
  <c r="P75" i="95"/>
  <c r="X75" i="95" s="1"/>
  <c r="Z75" i="95" s="1"/>
  <c r="H75" i="95"/>
  <c r="N75" i="95" s="1"/>
  <c r="D75" i="95"/>
  <c r="L75" i="95" s="1"/>
  <c r="B75" i="95"/>
  <c r="Z74" i="95"/>
  <c r="X74" i="95"/>
  <c r="N74" i="95"/>
  <c r="L74" i="95"/>
  <c r="B74" i="95"/>
  <c r="X73" i="95"/>
  <c r="Z73" i="95" s="1"/>
  <c r="N73" i="95"/>
  <c r="L73" i="95"/>
  <c r="B73" i="95"/>
  <c r="X72" i="95"/>
  <c r="Z72" i="95" s="1"/>
  <c r="N72" i="95"/>
  <c r="L72" i="95"/>
  <c r="B72" i="95"/>
  <c r="X71" i="95"/>
  <c r="Z71" i="95" s="1"/>
  <c r="N71" i="95"/>
  <c r="L71" i="95"/>
  <c r="F71" i="95"/>
  <c r="B71" i="95"/>
  <c r="X70" i="95"/>
  <c r="Z70" i="95" s="1"/>
  <c r="N70" i="95"/>
  <c r="L70" i="95"/>
  <c r="B70" i="95"/>
  <c r="X69" i="95"/>
  <c r="Z69" i="95" s="1"/>
  <c r="T69" i="95"/>
  <c r="P69" i="95"/>
  <c r="L69" i="95"/>
  <c r="H69" i="95"/>
  <c r="N69" i="95" s="1"/>
  <c r="D69" i="95"/>
  <c r="B69" i="95"/>
  <c r="Z68" i="95"/>
  <c r="X68" i="95"/>
  <c r="L68" i="95"/>
  <c r="N68" i="95" s="1"/>
  <c r="B68" i="95"/>
  <c r="Z67" i="95"/>
  <c r="X67" i="95"/>
  <c r="N67" i="95"/>
  <c r="L67" i="95"/>
  <c r="B67" i="95"/>
  <c r="T66" i="95"/>
  <c r="P66" i="95"/>
  <c r="X66" i="95" s="1"/>
  <c r="Z66" i="95" s="1"/>
  <c r="H66" i="95"/>
  <c r="L66" i="95" s="1"/>
  <c r="N66" i="95" s="1"/>
  <c r="D66" i="95"/>
  <c r="B66" i="95"/>
  <c r="X65" i="95"/>
  <c r="Z65" i="95" s="1"/>
  <c r="L65" i="95"/>
  <c r="N65" i="95" s="1"/>
  <c r="B65" i="95"/>
  <c r="T64" i="95"/>
  <c r="Z64" i="95" s="1"/>
  <c r="P64" i="95"/>
  <c r="X64" i="95" s="1"/>
  <c r="L64" i="95"/>
  <c r="J64" i="95"/>
  <c r="H64" i="95"/>
  <c r="N64" i="95" s="1"/>
  <c r="D64" i="95"/>
  <c r="B64" i="95"/>
  <c r="X63" i="95"/>
  <c r="Z63" i="95" s="1"/>
  <c r="N63" i="95"/>
  <c r="L63" i="95"/>
  <c r="B63" i="95"/>
  <c r="X62" i="95"/>
  <c r="T62" i="95"/>
  <c r="Z62" i="95" s="1"/>
  <c r="P62" i="95"/>
  <c r="H62" i="95"/>
  <c r="F62" i="95"/>
  <c r="D62" i="95"/>
  <c r="B62" i="95"/>
  <c r="Z61" i="95"/>
  <c r="X61" i="95"/>
  <c r="N61" i="95"/>
  <c r="L61" i="95"/>
  <c r="B61" i="95"/>
  <c r="Z60" i="95"/>
  <c r="T60" i="95"/>
  <c r="X60" i="95" s="1"/>
  <c r="P60" i="95"/>
  <c r="N60" i="95"/>
  <c r="H60" i="95"/>
  <c r="D60" i="95"/>
  <c r="L60" i="95" s="1"/>
  <c r="B60" i="95"/>
  <c r="Z59" i="95"/>
  <c r="X59" i="95"/>
  <c r="L59" i="95"/>
  <c r="N59" i="95" s="1"/>
  <c r="B59" i="95"/>
  <c r="X58" i="95"/>
  <c r="V58" i="95"/>
  <c r="T58" i="95"/>
  <c r="Z58" i="95" s="1"/>
  <c r="P58" i="95"/>
  <c r="H58" i="95"/>
  <c r="D58" i="95"/>
  <c r="L58" i="95" s="1"/>
  <c r="B58" i="95"/>
  <c r="X57" i="95"/>
  <c r="Z57" i="95" s="1"/>
  <c r="N57" i="95"/>
  <c r="L57" i="95"/>
  <c r="B57" i="95"/>
  <c r="T56" i="95"/>
  <c r="P56" i="95"/>
  <c r="L56" i="95"/>
  <c r="H56" i="95"/>
  <c r="N56" i="95" s="1"/>
  <c r="D56" i="95"/>
  <c r="B56" i="95"/>
  <c r="Z55" i="95"/>
  <c r="X55" i="95"/>
  <c r="N55" i="95"/>
  <c r="L55" i="95"/>
  <c r="B55" i="95"/>
  <c r="Z54" i="95"/>
  <c r="X54" i="95"/>
  <c r="N54" i="95"/>
  <c r="L54" i="95"/>
  <c r="J54" i="95"/>
  <c r="B54" i="95"/>
  <c r="T53" i="95"/>
  <c r="P53" i="95"/>
  <c r="X53" i="95" s="1"/>
  <c r="H53" i="95"/>
  <c r="D53" i="95"/>
  <c r="L53" i="95" s="1"/>
  <c r="B53" i="95"/>
  <c r="X52" i="95"/>
  <c r="Z52" i="95" s="1"/>
  <c r="L52" i="95"/>
  <c r="N52" i="95" s="1"/>
  <c r="B52" i="95"/>
  <c r="T51" i="95"/>
  <c r="P51" i="95"/>
  <c r="X51" i="95" s="1"/>
  <c r="Z51" i="95" s="1"/>
  <c r="H51" i="95"/>
  <c r="D51" i="95"/>
  <c r="L51" i="95" s="1"/>
  <c r="B51" i="95"/>
  <c r="X50" i="95"/>
  <c r="Z50" i="95" s="1"/>
  <c r="N50" i="95"/>
  <c r="L50" i="95"/>
  <c r="B50" i="95"/>
  <c r="X49" i="95"/>
  <c r="Z49" i="95" s="1"/>
  <c r="T49" i="95"/>
  <c r="P49" i="95"/>
  <c r="L49" i="95"/>
  <c r="H49" i="95"/>
  <c r="N49" i="95" s="1"/>
  <c r="D49" i="95"/>
  <c r="B49" i="95"/>
  <c r="Z48" i="95"/>
  <c r="X48" i="95"/>
  <c r="L48" i="95"/>
  <c r="N48" i="95" s="1"/>
  <c r="J48" i="95"/>
  <c r="B48" i="95"/>
  <c r="T47" i="95"/>
  <c r="P47" i="95"/>
  <c r="H47" i="95"/>
  <c r="N47" i="95" s="1"/>
  <c r="D47" i="95"/>
  <c r="L47" i="95" s="1"/>
  <c r="B47" i="95"/>
  <c r="Z46" i="95"/>
  <c r="X46" i="95"/>
  <c r="N46" i="95"/>
  <c r="L46" i="95"/>
  <c r="B46" i="95"/>
  <c r="Z45" i="95"/>
  <c r="X45" i="95"/>
  <c r="N45" i="95"/>
  <c r="L45" i="95"/>
  <c r="B45" i="95"/>
  <c r="X44" i="95"/>
  <c r="Z44" i="95" s="1"/>
  <c r="L44" i="95"/>
  <c r="N44" i="95" s="1"/>
  <c r="B44" i="95"/>
  <c r="Z43" i="95"/>
  <c r="X43" i="95"/>
  <c r="N43" i="95"/>
  <c r="L43" i="95"/>
  <c r="B43" i="95"/>
  <c r="Z42" i="95"/>
  <c r="X42" i="95"/>
  <c r="V42" i="95"/>
  <c r="N42" i="95"/>
  <c r="L42" i="95"/>
  <c r="B42" i="95"/>
  <c r="X41" i="95"/>
  <c r="Z41" i="95" s="1"/>
  <c r="L41" i="95"/>
  <c r="N41" i="95" s="1"/>
  <c r="B41" i="95"/>
  <c r="X40" i="95"/>
  <c r="Z40" i="95" s="1"/>
  <c r="L40" i="95"/>
  <c r="N40" i="95" s="1"/>
  <c r="B40" i="95"/>
  <c r="Z39" i="95"/>
  <c r="X39" i="95"/>
  <c r="N39" i="95"/>
  <c r="L39" i="95"/>
  <c r="B39" i="95"/>
  <c r="X38" i="95"/>
  <c r="Z38" i="95" s="1"/>
  <c r="L38" i="95"/>
  <c r="N38" i="95" s="1"/>
  <c r="B38" i="95"/>
  <c r="Z37" i="95"/>
  <c r="X37" i="95"/>
  <c r="N37" i="95"/>
  <c r="L37" i="95"/>
  <c r="B37" i="95"/>
  <c r="T36" i="95"/>
  <c r="Z36" i="95" s="1"/>
  <c r="P36" i="95"/>
  <c r="X36" i="95" s="1"/>
  <c r="L36" i="95"/>
  <c r="J36" i="95"/>
  <c r="H36" i="95"/>
  <c r="N36" i="95" s="1"/>
  <c r="D36" i="95"/>
  <c r="B36" i="95"/>
  <c r="Z35" i="95"/>
  <c r="X35" i="95"/>
  <c r="N35" i="95"/>
  <c r="L35" i="95"/>
  <c r="J35" i="95"/>
  <c r="F35" i="95"/>
  <c r="B35" i="95"/>
  <c r="X34" i="95"/>
  <c r="Z34" i="95" s="1"/>
  <c r="N34" i="95"/>
  <c r="L34" i="95"/>
  <c r="J34" i="95"/>
  <c r="B34" i="95"/>
  <c r="X33" i="95"/>
  <c r="Z33" i="95" s="1"/>
  <c r="N33" i="95"/>
  <c r="L33" i="95"/>
  <c r="B33" i="95"/>
  <c r="Z32" i="95"/>
  <c r="X32" i="95"/>
  <c r="N32" i="95"/>
  <c r="L32" i="95"/>
  <c r="B32" i="95"/>
  <c r="X31" i="95"/>
  <c r="Z31" i="95" s="1"/>
  <c r="N31" i="95"/>
  <c r="L31" i="95"/>
  <c r="J31" i="95"/>
  <c r="F31" i="95"/>
  <c r="B31" i="95"/>
  <c r="X30" i="95"/>
  <c r="Z30" i="95" s="1"/>
  <c r="N30" i="95"/>
  <c r="L30" i="95"/>
  <c r="J30" i="95"/>
  <c r="B30" i="95"/>
  <c r="X29" i="95"/>
  <c r="Z29" i="95" s="1"/>
  <c r="N29" i="95"/>
  <c r="L29" i="95"/>
  <c r="B29" i="95"/>
  <c r="X28" i="95"/>
  <c r="Z28" i="95" s="1"/>
  <c r="N28" i="95"/>
  <c r="L28" i="95"/>
  <c r="B28" i="95"/>
  <c r="X27" i="95"/>
  <c r="Z27" i="95" s="1"/>
  <c r="N27" i="95"/>
  <c r="L27" i="95"/>
  <c r="J27" i="95"/>
  <c r="F27" i="95"/>
  <c r="B27" i="95"/>
  <c r="X26" i="95"/>
  <c r="T26" i="95"/>
  <c r="Z26" i="95" s="1"/>
  <c r="P26" i="95"/>
  <c r="L26" i="95"/>
  <c r="H26" i="95"/>
  <c r="N26" i="95" s="1"/>
  <c r="D26" i="95"/>
  <c r="B26" i="95"/>
  <c r="T25" i="95"/>
  <c r="P25" i="95"/>
  <c r="H25" i="95"/>
  <c r="D25" i="95"/>
  <c r="H23" i="95"/>
  <c r="Z21" i="95"/>
  <c r="X21" i="95"/>
  <c r="N21" i="95"/>
  <c r="L21" i="95"/>
  <c r="J21" i="95"/>
  <c r="B21" i="95"/>
  <c r="Z20" i="95"/>
  <c r="X20" i="95"/>
  <c r="N20" i="95"/>
  <c r="L20" i="95"/>
  <c r="J20" i="95"/>
  <c r="B20" i="95"/>
  <c r="Z19" i="95"/>
  <c r="X19" i="95"/>
  <c r="N19" i="95"/>
  <c r="L19" i="95"/>
  <c r="J19" i="95"/>
  <c r="B19" i="95"/>
  <c r="T18" i="95"/>
  <c r="P18" i="95"/>
  <c r="X18" i="95" s="1"/>
  <c r="Z18" i="95" s="1"/>
  <c r="H18" i="95"/>
  <c r="J18" i="95" s="1"/>
  <c r="D18" i="95"/>
  <c r="Z16" i="95"/>
  <c r="P16" i="95"/>
  <c r="X16" i="95" s="1"/>
  <c r="N16" i="95"/>
  <c r="D16" i="95"/>
  <c r="L16" i="95" s="1"/>
  <c r="B16" i="95"/>
  <c r="P15" i="95"/>
  <c r="X15" i="95" s="1"/>
  <c r="Z15" i="95" s="1"/>
  <c r="D15" i="95"/>
  <c r="L15" i="95" s="1"/>
  <c r="N15" i="95" s="1"/>
  <c r="B15" i="95"/>
  <c r="Z14" i="95"/>
  <c r="X14" i="95"/>
  <c r="P14" i="95"/>
  <c r="N14" i="95"/>
  <c r="L14" i="95"/>
  <c r="D14" i="95"/>
  <c r="B14" i="95"/>
  <c r="P13" i="95"/>
  <c r="X13" i="95" s="1"/>
  <c r="Z13" i="95" s="1"/>
  <c r="D13" i="95"/>
  <c r="D12" i="95" s="1"/>
  <c r="B13" i="95"/>
  <c r="T12" i="95"/>
  <c r="H12" i="95"/>
  <c r="D6" i="95"/>
  <c r="D4" i="95"/>
  <c r="Z80" i="94"/>
  <c r="X80" i="94"/>
  <c r="N80" i="94"/>
  <c r="L80" i="94"/>
  <c r="J78" i="94"/>
  <c r="T76" i="94"/>
  <c r="Z76" i="94" s="1"/>
  <c r="P76" i="94"/>
  <c r="X76" i="94" s="1"/>
  <c r="L76" i="94"/>
  <c r="H76" i="94"/>
  <c r="N76" i="94" s="1"/>
  <c r="D76" i="94"/>
  <c r="Z74" i="94"/>
  <c r="X74" i="94"/>
  <c r="N74" i="94"/>
  <c r="L74" i="94"/>
  <c r="B74" i="94"/>
  <c r="Z73" i="94"/>
  <c r="T73" i="94"/>
  <c r="P73" i="94"/>
  <c r="X73" i="94" s="1"/>
  <c r="N73" i="94"/>
  <c r="H73" i="94"/>
  <c r="D73" i="94"/>
  <c r="L73" i="94" s="1"/>
  <c r="B73" i="94"/>
  <c r="Z72" i="94"/>
  <c r="X72" i="94"/>
  <c r="N72" i="94"/>
  <c r="L72" i="94"/>
  <c r="B72" i="94"/>
  <c r="Z71" i="94"/>
  <c r="X71" i="94"/>
  <c r="T71" i="94"/>
  <c r="P71" i="94"/>
  <c r="L71" i="94"/>
  <c r="H71" i="94"/>
  <c r="N71" i="94" s="1"/>
  <c r="D71" i="94"/>
  <c r="B71" i="94"/>
  <c r="Z70" i="94"/>
  <c r="X70" i="94"/>
  <c r="N70" i="94"/>
  <c r="L70" i="94"/>
  <c r="B70" i="94"/>
  <c r="T69" i="94"/>
  <c r="Z69" i="94" s="1"/>
  <c r="P69" i="94"/>
  <c r="X69" i="94" s="1"/>
  <c r="H69" i="94"/>
  <c r="N69" i="94" s="1"/>
  <c r="D69" i="94"/>
  <c r="L69" i="94" s="1"/>
  <c r="B69" i="94"/>
  <c r="Z68" i="94"/>
  <c r="X68" i="94"/>
  <c r="V68" i="94"/>
  <c r="N68" i="94"/>
  <c r="L68" i="94"/>
  <c r="B68" i="94"/>
  <c r="Z67" i="94"/>
  <c r="X67" i="94"/>
  <c r="N67" i="94"/>
  <c r="L67" i="94"/>
  <c r="B67" i="94"/>
  <c r="Z66" i="94"/>
  <c r="X66" i="94"/>
  <c r="V66" i="94"/>
  <c r="N66" i="94"/>
  <c r="L66" i="94"/>
  <c r="B66" i="94"/>
  <c r="Z65" i="94"/>
  <c r="T65" i="94"/>
  <c r="P65" i="94"/>
  <c r="X65" i="94" s="1"/>
  <c r="H65" i="94"/>
  <c r="N65" i="94" s="1"/>
  <c r="D65" i="94"/>
  <c r="L65" i="94" s="1"/>
  <c r="B65" i="94"/>
  <c r="Z64" i="94"/>
  <c r="X64" i="94"/>
  <c r="N64" i="94"/>
  <c r="L64" i="94"/>
  <c r="B64" i="94"/>
  <c r="Z63" i="94"/>
  <c r="X63" i="94"/>
  <c r="T63" i="94"/>
  <c r="P63" i="94"/>
  <c r="L63" i="94"/>
  <c r="H63" i="94"/>
  <c r="N63" i="94" s="1"/>
  <c r="D63" i="94"/>
  <c r="B63" i="94"/>
  <c r="Z62" i="94"/>
  <c r="X62" i="94"/>
  <c r="N62" i="94"/>
  <c r="L62" i="94"/>
  <c r="J62" i="94"/>
  <c r="B62" i="94"/>
  <c r="T61" i="94"/>
  <c r="Z61" i="94" s="1"/>
  <c r="P61" i="94"/>
  <c r="X61" i="94" s="1"/>
  <c r="H61" i="94"/>
  <c r="N61" i="94" s="1"/>
  <c r="D61" i="94"/>
  <c r="B61" i="94"/>
  <c r="Z60" i="94"/>
  <c r="X60" i="94"/>
  <c r="V60" i="94"/>
  <c r="N60" i="94"/>
  <c r="L60" i="94"/>
  <c r="B60" i="94"/>
  <c r="V59" i="94"/>
  <c r="T59" i="94"/>
  <c r="Z59" i="94" s="1"/>
  <c r="P59" i="94"/>
  <c r="X59" i="94" s="1"/>
  <c r="N59" i="94"/>
  <c r="H59" i="94"/>
  <c r="D59" i="94"/>
  <c r="L59" i="94" s="1"/>
  <c r="B59" i="94"/>
  <c r="Z58" i="94"/>
  <c r="X58" i="94"/>
  <c r="N58" i="94"/>
  <c r="L58" i="94"/>
  <c r="B58" i="94"/>
  <c r="Z57" i="94"/>
  <c r="X57" i="94"/>
  <c r="N57" i="94"/>
  <c r="L57" i="94"/>
  <c r="B57" i="94"/>
  <c r="Z56" i="94"/>
  <c r="X56" i="94"/>
  <c r="T56" i="94"/>
  <c r="P56" i="94"/>
  <c r="L56" i="94"/>
  <c r="H56" i="94"/>
  <c r="N56" i="94" s="1"/>
  <c r="D56" i="94"/>
  <c r="B56" i="94"/>
  <c r="Z55" i="94"/>
  <c r="X55" i="94"/>
  <c r="N55" i="94"/>
  <c r="L55" i="94"/>
  <c r="J55" i="94"/>
  <c r="B55" i="94"/>
  <c r="Z54" i="94"/>
  <c r="T54" i="94"/>
  <c r="X54" i="94" s="1"/>
  <c r="P54" i="94"/>
  <c r="H54" i="94"/>
  <c r="N54" i="94" s="1"/>
  <c r="D54" i="94"/>
  <c r="B54" i="94"/>
  <c r="Z53" i="94"/>
  <c r="X53" i="94"/>
  <c r="N53" i="94"/>
  <c r="L53" i="94"/>
  <c r="B53" i="94"/>
  <c r="X52" i="94"/>
  <c r="V52" i="94"/>
  <c r="T52" i="94"/>
  <c r="Z52" i="94" s="1"/>
  <c r="P52" i="94"/>
  <c r="J52" i="94"/>
  <c r="H52" i="94"/>
  <c r="N52" i="94" s="1"/>
  <c r="D52" i="94"/>
  <c r="L52" i="94" s="1"/>
  <c r="B52" i="94"/>
  <c r="Z51" i="94"/>
  <c r="X51" i="94"/>
  <c r="N51" i="94"/>
  <c r="L51" i="94"/>
  <c r="B51" i="94"/>
  <c r="X50" i="94"/>
  <c r="T50" i="94"/>
  <c r="Z50" i="94" s="1"/>
  <c r="R50" i="94"/>
  <c r="P50" i="94"/>
  <c r="N50" i="94"/>
  <c r="L50" i="94"/>
  <c r="H50" i="94"/>
  <c r="D50" i="94"/>
  <c r="B50" i="94"/>
  <c r="Z49" i="94"/>
  <c r="X49" i="94"/>
  <c r="V49" i="94"/>
  <c r="R49" i="94"/>
  <c r="N49" i="94"/>
  <c r="L49" i="94"/>
  <c r="B49" i="94"/>
  <c r="Z48" i="94"/>
  <c r="V48" i="94"/>
  <c r="T48" i="94"/>
  <c r="P48" i="94"/>
  <c r="X48" i="94" s="1"/>
  <c r="H48" i="94"/>
  <c r="L48" i="94" s="1"/>
  <c r="N48" i="94" s="1"/>
  <c r="D48" i="94"/>
  <c r="B48" i="94"/>
  <c r="Z47" i="94"/>
  <c r="X47" i="94"/>
  <c r="V47" i="94"/>
  <c r="N47" i="94"/>
  <c r="L47" i="94"/>
  <c r="B47" i="94"/>
  <c r="V46" i="94"/>
  <c r="T46" i="94"/>
  <c r="Z46" i="94" s="1"/>
  <c r="P46" i="94"/>
  <c r="X46" i="94" s="1"/>
  <c r="L46" i="94"/>
  <c r="J46" i="94"/>
  <c r="H46" i="94"/>
  <c r="N46" i="94" s="1"/>
  <c r="D46" i="94"/>
  <c r="B46" i="94"/>
  <c r="Z45" i="94"/>
  <c r="X45" i="94"/>
  <c r="N45" i="94"/>
  <c r="L45" i="94"/>
  <c r="J45" i="94"/>
  <c r="B45" i="94"/>
  <c r="X44" i="94"/>
  <c r="T44" i="94"/>
  <c r="Z44" i="94" s="1"/>
  <c r="P44" i="94"/>
  <c r="L44" i="94"/>
  <c r="H44" i="94"/>
  <c r="N44" i="94" s="1"/>
  <c r="D44" i="94"/>
  <c r="B44" i="94"/>
  <c r="Z43" i="94"/>
  <c r="X43" i="94"/>
  <c r="N43" i="94"/>
  <c r="L43" i="94"/>
  <c r="J43" i="94"/>
  <c r="B43" i="94"/>
  <c r="Z42" i="94"/>
  <c r="X42" i="94"/>
  <c r="N42" i="94"/>
  <c r="L42" i="94"/>
  <c r="J42" i="94"/>
  <c r="B42" i="94"/>
  <c r="Z41" i="94"/>
  <c r="X41" i="94"/>
  <c r="V41" i="94"/>
  <c r="N41" i="94"/>
  <c r="L41" i="94"/>
  <c r="J41" i="94"/>
  <c r="B41" i="94"/>
  <c r="Z40" i="94"/>
  <c r="X40" i="94"/>
  <c r="V40" i="94"/>
  <c r="N40" i="94"/>
  <c r="L40" i="94"/>
  <c r="J40" i="94"/>
  <c r="B40" i="94"/>
  <c r="Z39" i="94"/>
  <c r="X39" i="94"/>
  <c r="N39" i="94"/>
  <c r="L39" i="94"/>
  <c r="J39" i="94"/>
  <c r="B39" i="94"/>
  <c r="Z38" i="94"/>
  <c r="X38" i="94"/>
  <c r="N38" i="94"/>
  <c r="L38" i="94"/>
  <c r="J38" i="94"/>
  <c r="B38" i="94"/>
  <c r="Z37" i="94"/>
  <c r="X37" i="94"/>
  <c r="V37" i="94"/>
  <c r="N37" i="94"/>
  <c r="L37" i="94"/>
  <c r="J37" i="94"/>
  <c r="B37" i="94"/>
  <c r="Z36" i="94"/>
  <c r="X36" i="94"/>
  <c r="V36" i="94"/>
  <c r="R36" i="94"/>
  <c r="N36" i="94"/>
  <c r="L36" i="94"/>
  <c r="J36" i="94"/>
  <c r="B36" i="94"/>
  <c r="Z35" i="94"/>
  <c r="X35" i="94"/>
  <c r="N35" i="94"/>
  <c r="L35" i="94"/>
  <c r="J35" i="94"/>
  <c r="B35" i="94"/>
  <c r="Z34" i="94"/>
  <c r="X34" i="94"/>
  <c r="N34" i="94"/>
  <c r="L34" i="94"/>
  <c r="J34" i="94"/>
  <c r="B34" i="94"/>
  <c r="V33" i="94"/>
  <c r="T33" i="94"/>
  <c r="Z33" i="94" s="1"/>
  <c r="P33" i="94"/>
  <c r="N33" i="94"/>
  <c r="H33" i="94"/>
  <c r="D33" i="94"/>
  <c r="B33" i="94"/>
  <c r="Z32" i="94"/>
  <c r="X32" i="94"/>
  <c r="V32" i="94"/>
  <c r="N32" i="94"/>
  <c r="L32" i="94"/>
  <c r="B32" i="94"/>
  <c r="Z31" i="94"/>
  <c r="X31" i="94"/>
  <c r="V31" i="94"/>
  <c r="N31" i="94"/>
  <c r="L31" i="94"/>
  <c r="B31" i="94"/>
  <c r="Z30" i="94"/>
  <c r="X30" i="94"/>
  <c r="V30" i="94"/>
  <c r="N30" i="94"/>
  <c r="L30" i="94"/>
  <c r="B30" i="94"/>
  <c r="Z29" i="94"/>
  <c r="X29" i="94"/>
  <c r="V29" i="94"/>
  <c r="N29" i="94"/>
  <c r="L29" i="94"/>
  <c r="B29" i="94"/>
  <c r="Z28" i="94"/>
  <c r="X28" i="94"/>
  <c r="V28" i="94"/>
  <c r="N28" i="94"/>
  <c r="L28" i="94"/>
  <c r="B28" i="94"/>
  <c r="Z27" i="94"/>
  <c r="X27" i="94"/>
  <c r="V27" i="94"/>
  <c r="N27" i="94"/>
  <c r="L27" i="94"/>
  <c r="B27" i="94"/>
  <c r="Z26" i="94"/>
  <c r="X26" i="94"/>
  <c r="V26" i="94"/>
  <c r="N26" i="94"/>
  <c r="L26" i="94"/>
  <c r="B26" i="94"/>
  <c r="Z25" i="94"/>
  <c r="X25" i="94"/>
  <c r="V25" i="94"/>
  <c r="N25" i="94"/>
  <c r="L25" i="94"/>
  <c r="B25" i="94"/>
  <c r="Z24" i="94"/>
  <c r="X24" i="94"/>
  <c r="V24" i="94"/>
  <c r="N24" i="94"/>
  <c r="L24" i="94"/>
  <c r="B24" i="94"/>
  <c r="V23" i="94"/>
  <c r="T23" i="94"/>
  <c r="Z23" i="94" s="1"/>
  <c r="P23" i="94"/>
  <c r="X23" i="94" s="1"/>
  <c r="N23" i="94"/>
  <c r="J23" i="94"/>
  <c r="H23" i="94"/>
  <c r="D23" i="94"/>
  <c r="L23" i="94" s="1"/>
  <c r="B23" i="94"/>
  <c r="T22" i="94"/>
  <c r="P22" i="94"/>
  <c r="X22" i="94" s="1"/>
  <c r="H22" i="94"/>
  <c r="D22" i="94"/>
  <c r="P20" i="94"/>
  <c r="Z18" i="94"/>
  <c r="X18" i="94"/>
  <c r="N18" i="94"/>
  <c r="L18" i="94"/>
  <c r="B18" i="94"/>
  <c r="Z17" i="94"/>
  <c r="V17" i="94"/>
  <c r="T17" i="94"/>
  <c r="T20" i="94" s="1"/>
  <c r="P17" i="94"/>
  <c r="N17" i="94"/>
  <c r="L17" i="94"/>
  <c r="J17" i="94"/>
  <c r="H17" i="94"/>
  <c r="D17" i="94"/>
  <c r="Z15" i="94"/>
  <c r="X15" i="94"/>
  <c r="P15" i="94"/>
  <c r="N15" i="94"/>
  <c r="L15" i="94"/>
  <c r="D15" i="94"/>
  <c r="B15" i="94"/>
  <c r="Z14" i="94"/>
  <c r="X14" i="94"/>
  <c r="P14" i="94"/>
  <c r="N14" i="94"/>
  <c r="D14" i="94"/>
  <c r="B14" i="94"/>
  <c r="Z13" i="94"/>
  <c r="P13" i="94"/>
  <c r="X13" i="94" s="1"/>
  <c r="N13" i="94"/>
  <c r="D13" i="94"/>
  <c r="L13" i="94" s="1"/>
  <c r="B13" i="94"/>
  <c r="Z12" i="94"/>
  <c r="T12" i="94"/>
  <c r="V70" i="94" s="1"/>
  <c r="P12" i="94"/>
  <c r="N12" i="94"/>
  <c r="H12" i="94"/>
  <c r="D6" i="94"/>
  <c r="D4" i="94"/>
  <c r="Z82" i="93"/>
  <c r="X82" i="93"/>
  <c r="N82" i="93"/>
  <c r="L82" i="93"/>
  <c r="Z78" i="93"/>
  <c r="T78" i="93"/>
  <c r="X78" i="93" s="1"/>
  <c r="P78" i="93"/>
  <c r="H78" i="93"/>
  <c r="N78" i="93" s="1"/>
  <c r="D78" i="93"/>
  <c r="L78" i="93" s="1"/>
  <c r="Z76" i="93"/>
  <c r="X76" i="93"/>
  <c r="N76" i="93"/>
  <c r="L76" i="93"/>
  <c r="B76" i="93"/>
  <c r="T75" i="93"/>
  <c r="R75" i="93"/>
  <c r="P75" i="93"/>
  <c r="L75" i="93"/>
  <c r="H75" i="93"/>
  <c r="N75" i="93" s="1"/>
  <c r="D75" i="93"/>
  <c r="B75" i="93"/>
  <c r="Z74" i="93"/>
  <c r="X74" i="93"/>
  <c r="V74" i="93"/>
  <c r="N74" i="93"/>
  <c r="L74" i="93"/>
  <c r="B74" i="93"/>
  <c r="Z73" i="93"/>
  <c r="X73" i="93"/>
  <c r="N73" i="93"/>
  <c r="L73" i="93"/>
  <c r="B73" i="93"/>
  <c r="Z72" i="93"/>
  <c r="X72" i="93"/>
  <c r="T72" i="93"/>
  <c r="P72" i="93"/>
  <c r="H72" i="93"/>
  <c r="D72" i="93"/>
  <c r="B72" i="93"/>
  <c r="Z71" i="93"/>
  <c r="X71" i="93"/>
  <c r="N71" i="93"/>
  <c r="L71" i="93"/>
  <c r="F71" i="93"/>
  <c r="B71" i="93"/>
  <c r="Z70" i="93"/>
  <c r="X70" i="93"/>
  <c r="N70" i="93"/>
  <c r="L70" i="93"/>
  <c r="B70" i="93"/>
  <c r="Z69" i="93"/>
  <c r="X69" i="93"/>
  <c r="V69" i="93"/>
  <c r="N69" i="93"/>
  <c r="L69" i="93"/>
  <c r="B69" i="93"/>
  <c r="Z68" i="93"/>
  <c r="X68" i="93"/>
  <c r="N68" i="93"/>
  <c r="L68" i="93"/>
  <c r="B68" i="93"/>
  <c r="Z67" i="93"/>
  <c r="X67" i="93"/>
  <c r="N67" i="93"/>
  <c r="L67" i="93"/>
  <c r="B67" i="93"/>
  <c r="Z66" i="93"/>
  <c r="X66" i="93"/>
  <c r="V66" i="93"/>
  <c r="N66" i="93"/>
  <c r="L66" i="93"/>
  <c r="B66" i="93"/>
  <c r="Z65" i="93"/>
  <c r="X65" i="93"/>
  <c r="V65" i="93"/>
  <c r="N65" i="93"/>
  <c r="L65" i="93"/>
  <c r="B65" i="93"/>
  <c r="Z64" i="93"/>
  <c r="X64" i="93"/>
  <c r="V64" i="93"/>
  <c r="N64" i="93"/>
  <c r="L64" i="93"/>
  <c r="B64" i="93"/>
  <c r="Z63" i="93"/>
  <c r="T63" i="93"/>
  <c r="P63" i="93"/>
  <c r="X63" i="93" s="1"/>
  <c r="L63" i="93"/>
  <c r="H63" i="93"/>
  <c r="N63" i="93" s="1"/>
  <c r="D63" i="93"/>
  <c r="B63" i="93"/>
  <c r="Z62" i="93"/>
  <c r="X62" i="93"/>
  <c r="N62" i="93"/>
  <c r="L62" i="93"/>
  <c r="F62" i="93"/>
  <c r="B62" i="93"/>
  <c r="Z61" i="93"/>
  <c r="X61" i="93"/>
  <c r="N61" i="93"/>
  <c r="L61" i="93"/>
  <c r="B61" i="93"/>
  <c r="Z60" i="93"/>
  <c r="X60" i="93"/>
  <c r="T60" i="93"/>
  <c r="P60" i="93"/>
  <c r="N60" i="93"/>
  <c r="L60" i="93"/>
  <c r="H60" i="93"/>
  <c r="D60" i="93"/>
  <c r="B60" i="93"/>
  <c r="Z59" i="93"/>
  <c r="X59" i="93"/>
  <c r="N59" i="93"/>
  <c r="L59" i="93"/>
  <c r="B59" i="93"/>
  <c r="Z58" i="93"/>
  <c r="X58" i="93"/>
  <c r="V58" i="93"/>
  <c r="R58" i="93"/>
  <c r="N58" i="93"/>
  <c r="L58" i="93"/>
  <c r="B58" i="93"/>
  <c r="Z57" i="93"/>
  <c r="X57" i="93"/>
  <c r="N57" i="93"/>
  <c r="L57" i="93"/>
  <c r="B57" i="93"/>
  <c r="Z56" i="93"/>
  <c r="X56" i="93"/>
  <c r="N56" i="93"/>
  <c r="L56" i="93"/>
  <c r="B56" i="93"/>
  <c r="Z55" i="93"/>
  <c r="T55" i="93"/>
  <c r="P55" i="93"/>
  <c r="X55" i="93" s="1"/>
  <c r="H55" i="93"/>
  <c r="N55" i="93" s="1"/>
  <c r="D55" i="93"/>
  <c r="L55" i="93" s="1"/>
  <c r="B55" i="93"/>
  <c r="Z54" i="93"/>
  <c r="X54" i="93"/>
  <c r="V54" i="93"/>
  <c r="N54" i="93"/>
  <c r="L54" i="93"/>
  <c r="B54" i="93"/>
  <c r="X53" i="93"/>
  <c r="V53" i="93"/>
  <c r="T53" i="93"/>
  <c r="Z53" i="93" s="1"/>
  <c r="P53" i="93"/>
  <c r="N53" i="93"/>
  <c r="H53" i="93"/>
  <c r="D53" i="93"/>
  <c r="L53" i="93" s="1"/>
  <c r="B53" i="93"/>
  <c r="Z52" i="93"/>
  <c r="X52" i="93"/>
  <c r="N52" i="93"/>
  <c r="L52" i="93"/>
  <c r="B52" i="93"/>
  <c r="T51" i="93"/>
  <c r="R51" i="93"/>
  <c r="P51" i="93"/>
  <c r="L51" i="93"/>
  <c r="H51" i="93"/>
  <c r="N51" i="93" s="1"/>
  <c r="D51" i="93"/>
  <c r="B51" i="93"/>
  <c r="Z50" i="93"/>
  <c r="X50" i="93"/>
  <c r="V50" i="93"/>
  <c r="N50" i="93"/>
  <c r="L50" i="93"/>
  <c r="B50" i="93"/>
  <c r="T49" i="93"/>
  <c r="P49" i="93"/>
  <c r="X49" i="93" s="1"/>
  <c r="H49" i="93"/>
  <c r="D49" i="93"/>
  <c r="L49" i="93" s="1"/>
  <c r="N49" i="93" s="1"/>
  <c r="B49" i="93"/>
  <c r="Z48" i="93"/>
  <c r="X48" i="93"/>
  <c r="V48" i="93"/>
  <c r="N48" i="93"/>
  <c r="L48" i="93"/>
  <c r="B48" i="93"/>
  <c r="Z47" i="93"/>
  <c r="T47" i="93"/>
  <c r="P47" i="93"/>
  <c r="X47" i="93" s="1"/>
  <c r="L47" i="93"/>
  <c r="J47" i="93"/>
  <c r="H47" i="93"/>
  <c r="N47" i="93" s="1"/>
  <c r="D47" i="93"/>
  <c r="B47" i="93"/>
  <c r="Z46" i="93"/>
  <c r="X46" i="93"/>
  <c r="N46" i="93"/>
  <c r="L46" i="93"/>
  <c r="B46" i="93"/>
  <c r="X45" i="93"/>
  <c r="V45" i="93"/>
  <c r="T45" i="93"/>
  <c r="Z45" i="93" s="1"/>
  <c r="P45" i="93"/>
  <c r="H45" i="93"/>
  <c r="D45" i="93"/>
  <c r="B45" i="93"/>
  <c r="Z44" i="93"/>
  <c r="X44" i="93"/>
  <c r="V44" i="93"/>
  <c r="N44" i="93"/>
  <c r="L44" i="93"/>
  <c r="B44" i="93"/>
  <c r="Z43" i="93"/>
  <c r="T43" i="93"/>
  <c r="P43" i="93"/>
  <c r="X43" i="93" s="1"/>
  <c r="H43" i="93"/>
  <c r="N43" i="93" s="1"/>
  <c r="D43" i="93"/>
  <c r="L43" i="93" s="1"/>
  <c r="B43" i="93"/>
  <c r="Z42" i="93"/>
  <c r="X42" i="93"/>
  <c r="V42" i="93"/>
  <c r="N42" i="93"/>
  <c r="L42" i="93"/>
  <c r="B42" i="93"/>
  <c r="Z41" i="93"/>
  <c r="X41" i="93"/>
  <c r="V41" i="93"/>
  <c r="N41" i="93"/>
  <c r="L41" i="93"/>
  <c r="B41" i="93"/>
  <c r="Z40" i="93"/>
  <c r="X40" i="93"/>
  <c r="V40" i="93"/>
  <c r="N40" i="93"/>
  <c r="L40" i="93"/>
  <c r="B40" i="93"/>
  <c r="Z39" i="93"/>
  <c r="X39" i="93"/>
  <c r="V39" i="93"/>
  <c r="N39" i="93"/>
  <c r="L39" i="93"/>
  <c r="F39" i="93"/>
  <c r="B39" i="93"/>
  <c r="Z38" i="93"/>
  <c r="X38" i="93"/>
  <c r="V38" i="93"/>
  <c r="N38" i="93"/>
  <c r="L38" i="93"/>
  <c r="B38" i="93"/>
  <c r="Z37" i="93"/>
  <c r="X37" i="93"/>
  <c r="V37" i="93"/>
  <c r="N37" i="93"/>
  <c r="L37" i="93"/>
  <c r="B37" i="93"/>
  <c r="Z36" i="93"/>
  <c r="X36" i="93"/>
  <c r="V36" i="93"/>
  <c r="N36" i="93"/>
  <c r="L36" i="93"/>
  <c r="B36" i="93"/>
  <c r="Z35" i="93"/>
  <c r="X35" i="93"/>
  <c r="V35" i="93"/>
  <c r="N35" i="93"/>
  <c r="L35" i="93"/>
  <c r="F35" i="93"/>
  <c r="B35" i="93"/>
  <c r="Z34" i="93"/>
  <c r="X34" i="93"/>
  <c r="V34" i="93"/>
  <c r="N34" i="93"/>
  <c r="L34" i="93"/>
  <c r="B34" i="93"/>
  <c r="Z33" i="93"/>
  <c r="X33" i="93"/>
  <c r="V33" i="93"/>
  <c r="N33" i="93"/>
  <c r="L33" i="93"/>
  <c r="B33" i="93"/>
  <c r="Z32" i="93"/>
  <c r="V32" i="93"/>
  <c r="T32" i="93"/>
  <c r="R32" i="93"/>
  <c r="P32" i="93"/>
  <c r="X32" i="93" s="1"/>
  <c r="H32" i="93"/>
  <c r="N32" i="93" s="1"/>
  <c r="D32" i="93"/>
  <c r="L32" i="93" s="1"/>
  <c r="B32" i="93"/>
  <c r="Z31" i="93"/>
  <c r="X31" i="93"/>
  <c r="R31" i="93"/>
  <c r="N31" i="93"/>
  <c r="L31" i="93"/>
  <c r="B31" i="93"/>
  <c r="Z30" i="93"/>
  <c r="X30" i="93"/>
  <c r="N30" i="93"/>
  <c r="L30" i="93"/>
  <c r="B30" i="93"/>
  <c r="Z29" i="93"/>
  <c r="X29" i="93"/>
  <c r="V29" i="93"/>
  <c r="N29" i="93"/>
  <c r="L29" i="93"/>
  <c r="B29" i="93"/>
  <c r="Z28" i="93"/>
  <c r="X28" i="93"/>
  <c r="N28" i="93"/>
  <c r="L28" i="93"/>
  <c r="B28" i="93"/>
  <c r="Z27" i="93"/>
  <c r="X27" i="93"/>
  <c r="R27" i="93"/>
  <c r="N27" i="93"/>
  <c r="L27" i="93"/>
  <c r="B27" i="93"/>
  <c r="Z26" i="93"/>
  <c r="X26" i="93"/>
  <c r="N26" i="93"/>
  <c r="L26" i="93"/>
  <c r="B26" i="93"/>
  <c r="Z25" i="93"/>
  <c r="X25" i="93"/>
  <c r="V25" i="93"/>
  <c r="N25" i="93"/>
  <c r="L25" i="93"/>
  <c r="B25" i="93"/>
  <c r="Z24" i="93"/>
  <c r="X24" i="93"/>
  <c r="N24" i="93"/>
  <c r="L24" i="93"/>
  <c r="B24" i="93"/>
  <c r="Z23" i="93"/>
  <c r="X23" i="93"/>
  <c r="R23" i="93"/>
  <c r="N23" i="93"/>
  <c r="L23" i="93"/>
  <c r="B23" i="93"/>
  <c r="Z22" i="93"/>
  <c r="T22" i="93"/>
  <c r="X22" i="93" s="1"/>
  <c r="P22" i="93"/>
  <c r="N22" i="93"/>
  <c r="L22" i="93"/>
  <c r="H22" i="93"/>
  <c r="D22" i="93"/>
  <c r="B22" i="93"/>
  <c r="V21" i="93"/>
  <c r="T21" i="93"/>
  <c r="P21" i="93"/>
  <c r="H21" i="93"/>
  <c r="D21" i="93"/>
  <c r="V19" i="93"/>
  <c r="T19" i="93"/>
  <c r="Z19" i="93" s="1"/>
  <c r="Z17" i="93"/>
  <c r="X17" i="93"/>
  <c r="V17" i="93"/>
  <c r="N17" i="93"/>
  <c r="L17" i="93"/>
  <c r="B17" i="93"/>
  <c r="Z16" i="93"/>
  <c r="X16" i="93"/>
  <c r="V16" i="93"/>
  <c r="T16" i="93"/>
  <c r="P16" i="93"/>
  <c r="H16" i="93"/>
  <c r="D16" i="93"/>
  <c r="Z14" i="93"/>
  <c r="P14" i="93"/>
  <c r="X14" i="93" s="1"/>
  <c r="N14" i="93"/>
  <c r="D14" i="93"/>
  <c r="L14" i="93" s="1"/>
  <c r="B14" i="93"/>
  <c r="Z13" i="93"/>
  <c r="X13" i="93"/>
  <c r="P13" i="93"/>
  <c r="P12" i="93" s="1"/>
  <c r="R50" i="93" s="1"/>
  <c r="N13" i="93"/>
  <c r="D13" i="93"/>
  <c r="L13" i="93" s="1"/>
  <c r="B13" i="93"/>
  <c r="Z12" i="93"/>
  <c r="T12" i="93"/>
  <c r="V73" i="93" s="1"/>
  <c r="H12" i="93"/>
  <c r="J57" i="93" s="1"/>
  <c r="D12" i="93"/>
  <c r="D6" i="93"/>
  <c r="D4" i="93"/>
  <c r="V85" i="92"/>
  <c r="J85" i="92"/>
  <c r="V82" i="92"/>
  <c r="J82" i="92"/>
  <c r="Z80" i="92"/>
  <c r="X80" i="92"/>
  <c r="V80" i="92"/>
  <c r="N80" i="92"/>
  <c r="L80" i="92"/>
  <c r="Z76" i="92"/>
  <c r="X76" i="92"/>
  <c r="T76" i="92"/>
  <c r="P76" i="92"/>
  <c r="N76" i="92"/>
  <c r="H76" i="92"/>
  <c r="L76" i="92" s="1"/>
  <c r="D76" i="92"/>
  <c r="Z74" i="92"/>
  <c r="X74" i="92"/>
  <c r="N74" i="92"/>
  <c r="L74" i="92"/>
  <c r="B74" i="92"/>
  <c r="T73" i="92"/>
  <c r="P73" i="92"/>
  <c r="H73" i="92"/>
  <c r="N73" i="92" s="1"/>
  <c r="D73" i="92"/>
  <c r="B73" i="92"/>
  <c r="Z72" i="92"/>
  <c r="X72" i="92"/>
  <c r="V72" i="92"/>
  <c r="N72" i="92"/>
  <c r="L72" i="92"/>
  <c r="B72" i="92"/>
  <c r="Z71" i="92"/>
  <c r="X71" i="92"/>
  <c r="N71" i="92"/>
  <c r="L71" i="92"/>
  <c r="J71" i="92"/>
  <c r="B71" i="92"/>
  <c r="Z70" i="92"/>
  <c r="X70" i="92"/>
  <c r="V70" i="92"/>
  <c r="T70" i="92"/>
  <c r="P70" i="92"/>
  <c r="J70" i="92"/>
  <c r="H70" i="92"/>
  <c r="D70" i="92"/>
  <c r="B70" i="92"/>
  <c r="Z69" i="92"/>
  <c r="X69" i="92"/>
  <c r="N69" i="92"/>
  <c r="L69" i="92"/>
  <c r="B69" i="92"/>
  <c r="Z68" i="92"/>
  <c r="X68" i="92"/>
  <c r="V68" i="92"/>
  <c r="N68" i="92"/>
  <c r="L68" i="92"/>
  <c r="B68" i="92"/>
  <c r="Z67" i="92"/>
  <c r="X67" i="92"/>
  <c r="V67" i="92"/>
  <c r="N67" i="92"/>
  <c r="L67" i="92"/>
  <c r="B67" i="92"/>
  <c r="Z66" i="92"/>
  <c r="X66" i="92"/>
  <c r="V66" i="92"/>
  <c r="N66" i="92"/>
  <c r="L66" i="92"/>
  <c r="B66" i="92"/>
  <c r="Z65" i="92"/>
  <c r="X65" i="92"/>
  <c r="N65" i="92"/>
  <c r="L65" i="92"/>
  <c r="B65" i="92"/>
  <c r="V64" i="92"/>
  <c r="T64" i="92"/>
  <c r="Z64" i="92" s="1"/>
  <c r="P64" i="92"/>
  <c r="X64" i="92" s="1"/>
  <c r="N64" i="92"/>
  <c r="H64" i="92"/>
  <c r="D64" i="92"/>
  <c r="L64" i="92" s="1"/>
  <c r="B64" i="92"/>
  <c r="Z63" i="92"/>
  <c r="X63" i="92"/>
  <c r="N63" i="92"/>
  <c r="L63" i="92"/>
  <c r="B63" i="92"/>
  <c r="Z62" i="92"/>
  <c r="X62" i="92"/>
  <c r="N62" i="92"/>
  <c r="L62" i="92"/>
  <c r="B62" i="92"/>
  <c r="Z61" i="92"/>
  <c r="X61" i="92"/>
  <c r="N61" i="92"/>
  <c r="L61" i="92"/>
  <c r="B61" i="92"/>
  <c r="Z60" i="92"/>
  <c r="X60" i="92"/>
  <c r="N60" i="92"/>
  <c r="L60" i="92"/>
  <c r="B60" i="92"/>
  <c r="T59" i="92"/>
  <c r="Z59" i="92" s="1"/>
  <c r="P59" i="92"/>
  <c r="H59" i="92"/>
  <c r="D59" i="92"/>
  <c r="B59" i="92"/>
  <c r="Z58" i="92"/>
  <c r="X58" i="92"/>
  <c r="V58" i="92"/>
  <c r="N58" i="92"/>
  <c r="L58" i="92"/>
  <c r="B58" i="92"/>
  <c r="Z57" i="92"/>
  <c r="T57" i="92"/>
  <c r="P57" i="92"/>
  <c r="X57" i="92" s="1"/>
  <c r="H57" i="92"/>
  <c r="N57" i="92" s="1"/>
  <c r="D57" i="92"/>
  <c r="L57" i="92" s="1"/>
  <c r="B57" i="92"/>
  <c r="Z56" i="92"/>
  <c r="X56" i="92"/>
  <c r="V56" i="92"/>
  <c r="N56" i="92"/>
  <c r="L56" i="92"/>
  <c r="B56" i="92"/>
  <c r="Z55" i="92"/>
  <c r="X55" i="92"/>
  <c r="V55" i="92"/>
  <c r="N55" i="92"/>
  <c r="L55" i="92"/>
  <c r="B55" i="92"/>
  <c r="Z54" i="92"/>
  <c r="V54" i="92"/>
  <c r="T54" i="92"/>
  <c r="P54" i="92"/>
  <c r="X54" i="92" s="1"/>
  <c r="H54" i="92"/>
  <c r="N54" i="92" s="1"/>
  <c r="D54" i="92"/>
  <c r="L54" i="92" s="1"/>
  <c r="B54" i="92"/>
  <c r="Z53" i="92"/>
  <c r="X53" i="92"/>
  <c r="N53" i="92"/>
  <c r="L53" i="92"/>
  <c r="B53" i="92"/>
  <c r="Z52" i="92"/>
  <c r="T52" i="92"/>
  <c r="X52" i="92" s="1"/>
  <c r="P52" i="92"/>
  <c r="N52" i="92"/>
  <c r="L52" i="92"/>
  <c r="H52" i="92"/>
  <c r="D52" i="92"/>
  <c r="B52" i="92"/>
  <c r="Z51" i="92"/>
  <c r="X51" i="92"/>
  <c r="N51" i="92"/>
  <c r="L51" i="92"/>
  <c r="J51" i="92"/>
  <c r="B51" i="92"/>
  <c r="Z50" i="92"/>
  <c r="X50" i="92"/>
  <c r="V50" i="92"/>
  <c r="T50" i="92"/>
  <c r="P50" i="92"/>
  <c r="H50" i="92"/>
  <c r="D50" i="92"/>
  <c r="B50" i="92"/>
  <c r="Z49" i="92"/>
  <c r="X49" i="92"/>
  <c r="N49" i="92"/>
  <c r="L49" i="92"/>
  <c r="F49" i="92"/>
  <c r="B49" i="92"/>
  <c r="V48" i="92"/>
  <c r="T48" i="92"/>
  <c r="Z48" i="92" s="1"/>
  <c r="P48" i="92"/>
  <c r="X48" i="92" s="1"/>
  <c r="N48" i="92"/>
  <c r="H48" i="92"/>
  <c r="F48" i="92"/>
  <c r="D48" i="92"/>
  <c r="L48" i="92" s="1"/>
  <c r="B48" i="92"/>
  <c r="X47" i="92"/>
  <c r="Z47" i="92" s="1"/>
  <c r="V47" i="92"/>
  <c r="N47" i="92"/>
  <c r="L47" i="92"/>
  <c r="B47" i="92"/>
  <c r="Z46" i="92"/>
  <c r="X46" i="92"/>
  <c r="N46" i="92"/>
  <c r="L46" i="92"/>
  <c r="B46" i="92"/>
  <c r="T45" i="92"/>
  <c r="P45" i="92"/>
  <c r="H45" i="92"/>
  <c r="D45" i="92"/>
  <c r="B45" i="92"/>
  <c r="Z44" i="92"/>
  <c r="X44" i="92"/>
  <c r="V44" i="92"/>
  <c r="R44" i="92"/>
  <c r="N44" i="92"/>
  <c r="L44" i="92"/>
  <c r="B44" i="92"/>
  <c r="V43" i="92"/>
  <c r="T43" i="92"/>
  <c r="Z43" i="92" s="1"/>
  <c r="P43" i="92"/>
  <c r="X43" i="92" s="1"/>
  <c r="N43" i="92"/>
  <c r="H43" i="92"/>
  <c r="D43" i="92"/>
  <c r="L43" i="92" s="1"/>
  <c r="B43" i="92"/>
  <c r="Z42" i="92"/>
  <c r="X42" i="92"/>
  <c r="V42" i="92"/>
  <c r="N42" i="92"/>
  <c r="L42" i="92"/>
  <c r="B42" i="92"/>
  <c r="Z41" i="92"/>
  <c r="X41" i="92"/>
  <c r="T41" i="92"/>
  <c r="P41" i="92"/>
  <c r="L41" i="92"/>
  <c r="J41" i="92"/>
  <c r="H41" i="92"/>
  <c r="N41" i="92" s="1"/>
  <c r="D41" i="92"/>
  <c r="B41" i="92"/>
  <c r="Z40" i="92"/>
  <c r="X40" i="92"/>
  <c r="N40" i="92"/>
  <c r="L40" i="92"/>
  <c r="J40" i="92"/>
  <c r="F40" i="92"/>
  <c r="B40" i="92"/>
  <c r="Z39" i="92"/>
  <c r="X39" i="92"/>
  <c r="V39" i="92"/>
  <c r="R39" i="92"/>
  <c r="N39" i="92"/>
  <c r="L39" i="92"/>
  <c r="B39" i="92"/>
  <c r="Z38" i="92"/>
  <c r="X38" i="92"/>
  <c r="N38" i="92"/>
  <c r="L38" i="92"/>
  <c r="J38" i="92"/>
  <c r="B38" i="92"/>
  <c r="Z37" i="92"/>
  <c r="X37" i="92"/>
  <c r="R37" i="92"/>
  <c r="N37" i="92"/>
  <c r="L37" i="92"/>
  <c r="B37" i="92"/>
  <c r="Z36" i="92"/>
  <c r="X36" i="92"/>
  <c r="N36" i="92"/>
  <c r="L36" i="92"/>
  <c r="J36" i="92"/>
  <c r="B36" i="92"/>
  <c r="Z35" i="92"/>
  <c r="X35" i="92"/>
  <c r="V35" i="92"/>
  <c r="R35" i="92"/>
  <c r="N35" i="92"/>
  <c r="L35" i="92"/>
  <c r="B35" i="92"/>
  <c r="Z34" i="92"/>
  <c r="X34" i="92"/>
  <c r="N34" i="92"/>
  <c r="L34" i="92"/>
  <c r="J34" i="92"/>
  <c r="B34" i="92"/>
  <c r="Z33" i="92"/>
  <c r="X33" i="92"/>
  <c r="R33" i="92"/>
  <c r="N33" i="92"/>
  <c r="L33" i="92"/>
  <c r="B33" i="92"/>
  <c r="Z32" i="92"/>
  <c r="X32" i="92"/>
  <c r="N32" i="92"/>
  <c r="L32" i="92"/>
  <c r="J32" i="92"/>
  <c r="B32" i="92"/>
  <c r="Z31" i="92"/>
  <c r="X31" i="92"/>
  <c r="V31" i="92"/>
  <c r="R31" i="92"/>
  <c r="N31" i="92"/>
  <c r="L31" i="92"/>
  <c r="B31" i="92"/>
  <c r="Z30" i="92"/>
  <c r="X30" i="92"/>
  <c r="T30" i="92"/>
  <c r="P30" i="92"/>
  <c r="N30" i="92"/>
  <c r="H30" i="92"/>
  <c r="L30" i="92" s="1"/>
  <c r="D30" i="92"/>
  <c r="B30" i="92"/>
  <c r="Z29" i="92"/>
  <c r="X29" i="92"/>
  <c r="N29" i="92"/>
  <c r="L29" i="92"/>
  <c r="B29" i="92"/>
  <c r="Z28" i="92"/>
  <c r="X28" i="92"/>
  <c r="V28" i="92"/>
  <c r="R28" i="92"/>
  <c r="N28" i="92"/>
  <c r="L28" i="92"/>
  <c r="B28" i="92"/>
  <c r="Z27" i="92"/>
  <c r="X27" i="92"/>
  <c r="V27" i="92"/>
  <c r="R27" i="92"/>
  <c r="N27" i="92"/>
  <c r="L27" i="92"/>
  <c r="J27" i="92"/>
  <c r="B27" i="92"/>
  <c r="Z26" i="92"/>
  <c r="X26" i="92"/>
  <c r="V26" i="92"/>
  <c r="N26" i="92"/>
  <c r="L26" i="92"/>
  <c r="B26" i="92"/>
  <c r="Z25" i="92"/>
  <c r="X25" i="92"/>
  <c r="N25" i="92"/>
  <c r="L25" i="92"/>
  <c r="B25" i="92"/>
  <c r="Z24" i="92"/>
  <c r="X24" i="92"/>
  <c r="V24" i="92"/>
  <c r="R24" i="92"/>
  <c r="N24" i="92"/>
  <c r="L24" i="92"/>
  <c r="B24" i="92"/>
  <c r="Z23" i="92"/>
  <c r="X23" i="92"/>
  <c r="V23" i="92"/>
  <c r="N23" i="92"/>
  <c r="L23" i="92"/>
  <c r="J23" i="92"/>
  <c r="B23" i="92"/>
  <c r="Z22" i="92"/>
  <c r="X22" i="92"/>
  <c r="V22" i="92"/>
  <c r="N22" i="92"/>
  <c r="L22" i="92"/>
  <c r="J22" i="92"/>
  <c r="B22" i="92"/>
  <c r="Z21" i="92"/>
  <c r="T21" i="92"/>
  <c r="P21" i="92"/>
  <c r="X21" i="92" s="1"/>
  <c r="H21" i="92"/>
  <c r="N21" i="92" s="1"/>
  <c r="D21" i="92"/>
  <c r="B21" i="92"/>
  <c r="V20" i="92"/>
  <c r="T20" i="92"/>
  <c r="P20" i="92"/>
  <c r="J20" i="92"/>
  <c r="H20" i="92"/>
  <c r="F20" i="92"/>
  <c r="D20" i="92"/>
  <c r="V18" i="92"/>
  <c r="T18" i="92"/>
  <c r="T78" i="92" s="1"/>
  <c r="T82" i="92" s="1"/>
  <c r="R18" i="92"/>
  <c r="J18" i="92"/>
  <c r="F18" i="92"/>
  <c r="Z16" i="92"/>
  <c r="X16" i="92"/>
  <c r="V16" i="92"/>
  <c r="N16" i="92"/>
  <c r="L16" i="92"/>
  <c r="B16" i="92"/>
  <c r="X15" i="92"/>
  <c r="V15" i="92"/>
  <c r="T15" i="92"/>
  <c r="Z15" i="92" s="1"/>
  <c r="P15" i="92"/>
  <c r="N15" i="92"/>
  <c r="H15" i="92"/>
  <c r="D15" i="92"/>
  <c r="L15" i="92" s="1"/>
  <c r="Z13" i="92"/>
  <c r="P13" i="92"/>
  <c r="P12" i="92" s="1"/>
  <c r="R72" i="92" s="1"/>
  <c r="N13" i="92"/>
  <c r="D13" i="92"/>
  <c r="L13" i="92" s="1"/>
  <c r="B13" i="92"/>
  <c r="Z12" i="92"/>
  <c r="T12" i="92"/>
  <c r="V57" i="92" s="1"/>
  <c r="N12" i="92"/>
  <c r="H12" i="92"/>
  <c r="J50" i="92" s="1"/>
  <c r="D12" i="92"/>
  <c r="F36" i="92" s="1"/>
  <c r="D6" i="92"/>
  <c r="D4" i="92"/>
  <c r="V88" i="91"/>
  <c r="Z86" i="91"/>
  <c r="X86" i="91"/>
  <c r="N86" i="91"/>
  <c r="L86" i="91"/>
  <c r="R84" i="91"/>
  <c r="Z82" i="91"/>
  <c r="P82" i="91"/>
  <c r="P80" i="91" s="1"/>
  <c r="X80" i="91" s="1"/>
  <c r="N82" i="91"/>
  <c r="L82" i="91"/>
  <c r="D82" i="91"/>
  <c r="B82" i="91"/>
  <c r="Z81" i="91"/>
  <c r="X81" i="91"/>
  <c r="P81" i="91"/>
  <c r="N81" i="91"/>
  <c r="L81" i="91"/>
  <c r="D81" i="91"/>
  <c r="B81" i="91"/>
  <c r="Z80" i="91"/>
  <c r="T80" i="91"/>
  <c r="N80" i="91"/>
  <c r="L80" i="91"/>
  <c r="H80" i="91"/>
  <c r="D80" i="91"/>
  <c r="Z78" i="91"/>
  <c r="X78" i="91"/>
  <c r="N78" i="91"/>
  <c r="L78" i="91"/>
  <c r="B78" i="91"/>
  <c r="T77" i="91"/>
  <c r="P77" i="91"/>
  <c r="X77" i="91" s="1"/>
  <c r="H77" i="91"/>
  <c r="D77" i="91"/>
  <c r="L77" i="91" s="1"/>
  <c r="N77" i="91" s="1"/>
  <c r="B77" i="91"/>
  <c r="Z76" i="91"/>
  <c r="X76" i="91"/>
  <c r="N76" i="91"/>
  <c r="L76" i="91"/>
  <c r="B76" i="91"/>
  <c r="Z75" i="91"/>
  <c r="X75" i="91"/>
  <c r="T75" i="91"/>
  <c r="P75" i="91"/>
  <c r="L75" i="91"/>
  <c r="H75" i="91"/>
  <c r="N75" i="91" s="1"/>
  <c r="D75" i="91"/>
  <c r="B75" i="91"/>
  <c r="Z74" i="91"/>
  <c r="X74" i="91"/>
  <c r="N74" i="91"/>
  <c r="L74" i="91"/>
  <c r="B74" i="91"/>
  <c r="X73" i="91"/>
  <c r="T73" i="91"/>
  <c r="P73" i="91"/>
  <c r="H73" i="91"/>
  <c r="F73" i="91"/>
  <c r="D73" i="91"/>
  <c r="B73" i="91"/>
  <c r="Z72" i="91"/>
  <c r="X72" i="91"/>
  <c r="N72" i="91"/>
  <c r="L72" i="91"/>
  <c r="B72" i="91"/>
  <c r="Z71" i="91"/>
  <c r="X71" i="91"/>
  <c r="R71" i="91"/>
  <c r="N71" i="91"/>
  <c r="L71" i="91"/>
  <c r="B71" i="91"/>
  <c r="Z70" i="91"/>
  <c r="X70" i="91"/>
  <c r="N70" i="91"/>
  <c r="L70" i="91"/>
  <c r="B70" i="91"/>
  <c r="Z69" i="91"/>
  <c r="X69" i="91"/>
  <c r="N69" i="91"/>
  <c r="L69" i="91"/>
  <c r="B69" i="91"/>
  <c r="Z68" i="91"/>
  <c r="X68" i="91"/>
  <c r="N68" i="91"/>
  <c r="L68" i="91"/>
  <c r="B68" i="91"/>
  <c r="Z67" i="91"/>
  <c r="X67" i="91"/>
  <c r="N67" i="91"/>
  <c r="L67" i="91"/>
  <c r="B67" i="91"/>
  <c r="Z66" i="91"/>
  <c r="X66" i="91"/>
  <c r="V66" i="91"/>
  <c r="N66" i="91"/>
  <c r="L66" i="91"/>
  <c r="B66" i="91"/>
  <c r="T65" i="91"/>
  <c r="Z65" i="91" s="1"/>
  <c r="P65" i="91"/>
  <c r="X65" i="91" s="1"/>
  <c r="H65" i="91"/>
  <c r="N65" i="91" s="1"/>
  <c r="F65" i="91"/>
  <c r="D65" i="91"/>
  <c r="L65" i="91" s="1"/>
  <c r="B65" i="91"/>
  <c r="X64" i="91"/>
  <c r="Z64" i="91" s="1"/>
  <c r="N64" i="91"/>
  <c r="L64" i="91"/>
  <c r="B64" i="91"/>
  <c r="T63" i="91"/>
  <c r="P63" i="91"/>
  <c r="X63" i="91" s="1"/>
  <c r="Z63" i="91" s="1"/>
  <c r="L63" i="91"/>
  <c r="H63" i="91"/>
  <c r="N63" i="91" s="1"/>
  <c r="D63" i="91"/>
  <c r="B63" i="91"/>
  <c r="Z62" i="91"/>
  <c r="X62" i="91"/>
  <c r="N62" i="91"/>
  <c r="L62" i="91"/>
  <c r="F62" i="91"/>
  <c r="B62" i="91"/>
  <c r="X61" i="91"/>
  <c r="Z61" i="91" s="1"/>
  <c r="N61" i="91"/>
  <c r="L61" i="91"/>
  <c r="B61" i="91"/>
  <c r="Z60" i="91"/>
  <c r="X60" i="91"/>
  <c r="N60" i="91"/>
  <c r="L60" i="91"/>
  <c r="B60" i="91"/>
  <c r="X59" i="91"/>
  <c r="Z59" i="91" s="1"/>
  <c r="N59" i="91"/>
  <c r="L59" i="91"/>
  <c r="B59" i="91"/>
  <c r="T58" i="91"/>
  <c r="P58" i="91"/>
  <c r="H58" i="91"/>
  <c r="D58" i="91"/>
  <c r="L58" i="91" s="1"/>
  <c r="N58" i="91" s="1"/>
  <c r="B58" i="91"/>
  <c r="Z57" i="91"/>
  <c r="X57" i="91"/>
  <c r="R57" i="91"/>
  <c r="N57" i="91"/>
  <c r="L57" i="91"/>
  <c r="B57" i="91"/>
  <c r="Z56" i="91"/>
  <c r="X56" i="91"/>
  <c r="N56" i="91"/>
  <c r="L56" i="91"/>
  <c r="B56" i="91"/>
  <c r="Z55" i="91"/>
  <c r="T55" i="91"/>
  <c r="P55" i="91"/>
  <c r="H55" i="91"/>
  <c r="N55" i="91" s="1"/>
  <c r="D55" i="91"/>
  <c r="L55" i="91" s="1"/>
  <c r="B55" i="91"/>
  <c r="Z54" i="91"/>
  <c r="X54" i="91"/>
  <c r="N54" i="91"/>
  <c r="L54" i="91"/>
  <c r="B54" i="91"/>
  <c r="T53" i="91"/>
  <c r="P53" i="91"/>
  <c r="X53" i="91" s="1"/>
  <c r="H53" i="91"/>
  <c r="D53" i="91"/>
  <c r="L53" i="91" s="1"/>
  <c r="N53" i="91" s="1"/>
  <c r="B53" i="91"/>
  <c r="Z52" i="91"/>
  <c r="X52" i="91"/>
  <c r="N52" i="91"/>
  <c r="L52" i="91"/>
  <c r="B52" i="91"/>
  <c r="Z51" i="91"/>
  <c r="X51" i="91"/>
  <c r="T51" i="91"/>
  <c r="P51" i="91"/>
  <c r="L51" i="91"/>
  <c r="H51" i="91"/>
  <c r="N51" i="91" s="1"/>
  <c r="D51" i="91"/>
  <c r="B51" i="91"/>
  <c r="Z50" i="91"/>
  <c r="X50" i="91"/>
  <c r="N50" i="91"/>
  <c r="L50" i="91"/>
  <c r="J50" i="91"/>
  <c r="F50" i="91"/>
  <c r="B50" i="91"/>
  <c r="T49" i="91"/>
  <c r="Z49" i="91" s="1"/>
  <c r="P49" i="91"/>
  <c r="X49" i="91" s="1"/>
  <c r="N49" i="91"/>
  <c r="H49" i="91"/>
  <c r="D49" i="91"/>
  <c r="B49" i="91"/>
  <c r="Z48" i="91"/>
  <c r="X48" i="91"/>
  <c r="V48" i="91"/>
  <c r="N48" i="91"/>
  <c r="L48" i="91"/>
  <c r="B48" i="91"/>
  <c r="Z47" i="91"/>
  <c r="X47" i="91"/>
  <c r="T47" i="91"/>
  <c r="P47" i="91"/>
  <c r="H47" i="91"/>
  <c r="N47" i="91" s="1"/>
  <c r="D47" i="91"/>
  <c r="L47" i="91" s="1"/>
  <c r="B47" i="91"/>
  <c r="Z46" i="91"/>
  <c r="X46" i="91"/>
  <c r="N46" i="91"/>
  <c r="L46" i="91"/>
  <c r="B46" i="91"/>
  <c r="Z45" i="91"/>
  <c r="X45" i="91"/>
  <c r="V45" i="91"/>
  <c r="R45" i="91"/>
  <c r="N45" i="91"/>
  <c r="L45" i="91"/>
  <c r="F45" i="91"/>
  <c r="B45" i="91"/>
  <c r="T44" i="91"/>
  <c r="P44" i="91"/>
  <c r="X44" i="91" s="1"/>
  <c r="Z44" i="91" s="1"/>
  <c r="N44" i="91"/>
  <c r="H44" i="91"/>
  <c r="L44" i="91" s="1"/>
  <c r="D44" i="91"/>
  <c r="B44" i="91"/>
  <c r="Z43" i="91"/>
  <c r="X43" i="91"/>
  <c r="N43" i="91"/>
  <c r="L43" i="91"/>
  <c r="B43" i="91"/>
  <c r="Z42" i="91"/>
  <c r="V42" i="91"/>
  <c r="T42" i="91"/>
  <c r="X42" i="91" s="1"/>
  <c r="P42" i="91"/>
  <c r="H42" i="91"/>
  <c r="N42" i="91" s="1"/>
  <c r="D42" i="91"/>
  <c r="L42" i="91" s="1"/>
  <c r="B42" i="91"/>
  <c r="Z41" i="91"/>
  <c r="X41" i="91"/>
  <c r="V41" i="91"/>
  <c r="N41" i="91"/>
  <c r="L41" i="91"/>
  <c r="B41" i="91"/>
  <c r="Z40" i="91"/>
  <c r="X40" i="91"/>
  <c r="T40" i="91"/>
  <c r="P40" i="91"/>
  <c r="J40" i="91"/>
  <c r="H40" i="91"/>
  <c r="N40" i="91" s="1"/>
  <c r="F40" i="91"/>
  <c r="D40" i="91"/>
  <c r="B40" i="91"/>
  <c r="Z39" i="91"/>
  <c r="X39" i="91"/>
  <c r="N39" i="91"/>
  <c r="L39" i="91"/>
  <c r="B39" i="91"/>
  <c r="Z38" i="91"/>
  <c r="X38" i="91"/>
  <c r="R38" i="91"/>
  <c r="N38" i="91"/>
  <c r="L38" i="91"/>
  <c r="F38" i="91"/>
  <c r="B38" i="91"/>
  <c r="Z37" i="91"/>
  <c r="X37" i="91"/>
  <c r="N37" i="91"/>
  <c r="L37" i="91"/>
  <c r="B37" i="91"/>
  <c r="Z36" i="91"/>
  <c r="X36" i="91"/>
  <c r="N36" i="91"/>
  <c r="L36" i="91"/>
  <c r="B36" i="91"/>
  <c r="Z35" i="91"/>
  <c r="X35" i="91"/>
  <c r="R35" i="91"/>
  <c r="N35" i="91"/>
  <c r="L35" i="91"/>
  <c r="B35" i="91"/>
  <c r="Z34" i="91"/>
  <c r="X34" i="91"/>
  <c r="N34" i="91"/>
  <c r="L34" i="91"/>
  <c r="J34" i="91"/>
  <c r="F34" i="91"/>
  <c r="B34" i="91"/>
  <c r="Z33" i="91"/>
  <c r="X33" i="91"/>
  <c r="R33" i="91"/>
  <c r="N33" i="91"/>
  <c r="L33" i="91"/>
  <c r="B33" i="91"/>
  <c r="Z32" i="91"/>
  <c r="X32" i="91"/>
  <c r="N32" i="91"/>
  <c r="L32" i="91"/>
  <c r="B32" i="91"/>
  <c r="Z31" i="91"/>
  <c r="X31" i="91"/>
  <c r="N31" i="91"/>
  <c r="L31" i="91"/>
  <c r="F31" i="91"/>
  <c r="B31" i="91"/>
  <c r="Z30" i="91"/>
  <c r="X30" i="91"/>
  <c r="N30" i="91"/>
  <c r="L30" i="91"/>
  <c r="B30" i="91"/>
  <c r="V29" i="91"/>
  <c r="T29" i="91"/>
  <c r="R29" i="91"/>
  <c r="P29" i="91"/>
  <c r="N29" i="91"/>
  <c r="H29" i="91"/>
  <c r="L29" i="91" s="1"/>
  <c r="F29" i="91"/>
  <c r="D29" i="91"/>
  <c r="B29" i="91"/>
  <c r="Z28" i="91"/>
  <c r="X28" i="91"/>
  <c r="V28" i="91"/>
  <c r="R28" i="91"/>
  <c r="N28" i="91"/>
  <c r="L28" i="91"/>
  <c r="B28" i="91"/>
  <c r="Z27" i="91"/>
  <c r="X27" i="91"/>
  <c r="R27" i="91"/>
  <c r="N27" i="91"/>
  <c r="L27" i="91"/>
  <c r="B27" i="91"/>
  <c r="Z26" i="91"/>
  <c r="X26" i="91"/>
  <c r="V26" i="91"/>
  <c r="N26" i="91"/>
  <c r="L26" i="91"/>
  <c r="B26" i="91"/>
  <c r="Z25" i="91"/>
  <c r="X25" i="91"/>
  <c r="V25" i="91"/>
  <c r="R25" i="91"/>
  <c r="N25" i="91"/>
  <c r="L25" i="91"/>
  <c r="B25" i="91"/>
  <c r="Z24" i="91"/>
  <c r="X24" i="91"/>
  <c r="N24" i="91"/>
  <c r="L24" i="91"/>
  <c r="B24" i="91"/>
  <c r="Z23" i="91"/>
  <c r="X23" i="91"/>
  <c r="N23" i="91"/>
  <c r="L23" i="91"/>
  <c r="B23" i="91"/>
  <c r="Z22" i="91"/>
  <c r="X22" i="91"/>
  <c r="V22" i="91"/>
  <c r="R22" i="91"/>
  <c r="N22" i="91"/>
  <c r="L22" i="91"/>
  <c r="F22" i="91"/>
  <c r="B22" i="91"/>
  <c r="Z21" i="91"/>
  <c r="X21" i="91"/>
  <c r="N21" i="91"/>
  <c r="L21" i="91"/>
  <c r="B21" i="91"/>
  <c r="Z20" i="91"/>
  <c r="X20" i="91"/>
  <c r="V20" i="91"/>
  <c r="N20" i="91"/>
  <c r="L20" i="91"/>
  <c r="B20" i="91"/>
  <c r="Z19" i="91"/>
  <c r="X19" i="91"/>
  <c r="T19" i="91"/>
  <c r="P19" i="91"/>
  <c r="N19" i="91"/>
  <c r="L19" i="91"/>
  <c r="H19" i="91"/>
  <c r="D19" i="91"/>
  <c r="B19" i="91"/>
  <c r="V18" i="91"/>
  <c r="T18" i="91"/>
  <c r="P18" i="91"/>
  <c r="H18" i="91"/>
  <c r="D18" i="91"/>
  <c r="V16" i="91"/>
  <c r="R16" i="91"/>
  <c r="V14" i="91"/>
  <c r="T14" i="91"/>
  <c r="R14" i="91"/>
  <c r="P14" i="91"/>
  <c r="H14" i="91"/>
  <c r="N14" i="91" s="1"/>
  <c r="F14" i="91"/>
  <c r="D14" i="91"/>
  <c r="L14" i="91" s="1"/>
  <c r="Z12" i="91"/>
  <c r="T12" i="91"/>
  <c r="V68" i="91" s="1"/>
  <c r="P12" i="91"/>
  <c r="R66" i="91" s="1"/>
  <c r="N12" i="91"/>
  <c r="L12" i="91"/>
  <c r="H12" i="91"/>
  <c r="J74" i="91" s="1"/>
  <c r="D12" i="91"/>
  <c r="F74" i="91" s="1"/>
  <c r="D6" i="91"/>
  <c r="D4" i="91"/>
  <c r="R39" i="88"/>
  <c r="F39" i="88"/>
  <c r="R36" i="88"/>
  <c r="F36" i="88"/>
  <c r="Z34" i="88"/>
  <c r="X34" i="88"/>
  <c r="R34" i="88"/>
  <c r="N34" i="88"/>
  <c r="L34" i="88"/>
  <c r="V32" i="88"/>
  <c r="R32" i="88"/>
  <c r="X30" i="88"/>
  <c r="V30" i="88"/>
  <c r="T30" i="88"/>
  <c r="Z30" i="88" s="1"/>
  <c r="R30" i="88"/>
  <c r="P30" i="88"/>
  <c r="N30" i="88"/>
  <c r="L30" i="88"/>
  <c r="H30" i="88"/>
  <c r="D30" i="88"/>
  <c r="Z28" i="88"/>
  <c r="X28" i="88"/>
  <c r="V28" i="88"/>
  <c r="R28" i="88"/>
  <c r="N28" i="88"/>
  <c r="L28" i="88"/>
  <c r="F28" i="88"/>
  <c r="B28" i="88"/>
  <c r="T27" i="88"/>
  <c r="Z27" i="88" s="1"/>
  <c r="R27" i="88"/>
  <c r="P27" i="88"/>
  <c r="X27" i="88" s="1"/>
  <c r="N27" i="88"/>
  <c r="H27" i="88"/>
  <c r="F27" i="88"/>
  <c r="D27" i="88"/>
  <c r="L27" i="88" s="1"/>
  <c r="B27" i="88"/>
  <c r="Z26" i="88"/>
  <c r="X26" i="88"/>
  <c r="R26" i="88"/>
  <c r="N26" i="88"/>
  <c r="L26" i="88"/>
  <c r="B26" i="88"/>
  <c r="Z25" i="88"/>
  <c r="X25" i="88"/>
  <c r="T25" i="88"/>
  <c r="P25" i="88"/>
  <c r="N25" i="88"/>
  <c r="L25" i="88"/>
  <c r="J25" i="88"/>
  <c r="H25" i="88"/>
  <c r="D25" i="88"/>
  <c r="B25" i="88"/>
  <c r="Z24" i="88"/>
  <c r="X24" i="88"/>
  <c r="N24" i="88"/>
  <c r="L24" i="88"/>
  <c r="J24" i="88"/>
  <c r="F24" i="88"/>
  <c r="B24" i="88"/>
  <c r="V23" i="88"/>
  <c r="T23" i="88"/>
  <c r="Z23" i="88" s="1"/>
  <c r="R23" i="88"/>
  <c r="P23" i="88"/>
  <c r="J23" i="88"/>
  <c r="H23" i="88"/>
  <c r="N23" i="88" s="1"/>
  <c r="F23" i="88"/>
  <c r="D23" i="88"/>
  <c r="L23" i="88" s="1"/>
  <c r="B23" i="88"/>
  <c r="X22" i="88"/>
  <c r="Z22" i="88" s="1"/>
  <c r="V22" i="88"/>
  <c r="R22" i="88"/>
  <c r="N22" i="88"/>
  <c r="L22" i="88"/>
  <c r="F22" i="88"/>
  <c r="B22" i="88"/>
  <c r="T21" i="88"/>
  <c r="R21" i="88"/>
  <c r="P21" i="88"/>
  <c r="X21" i="88" s="1"/>
  <c r="Z21" i="88" s="1"/>
  <c r="H21" i="88"/>
  <c r="N21" i="88" s="1"/>
  <c r="F21" i="88"/>
  <c r="D21" i="88"/>
  <c r="L21" i="88" s="1"/>
  <c r="B21" i="88"/>
  <c r="Z20" i="88"/>
  <c r="X20" i="88"/>
  <c r="R20" i="88"/>
  <c r="N20" i="88"/>
  <c r="L20" i="88"/>
  <c r="B20" i="88"/>
  <c r="Z19" i="88"/>
  <c r="X19" i="88"/>
  <c r="V19" i="88"/>
  <c r="T19" i="88"/>
  <c r="P19" i="88"/>
  <c r="N19" i="88"/>
  <c r="L19" i="88"/>
  <c r="H19" i="88"/>
  <c r="D19" i="88"/>
  <c r="B19" i="88"/>
  <c r="T18" i="88"/>
  <c r="R18" i="88"/>
  <c r="P18" i="88"/>
  <c r="H18" i="88"/>
  <c r="F18" i="88"/>
  <c r="D18" i="88"/>
  <c r="R16" i="88"/>
  <c r="F16" i="88"/>
  <c r="D16" i="88"/>
  <c r="Z14" i="88"/>
  <c r="X14" i="88"/>
  <c r="T14" i="88"/>
  <c r="R14" i="88"/>
  <c r="P14" i="88"/>
  <c r="P16" i="88" s="1"/>
  <c r="N14" i="88"/>
  <c r="H14" i="88"/>
  <c r="F14" i="88"/>
  <c r="D14" i="88"/>
  <c r="L14" i="88" s="1"/>
  <c r="Z12" i="88"/>
  <c r="X12" i="88"/>
  <c r="T12" i="88"/>
  <c r="V18" i="88" s="1"/>
  <c r="P12" i="88"/>
  <c r="R19" i="88" s="1"/>
  <c r="L12" i="88"/>
  <c r="H12" i="88"/>
  <c r="J26" i="88" s="1"/>
  <c r="D12" i="88"/>
  <c r="F26" i="88" s="1"/>
  <c r="D6" i="88"/>
  <c r="D4" i="88"/>
  <c r="V97" i="87"/>
  <c r="V94" i="87"/>
  <c r="Z92" i="87"/>
  <c r="X92" i="87"/>
  <c r="V92" i="87"/>
  <c r="N92" i="87"/>
  <c r="L92" i="87"/>
  <c r="Z88" i="87"/>
  <c r="T88" i="87"/>
  <c r="P88" i="87"/>
  <c r="X88" i="87" s="1"/>
  <c r="N88" i="87"/>
  <c r="L88" i="87"/>
  <c r="H88" i="87"/>
  <c r="D88" i="87"/>
  <c r="Z86" i="87"/>
  <c r="X86" i="87"/>
  <c r="N86" i="87"/>
  <c r="L86" i="87"/>
  <c r="B86" i="87"/>
  <c r="T85" i="87"/>
  <c r="Z85" i="87" s="1"/>
  <c r="P85" i="87"/>
  <c r="X85" i="87" s="1"/>
  <c r="H85" i="87"/>
  <c r="N85" i="87" s="1"/>
  <c r="D85" i="87"/>
  <c r="L85" i="87" s="1"/>
  <c r="B85" i="87"/>
  <c r="Z84" i="87"/>
  <c r="X84" i="87"/>
  <c r="N84" i="87"/>
  <c r="L84" i="87"/>
  <c r="B84" i="87"/>
  <c r="Z83" i="87"/>
  <c r="T83" i="87"/>
  <c r="P83" i="87"/>
  <c r="X83" i="87" s="1"/>
  <c r="H83" i="87"/>
  <c r="N83" i="87" s="1"/>
  <c r="F83" i="87"/>
  <c r="D83" i="87"/>
  <c r="L83" i="87" s="1"/>
  <c r="B83" i="87"/>
  <c r="Z82" i="87"/>
  <c r="X82" i="87"/>
  <c r="N82" i="87"/>
  <c r="L82" i="87"/>
  <c r="B82" i="87"/>
  <c r="Z81" i="87"/>
  <c r="X81" i="87"/>
  <c r="T81" i="87"/>
  <c r="P81" i="87"/>
  <c r="N81" i="87"/>
  <c r="L81" i="87"/>
  <c r="H81" i="87"/>
  <c r="D81" i="87"/>
  <c r="B81" i="87"/>
  <c r="Z80" i="87"/>
  <c r="X80" i="87"/>
  <c r="N80" i="87"/>
  <c r="L80" i="87"/>
  <c r="B80" i="87"/>
  <c r="V79" i="87"/>
  <c r="T79" i="87"/>
  <c r="Z79" i="87" s="1"/>
  <c r="P79" i="87"/>
  <c r="X79" i="87" s="1"/>
  <c r="H79" i="87"/>
  <c r="N79" i="87" s="1"/>
  <c r="D79" i="87"/>
  <c r="L79" i="87" s="1"/>
  <c r="B79" i="87"/>
  <c r="Z78" i="87"/>
  <c r="X78" i="87"/>
  <c r="V78" i="87"/>
  <c r="N78" i="87"/>
  <c r="L78" i="87"/>
  <c r="B78" i="87"/>
  <c r="Z77" i="87"/>
  <c r="X77" i="87"/>
  <c r="N77" i="87"/>
  <c r="L77" i="87"/>
  <c r="B77" i="87"/>
  <c r="Z76" i="87"/>
  <c r="X76" i="87"/>
  <c r="N76" i="87"/>
  <c r="L76" i="87"/>
  <c r="B76" i="87"/>
  <c r="Z75" i="87"/>
  <c r="X75" i="87"/>
  <c r="N75" i="87"/>
  <c r="L75" i="87"/>
  <c r="B75" i="87"/>
  <c r="Z74" i="87"/>
  <c r="X74" i="87"/>
  <c r="V74" i="87"/>
  <c r="N74" i="87"/>
  <c r="L74" i="87"/>
  <c r="B74" i="87"/>
  <c r="Z73" i="87"/>
  <c r="X73" i="87"/>
  <c r="N73" i="87"/>
  <c r="L73" i="87"/>
  <c r="B73" i="87"/>
  <c r="Z72" i="87"/>
  <c r="X72" i="87"/>
  <c r="N72" i="87"/>
  <c r="L72" i="87"/>
  <c r="B72" i="87"/>
  <c r="Z71" i="87"/>
  <c r="X71" i="87"/>
  <c r="N71" i="87"/>
  <c r="L71" i="87"/>
  <c r="B71" i="87"/>
  <c r="Z70" i="87"/>
  <c r="X70" i="87"/>
  <c r="V70" i="87"/>
  <c r="N70" i="87"/>
  <c r="L70" i="87"/>
  <c r="B70" i="87"/>
  <c r="T69" i="87"/>
  <c r="Z69" i="87" s="1"/>
  <c r="P69" i="87"/>
  <c r="X69" i="87" s="1"/>
  <c r="N69" i="87"/>
  <c r="H69" i="87"/>
  <c r="D69" i="87"/>
  <c r="L69" i="87" s="1"/>
  <c r="B69" i="87"/>
  <c r="Z68" i="87"/>
  <c r="X68" i="87"/>
  <c r="N68" i="87"/>
  <c r="L68" i="87"/>
  <c r="B68" i="87"/>
  <c r="Z67" i="87"/>
  <c r="X67" i="87"/>
  <c r="T67" i="87"/>
  <c r="P67" i="87"/>
  <c r="N67" i="87"/>
  <c r="L67" i="87"/>
  <c r="H67" i="87"/>
  <c r="D67" i="87"/>
  <c r="B67" i="87"/>
  <c r="Z66" i="87"/>
  <c r="X66" i="87"/>
  <c r="N66" i="87"/>
  <c r="L66" i="87"/>
  <c r="B66" i="87"/>
  <c r="Z65" i="87"/>
  <c r="X65" i="87"/>
  <c r="N65" i="87"/>
  <c r="L65" i="87"/>
  <c r="B65" i="87"/>
  <c r="Z64" i="87"/>
  <c r="X64" i="87"/>
  <c r="N64" i="87"/>
  <c r="L64" i="87"/>
  <c r="B64" i="87"/>
  <c r="Z63" i="87"/>
  <c r="X63" i="87"/>
  <c r="V63" i="87"/>
  <c r="N63" i="87"/>
  <c r="L63" i="87"/>
  <c r="B63" i="87"/>
  <c r="Z62" i="87"/>
  <c r="T62" i="87"/>
  <c r="P62" i="87"/>
  <c r="X62" i="87" s="1"/>
  <c r="N62" i="87"/>
  <c r="L62" i="87"/>
  <c r="H62" i="87"/>
  <c r="D62" i="87"/>
  <c r="B62" i="87"/>
  <c r="Z61" i="87"/>
  <c r="X61" i="87"/>
  <c r="N61" i="87"/>
  <c r="L61" i="87"/>
  <c r="B61" i="87"/>
  <c r="Z60" i="87"/>
  <c r="X60" i="87"/>
  <c r="V60" i="87"/>
  <c r="T60" i="87"/>
  <c r="P60" i="87"/>
  <c r="L60" i="87"/>
  <c r="H60" i="87"/>
  <c r="N60" i="87" s="1"/>
  <c r="D60" i="87"/>
  <c r="B60" i="87"/>
  <c r="Z59" i="87"/>
  <c r="X59" i="87"/>
  <c r="N59" i="87"/>
  <c r="L59" i="87"/>
  <c r="B59" i="87"/>
  <c r="Z58" i="87"/>
  <c r="X58" i="87"/>
  <c r="N58" i="87"/>
  <c r="L58" i="87"/>
  <c r="B58" i="87"/>
  <c r="Z57" i="87"/>
  <c r="X57" i="87"/>
  <c r="V57" i="87"/>
  <c r="T57" i="87"/>
  <c r="P57" i="87"/>
  <c r="N57" i="87"/>
  <c r="L57" i="87"/>
  <c r="H57" i="87"/>
  <c r="D57" i="87"/>
  <c r="B57" i="87"/>
  <c r="X56" i="87"/>
  <c r="Z56" i="87" s="1"/>
  <c r="L56" i="87"/>
  <c r="N56" i="87" s="1"/>
  <c r="B56" i="87"/>
  <c r="V55" i="87"/>
  <c r="T55" i="87"/>
  <c r="P55" i="87"/>
  <c r="X55" i="87" s="1"/>
  <c r="H55" i="87"/>
  <c r="D55" i="87"/>
  <c r="L55" i="87" s="1"/>
  <c r="B55" i="87"/>
  <c r="Z54" i="87"/>
  <c r="X54" i="87"/>
  <c r="V54" i="87"/>
  <c r="N54" i="87"/>
  <c r="L54" i="87"/>
  <c r="B54" i="87"/>
  <c r="T53" i="87"/>
  <c r="Z53" i="87" s="1"/>
  <c r="P53" i="87"/>
  <c r="X53" i="87" s="1"/>
  <c r="N53" i="87"/>
  <c r="H53" i="87"/>
  <c r="D53" i="87"/>
  <c r="L53" i="87" s="1"/>
  <c r="B53" i="87"/>
  <c r="Z52" i="87"/>
  <c r="X52" i="87"/>
  <c r="R52" i="87"/>
  <c r="L52" i="87"/>
  <c r="N52" i="87" s="1"/>
  <c r="B52" i="87"/>
  <c r="X51" i="87"/>
  <c r="Z51" i="87" s="1"/>
  <c r="T51" i="87"/>
  <c r="P51" i="87"/>
  <c r="L51" i="87"/>
  <c r="N51" i="87" s="1"/>
  <c r="H51" i="87"/>
  <c r="D51" i="87"/>
  <c r="B51" i="87"/>
  <c r="Z50" i="87"/>
  <c r="X50" i="87"/>
  <c r="N50" i="87"/>
  <c r="L50" i="87"/>
  <c r="F50" i="87"/>
  <c r="B50" i="87"/>
  <c r="T49" i="87"/>
  <c r="Z49" i="87" s="1"/>
  <c r="P49" i="87"/>
  <c r="X49" i="87" s="1"/>
  <c r="H49" i="87"/>
  <c r="N49" i="87" s="1"/>
  <c r="D49" i="87"/>
  <c r="B49" i="87"/>
  <c r="X48" i="87"/>
  <c r="Z48" i="87" s="1"/>
  <c r="V48" i="87"/>
  <c r="N48" i="87"/>
  <c r="L48" i="87"/>
  <c r="B48" i="87"/>
  <c r="Z47" i="87"/>
  <c r="X47" i="87"/>
  <c r="N47" i="87"/>
  <c r="L47" i="87"/>
  <c r="B47" i="87"/>
  <c r="V46" i="87"/>
  <c r="T46" i="87"/>
  <c r="P46" i="87"/>
  <c r="L46" i="87"/>
  <c r="N46" i="87" s="1"/>
  <c r="H46" i="87"/>
  <c r="D46" i="87"/>
  <c r="B46" i="87"/>
  <c r="Z45" i="87"/>
  <c r="X45" i="87"/>
  <c r="V45" i="87"/>
  <c r="N45" i="87"/>
  <c r="L45" i="87"/>
  <c r="B45" i="87"/>
  <c r="T44" i="87"/>
  <c r="Z44" i="87" s="1"/>
  <c r="P44" i="87"/>
  <c r="H44" i="87"/>
  <c r="N44" i="87" s="1"/>
  <c r="D44" i="87"/>
  <c r="B44" i="87"/>
  <c r="Z43" i="87"/>
  <c r="X43" i="87"/>
  <c r="V43" i="87"/>
  <c r="N43" i="87"/>
  <c r="L43" i="87"/>
  <c r="B43" i="87"/>
  <c r="Z42" i="87"/>
  <c r="T42" i="87"/>
  <c r="P42" i="87"/>
  <c r="X42" i="87" s="1"/>
  <c r="N42" i="87"/>
  <c r="L42" i="87"/>
  <c r="H42" i="87"/>
  <c r="D42" i="87"/>
  <c r="B42" i="87"/>
  <c r="Z41" i="87"/>
  <c r="X41" i="87"/>
  <c r="N41" i="87"/>
  <c r="L41" i="87"/>
  <c r="B41" i="87"/>
  <c r="Z40" i="87"/>
  <c r="X40" i="87"/>
  <c r="V40" i="87"/>
  <c r="N40" i="87"/>
  <c r="L40" i="87"/>
  <c r="B40" i="87"/>
  <c r="Z39" i="87"/>
  <c r="X39" i="87"/>
  <c r="N39" i="87"/>
  <c r="L39" i="87"/>
  <c r="B39" i="87"/>
  <c r="Z38" i="87"/>
  <c r="X38" i="87"/>
  <c r="V38" i="87"/>
  <c r="N38" i="87"/>
  <c r="L38" i="87"/>
  <c r="B38" i="87"/>
  <c r="Z37" i="87"/>
  <c r="X37" i="87"/>
  <c r="N37" i="87"/>
  <c r="L37" i="87"/>
  <c r="B37" i="87"/>
  <c r="Z36" i="87"/>
  <c r="X36" i="87"/>
  <c r="V36" i="87"/>
  <c r="N36" i="87"/>
  <c r="L36" i="87"/>
  <c r="B36" i="87"/>
  <c r="Z35" i="87"/>
  <c r="X35" i="87"/>
  <c r="N35" i="87"/>
  <c r="L35" i="87"/>
  <c r="B35" i="87"/>
  <c r="Z34" i="87"/>
  <c r="X34" i="87"/>
  <c r="V34" i="87"/>
  <c r="N34" i="87"/>
  <c r="L34" i="87"/>
  <c r="F34" i="87"/>
  <c r="B34" i="87"/>
  <c r="Z33" i="87"/>
  <c r="X33" i="87"/>
  <c r="N33" i="87"/>
  <c r="L33" i="87"/>
  <c r="B33" i="87"/>
  <c r="Z32" i="87"/>
  <c r="X32" i="87"/>
  <c r="V32" i="87"/>
  <c r="N32" i="87"/>
  <c r="L32" i="87"/>
  <c r="B32" i="87"/>
  <c r="Z31" i="87"/>
  <c r="T31" i="87"/>
  <c r="P31" i="87"/>
  <c r="X31" i="87" s="1"/>
  <c r="H31" i="87"/>
  <c r="N31" i="87" s="1"/>
  <c r="D31" i="87"/>
  <c r="L31" i="87" s="1"/>
  <c r="B31" i="87"/>
  <c r="Z30" i="87"/>
  <c r="X30" i="87"/>
  <c r="N30" i="87"/>
  <c r="L30" i="87"/>
  <c r="B30" i="87"/>
  <c r="Z29" i="87"/>
  <c r="X29" i="87"/>
  <c r="V29" i="87"/>
  <c r="N29" i="87"/>
  <c r="L29" i="87"/>
  <c r="B29" i="87"/>
  <c r="Z28" i="87"/>
  <c r="X28" i="87"/>
  <c r="R28" i="87"/>
  <c r="N28" i="87"/>
  <c r="L28" i="87"/>
  <c r="B28" i="87"/>
  <c r="Z27" i="87"/>
  <c r="X27" i="87"/>
  <c r="N27" i="87"/>
  <c r="L27" i="87"/>
  <c r="F27" i="87"/>
  <c r="B27" i="87"/>
  <c r="Z26" i="87"/>
  <c r="X26" i="87"/>
  <c r="N26" i="87"/>
  <c r="L26" i="87"/>
  <c r="B26" i="87"/>
  <c r="Z25" i="87"/>
  <c r="X25" i="87"/>
  <c r="V25" i="87"/>
  <c r="N25" i="87"/>
  <c r="L25" i="87"/>
  <c r="F25" i="87"/>
  <c r="B25" i="87"/>
  <c r="Z24" i="87"/>
  <c r="X24" i="87"/>
  <c r="R24" i="87"/>
  <c r="N24" i="87"/>
  <c r="L24" i="87"/>
  <c r="B24" i="87"/>
  <c r="Z23" i="87"/>
  <c r="X23" i="87"/>
  <c r="N23" i="87"/>
  <c r="L23" i="87"/>
  <c r="F23" i="87"/>
  <c r="B23" i="87"/>
  <c r="T22" i="87"/>
  <c r="R22" i="87"/>
  <c r="P22" i="87"/>
  <c r="H22" i="87"/>
  <c r="N22" i="87" s="1"/>
  <c r="D22" i="87"/>
  <c r="L22" i="87" s="1"/>
  <c r="B22" i="87"/>
  <c r="V21" i="87"/>
  <c r="T21" i="87"/>
  <c r="P21" i="87"/>
  <c r="X21" i="87" s="1"/>
  <c r="H21" i="87"/>
  <c r="D21" i="87"/>
  <c r="V19" i="87"/>
  <c r="T19" i="87"/>
  <c r="F19" i="87"/>
  <c r="Z17" i="87"/>
  <c r="X17" i="87"/>
  <c r="V17" i="87"/>
  <c r="R17" i="87"/>
  <c r="N17" i="87"/>
  <c r="L17" i="87"/>
  <c r="B17" i="87"/>
  <c r="Z16" i="87"/>
  <c r="X16" i="87"/>
  <c r="V16" i="87"/>
  <c r="T16" i="87"/>
  <c r="P16" i="87"/>
  <c r="N16" i="87"/>
  <c r="J16" i="87"/>
  <c r="H16" i="87"/>
  <c r="D16" i="87"/>
  <c r="L16" i="87" s="1"/>
  <c r="Z14" i="87"/>
  <c r="X14" i="87"/>
  <c r="P14" i="87"/>
  <c r="N14" i="87"/>
  <c r="D14" i="87"/>
  <c r="L14" i="87" s="1"/>
  <c r="B14" i="87"/>
  <c r="Z13" i="87"/>
  <c r="X13" i="87"/>
  <c r="P13" i="87"/>
  <c r="N13" i="87"/>
  <c r="D13" i="87"/>
  <c r="D12" i="87" s="1"/>
  <c r="F72" i="87" s="1"/>
  <c r="B13" i="87"/>
  <c r="Z12" i="87"/>
  <c r="T12" i="87"/>
  <c r="V81" i="87" s="1"/>
  <c r="P12" i="87"/>
  <c r="R63" i="87" s="1"/>
  <c r="H12" i="87"/>
  <c r="J85" i="87" s="1"/>
  <c r="D6" i="87"/>
  <c r="D4" i="87"/>
  <c r="F35" i="85"/>
  <c r="X30" i="85"/>
  <c r="Z30" i="85" s="1"/>
  <c r="L30" i="85"/>
  <c r="N30" i="85" s="1"/>
  <c r="F30" i="85"/>
  <c r="X26" i="85"/>
  <c r="V26" i="85"/>
  <c r="T26" i="85"/>
  <c r="Z26" i="85" s="1"/>
  <c r="P26" i="85"/>
  <c r="H26" i="85"/>
  <c r="N26" i="85" s="1"/>
  <c r="D26" i="85"/>
  <c r="L26" i="85" s="1"/>
  <c r="X24" i="85"/>
  <c r="Z24" i="85" s="1"/>
  <c r="V24" i="85"/>
  <c r="L24" i="85"/>
  <c r="N24" i="85" s="1"/>
  <c r="B24" i="85"/>
  <c r="V23" i="85"/>
  <c r="T23" i="85"/>
  <c r="P23" i="85"/>
  <c r="X23" i="85" s="1"/>
  <c r="Z23" i="85" s="1"/>
  <c r="L23" i="85"/>
  <c r="N23" i="85" s="1"/>
  <c r="J23" i="85"/>
  <c r="H23" i="85"/>
  <c r="D23" i="85"/>
  <c r="B23" i="85"/>
  <c r="T22" i="85"/>
  <c r="P22" i="85"/>
  <c r="L22" i="85"/>
  <c r="N22" i="85" s="1"/>
  <c r="H22" i="85"/>
  <c r="D22" i="85"/>
  <c r="T20" i="85"/>
  <c r="Z18" i="85"/>
  <c r="X18" i="85"/>
  <c r="N18" i="85"/>
  <c r="L18" i="85"/>
  <c r="J18" i="85"/>
  <c r="B18" i="85"/>
  <c r="Z17" i="85"/>
  <c r="X17" i="85"/>
  <c r="N17" i="85"/>
  <c r="L17" i="85"/>
  <c r="J17" i="85"/>
  <c r="B17" i="85"/>
  <c r="X16" i="85"/>
  <c r="Z16" i="85" s="1"/>
  <c r="T16" i="85"/>
  <c r="P16" i="85"/>
  <c r="H16" i="85"/>
  <c r="D16" i="85"/>
  <c r="Z14" i="85"/>
  <c r="X14" i="85"/>
  <c r="P14" i="85"/>
  <c r="N14" i="85"/>
  <c r="D14" i="85"/>
  <c r="L14" i="85" s="1"/>
  <c r="B14" i="85"/>
  <c r="P13" i="85"/>
  <c r="N13" i="85"/>
  <c r="L13" i="85"/>
  <c r="D13" i="85"/>
  <c r="B13" i="85"/>
  <c r="T12" i="85"/>
  <c r="H12" i="85"/>
  <c r="J24" i="85" s="1"/>
  <c r="D12" i="85"/>
  <c r="D6" i="85"/>
  <c r="D4" i="85"/>
  <c r="X121" i="84"/>
  <c r="Z121" i="84" s="1"/>
  <c r="N121" i="84"/>
  <c r="L121" i="84"/>
  <c r="X117" i="84"/>
  <c r="T117" i="84"/>
  <c r="Z117" i="84" s="1"/>
  <c r="P117" i="84"/>
  <c r="H117" i="84"/>
  <c r="N117" i="84" s="1"/>
  <c r="D117" i="84"/>
  <c r="L117" i="84" s="1"/>
  <c r="X115" i="84"/>
  <c r="Z115" i="84" s="1"/>
  <c r="L115" i="84"/>
  <c r="N115" i="84" s="1"/>
  <c r="B115" i="84"/>
  <c r="T114" i="84"/>
  <c r="P114" i="84"/>
  <c r="X114" i="84" s="1"/>
  <c r="Z114" i="84" s="1"/>
  <c r="H114" i="84"/>
  <c r="D114" i="84"/>
  <c r="L114" i="84" s="1"/>
  <c r="N114" i="84" s="1"/>
  <c r="B114" i="84"/>
  <c r="X113" i="84"/>
  <c r="Z113" i="84" s="1"/>
  <c r="N113" i="84"/>
  <c r="L113" i="84"/>
  <c r="B113" i="84"/>
  <c r="Z112" i="84"/>
  <c r="X112" i="84"/>
  <c r="N112" i="84"/>
  <c r="L112" i="84"/>
  <c r="J112" i="84"/>
  <c r="B112" i="84"/>
  <c r="X111" i="84"/>
  <c r="T111" i="84"/>
  <c r="Z111" i="84" s="1"/>
  <c r="P111" i="84"/>
  <c r="H111" i="84"/>
  <c r="D111" i="84"/>
  <c r="B111" i="84"/>
  <c r="Z110" i="84"/>
  <c r="X110" i="84"/>
  <c r="N110" i="84"/>
  <c r="L110" i="84"/>
  <c r="J110" i="84"/>
  <c r="B110" i="84"/>
  <c r="Z109" i="84"/>
  <c r="T109" i="84"/>
  <c r="P109" i="84"/>
  <c r="X109" i="84" s="1"/>
  <c r="H109" i="84"/>
  <c r="N109" i="84" s="1"/>
  <c r="D109" i="84"/>
  <c r="L109" i="84" s="1"/>
  <c r="B109" i="84"/>
  <c r="Z108" i="84"/>
  <c r="X108" i="84"/>
  <c r="N108" i="84"/>
  <c r="L108" i="84"/>
  <c r="B108" i="84"/>
  <c r="X107" i="84"/>
  <c r="Z107" i="84" s="1"/>
  <c r="L107" i="84"/>
  <c r="N107" i="84" s="1"/>
  <c r="B107" i="84"/>
  <c r="T106" i="84"/>
  <c r="P106" i="84"/>
  <c r="X106" i="84" s="1"/>
  <c r="Z106" i="84" s="1"/>
  <c r="H106" i="84"/>
  <c r="D106" i="84"/>
  <c r="L106" i="84" s="1"/>
  <c r="N106" i="84" s="1"/>
  <c r="B106" i="84"/>
  <c r="X105" i="84"/>
  <c r="Z105" i="84" s="1"/>
  <c r="N105" i="84"/>
  <c r="L105" i="84"/>
  <c r="B105" i="84"/>
  <c r="X104" i="84"/>
  <c r="Z104" i="84" s="1"/>
  <c r="N104" i="84"/>
  <c r="L104" i="84"/>
  <c r="J104" i="84"/>
  <c r="B104" i="84"/>
  <c r="X103" i="84"/>
  <c r="Z103" i="84" s="1"/>
  <c r="N103" i="84"/>
  <c r="L103" i="84"/>
  <c r="B103" i="84"/>
  <c r="Z102" i="84"/>
  <c r="X102" i="84"/>
  <c r="N102" i="84"/>
  <c r="L102" i="84"/>
  <c r="B102" i="84"/>
  <c r="X101" i="84"/>
  <c r="Z101" i="84" s="1"/>
  <c r="N101" i="84"/>
  <c r="L101" i="84"/>
  <c r="B101" i="84"/>
  <c r="Z100" i="84"/>
  <c r="X100" i="84"/>
  <c r="N100" i="84"/>
  <c r="L100" i="84"/>
  <c r="J100" i="84"/>
  <c r="B100" i="84"/>
  <c r="X99" i="84"/>
  <c r="T99" i="84"/>
  <c r="Z99" i="84" s="1"/>
  <c r="P99" i="84"/>
  <c r="L99" i="84"/>
  <c r="H99" i="84"/>
  <c r="D99" i="84"/>
  <c r="B99" i="84"/>
  <c r="Z98" i="84"/>
  <c r="X98" i="84"/>
  <c r="N98" i="84"/>
  <c r="L98" i="84"/>
  <c r="J98" i="84"/>
  <c r="B98" i="84"/>
  <c r="Z97" i="84"/>
  <c r="X97" i="84"/>
  <c r="N97" i="84"/>
  <c r="L97" i="84"/>
  <c r="B97" i="84"/>
  <c r="T96" i="84"/>
  <c r="P96" i="84"/>
  <c r="N96" i="84"/>
  <c r="H96" i="84"/>
  <c r="D96" i="84"/>
  <c r="L96" i="84" s="1"/>
  <c r="B96" i="84"/>
  <c r="X95" i="84"/>
  <c r="Z95" i="84" s="1"/>
  <c r="L95" i="84"/>
  <c r="N95" i="84" s="1"/>
  <c r="B95" i="84"/>
  <c r="Z94" i="84"/>
  <c r="X94" i="84"/>
  <c r="V94" i="84"/>
  <c r="N94" i="84"/>
  <c r="L94" i="84"/>
  <c r="B94" i="84"/>
  <c r="Z93" i="84"/>
  <c r="X93" i="84"/>
  <c r="N93" i="84"/>
  <c r="L93" i="84"/>
  <c r="B93" i="84"/>
  <c r="T92" i="84"/>
  <c r="P92" i="84"/>
  <c r="X92" i="84" s="1"/>
  <c r="Z92" i="84" s="1"/>
  <c r="J92" i="84"/>
  <c r="H92" i="84"/>
  <c r="D92" i="84"/>
  <c r="L92" i="84" s="1"/>
  <c r="N92" i="84" s="1"/>
  <c r="B92" i="84"/>
  <c r="X91" i="84"/>
  <c r="Z91" i="84" s="1"/>
  <c r="N91" i="84"/>
  <c r="L91" i="84"/>
  <c r="B91" i="84"/>
  <c r="Z90" i="84"/>
  <c r="X90" i="84"/>
  <c r="N90" i="84"/>
  <c r="L90" i="84"/>
  <c r="B90" i="84"/>
  <c r="X89" i="84"/>
  <c r="T89" i="84"/>
  <c r="P89" i="84"/>
  <c r="L89" i="84"/>
  <c r="H89" i="84"/>
  <c r="N89" i="84" s="1"/>
  <c r="D89" i="84"/>
  <c r="B89" i="84"/>
  <c r="Z88" i="84"/>
  <c r="X88" i="84"/>
  <c r="V88" i="84"/>
  <c r="N88" i="84"/>
  <c r="L88" i="84"/>
  <c r="B88" i="84"/>
  <c r="T87" i="84"/>
  <c r="P87" i="84"/>
  <c r="H87" i="84"/>
  <c r="D87" i="84"/>
  <c r="L87" i="84" s="1"/>
  <c r="N87" i="84" s="1"/>
  <c r="B87" i="84"/>
  <c r="Z86" i="84"/>
  <c r="X86" i="84"/>
  <c r="N86" i="84"/>
  <c r="L86" i="84"/>
  <c r="B86" i="84"/>
  <c r="T85" i="84"/>
  <c r="Z85" i="84" s="1"/>
  <c r="P85" i="84"/>
  <c r="X85" i="84" s="1"/>
  <c r="L85" i="84"/>
  <c r="J85" i="84"/>
  <c r="H85" i="84"/>
  <c r="N85" i="84" s="1"/>
  <c r="D85" i="84"/>
  <c r="B85" i="84"/>
  <c r="X84" i="84"/>
  <c r="Z84" i="84" s="1"/>
  <c r="N84" i="84"/>
  <c r="L84" i="84"/>
  <c r="J84" i="84"/>
  <c r="B84" i="84"/>
  <c r="X83" i="84"/>
  <c r="T83" i="84"/>
  <c r="Z83" i="84" s="1"/>
  <c r="P83" i="84"/>
  <c r="H83" i="84"/>
  <c r="D83" i="84"/>
  <c r="B83" i="84"/>
  <c r="Z82" i="84"/>
  <c r="X82" i="84"/>
  <c r="N82" i="84"/>
  <c r="L82" i="84"/>
  <c r="J82" i="84"/>
  <c r="B82" i="84"/>
  <c r="T81" i="84"/>
  <c r="P81" i="84"/>
  <c r="X81" i="84" s="1"/>
  <c r="H81" i="84"/>
  <c r="N81" i="84" s="1"/>
  <c r="D81" i="84"/>
  <c r="L81" i="84" s="1"/>
  <c r="B81" i="84"/>
  <c r="Z80" i="84"/>
  <c r="X80" i="84"/>
  <c r="N80" i="84"/>
  <c r="L80" i="84"/>
  <c r="B80" i="84"/>
  <c r="X79" i="84"/>
  <c r="Z79" i="84" s="1"/>
  <c r="V79" i="84"/>
  <c r="N79" i="84"/>
  <c r="L79" i="84"/>
  <c r="B79" i="84"/>
  <c r="T78" i="84"/>
  <c r="P78" i="84"/>
  <c r="X78" i="84" s="1"/>
  <c r="Z78" i="84" s="1"/>
  <c r="N78" i="84"/>
  <c r="J78" i="84"/>
  <c r="H78" i="84"/>
  <c r="D78" i="84"/>
  <c r="L78" i="84" s="1"/>
  <c r="B78" i="84"/>
  <c r="X77" i="84"/>
  <c r="Z77" i="84" s="1"/>
  <c r="N77" i="84"/>
  <c r="L77" i="84"/>
  <c r="B77" i="84"/>
  <c r="X76" i="84"/>
  <c r="Z76" i="84" s="1"/>
  <c r="T76" i="84"/>
  <c r="P76" i="84"/>
  <c r="N76" i="84"/>
  <c r="L76" i="84"/>
  <c r="H76" i="84"/>
  <c r="D76" i="84"/>
  <c r="B76" i="84"/>
  <c r="Z75" i="84"/>
  <c r="X75" i="84"/>
  <c r="N75" i="84"/>
  <c r="L75" i="84"/>
  <c r="J75" i="84"/>
  <c r="B75" i="84"/>
  <c r="Z74" i="84"/>
  <c r="T74" i="84"/>
  <c r="X74" i="84" s="1"/>
  <c r="P74" i="84"/>
  <c r="H74" i="84"/>
  <c r="N74" i="84" s="1"/>
  <c r="D74" i="84"/>
  <c r="B74" i="84"/>
  <c r="X73" i="84"/>
  <c r="Z73" i="84" s="1"/>
  <c r="V73" i="84"/>
  <c r="L73" i="84"/>
  <c r="N73" i="84" s="1"/>
  <c r="B73" i="84"/>
  <c r="T72" i="84"/>
  <c r="P72" i="84"/>
  <c r="X72" i="84" s="1"/>
  <c r="Z72" i="84" s="1"/>
  <c r="J72" i="84"/>
  <c r="H72" i="84"/>
  <c r="D72" i="84"/>
  <c r="L72" i="84" s="1"/>
  <c r="N72" i="84" s="1"/>
  <c r="B72" i="84"/>
  <c r="X71" i="84"/>
  <c r="Z71" i="84" s="1"/>
  <c r="N71" i="84"/>
  <c r="L71" i="84"/>
  <c r="B71" i="84"/>
  <c r="X70" i="84"/>
  <c r="Z70" i="84" s="1"/>
  <c r="T70" i="84"/>
  <c r="P70" i="84"/>
  <c r="L70" i="84"/>
  <c r="N70" i="84" s="1"/>
  <c r="H70" i="84"/>
  <c r="D70" i="84"/>
  <c r="B70" i="84"/>
  <c r="Z69" i="84"/>
  <c r="X69" i="84"/>
  <c r="L69" i="84"/>
  <c r="N69" i="84" s="1"/>
  <c r="J69" i="84"/>
  <c r="B69" i="84"/>
  <c r="V68" i="84"/>
  <c r="T68" i="84"/>
  <c r="X68" i="84" s="1"/>
  <c r="P68" i="84"/>
  <c r="H68" i="84"/>
  <c r="D68" i="84"/>
  <c r="B68" i="84"/>
  <c r="X67" i="84"/>
  <c r="Z67" i="84" s="1"/>
  <c r="L67" i="84"/>
  <c r="N67" i="84" s="1"/>
  <c r="B67" i="84"/>
  <c r="T66" i="84"/>
  <c r="P66" i="84"/>
  <c r="X66" i="84" s="1"/>
  <c r="Z66" i="84" s="1"/>
  <c r="J66" i="84"/>
  <c r="H66" i="84"/>
  <c r="D66" i="84"/>
  <c r="L66" i="84" s="1"/>
  <c r="N66" i="84" s="1"/>
  <c r="B66" i="84"/>
  <c r="Z65" i="84"/>
  <c r="X65" i="84"/>
  <c r="N65" i="84"/>
  <c r="L65" i="84"/>
  <c r="B65" i="84"/>
  <c r="Z64" i="84"/>
  <c r="X64" i="84"/>
  <c r="N64" i="84"/>
  <c r="L64" i="84"/>
  <c r="J64" i="84"/>
  <c r="B64" i="84"/>
  <c r="X63" i="84"/>
  <c r="Z63" i="84" s="1"/>
  <c r="N63" i="84"/>
  <c r="L63" i="84"/>
  <c r="B63" i="84"/>
  <c r="Z62" i="84"/>
  <c r="X62" i="84"/>
  <c r="N62" i="84"/>
  <c r="L62" i="84"/>
  <c r="B62" i="84"/>
  <c r="Z61" i="84"/>
  <c r="X61" i="84"/>
  <c r="N61" i="84"/>
  <c r="L61" i="84"/>
  <c r="B61" i="84"/>
  <c r="Z60" i="84"/>
  <c r="X60" i="84"/>
  <c r="N60" i="84"/>
  <c r="L60" i="84"/>
  <c r="J60" i="84"/>
  <c r="B60" i="84"/>
  <c r="X59" i="84"/>
  <c r="Z59" i="84" s="1"/>
  <c r="N59" i="84"/>
  <c r="L59" i="84"/>
  <c r="B59" i="84"/>
  <c r="Z58" i="84"/>
  <c r="X58" i="84"/>
  <c r="N58" i="84"/>
  <c r="L58" i="84"/>
  <c r="B58" i="84"/>
  <c r="X57" i="84"/>
  <c r="Z57" i="84" s="1"/>
  <c r="N57" i="84"/>
  <c r="L57" i="84"/>
  <c r="B57" i="84"/>
  <c r="Z56" i="84"/>
  <c r="X56" i="84"/>
  <c r="N56" i="84"/>
  <c r="L56" i="84"/>
  <c r="J56" i="84"/>
  <c r="B56" i="84"/>
  <c r="X55" i="84"/>
  <c r="T55" i="84"/>
  <c r="P55" i="84"/>
  <c r="L55" i="84"/>
  <c r="H55" i="84"/>
  <c r="D55" i="84"/>
  <c r="B55" i="84"/>
  <c r="Z54" i="84"/>
  <c r="X54" i="84"/>
  <c r="N54" i="84"/>
  <c r="L54" i="84"/>
  <c r="J54" i="84"/>
  <c r="B54" i="84"/>
  <c r="Z53" i="84"/>
  <c r="X53" i="84"/>
  <c r="L53" i="84"/>
  <c r="N53" i="84" s="1"/>
  <c r="J53" i="84"/>
  <c r="B53" i="84"/>
  <c r="Z52" i="84"/>
  <c r="X52" i="84"/>
  <c r="N52" i="84"/>
  <c r="L52" i="84"/>
  <c r="J52" i="84"/>
  <c r="B52" i="84"/>
  <c r="Z51" i="84"/>
  <c r="X51" i="84"/>
  <c r="N51" i="84"/>
  <c r="L51" i="84"/>
  <c r="J51" i="84"/>
  <c r="B51" i="84"/>
  <c r="Z50" i="84"/>
  <c r="X50" i="84"/>
  <c r="N50" i="84"/>
  <c r="L50" i="84"/>
  <c r="J50" i="84"/>
  <c r="B50" i="84"/>
  <c r="Z49" i="84"/>
  <c r="X49" i="84"/>
  <c r="L49" i="84"/>
  <c r="N49" i="84" s="1"/>
  <c r="J49" i="84"/>
  <c r="B49" i="84"/>
  <c r="Z48" i="84"/>
  <c r="X48" i="84"/>
  <c r="V48" i="84"/>
  <c r="N48" i="84"/>
  <c r="L48" i="84"/>
  <c r="J48" i="84"/>
  <c r="B48" i="84"/>
  <c r="Z47" i="84"/>
  <c r="X47" i="84"/>
  <c r="L47" i="84"/>
  <c r="N47" i="84" s="1"/>
  <c r="J47" i="84"/>
  <c r="B47" i="84"/>
  <c r="Z46" i="84"/>
  <c r="X46" i="84"/>
  <c r="V46" i="84"/>
  <c r="N46" i="84"/>
  <c r="L46" i="84"/>
  <c r="J46" i="84"/>
  <c r="B46" i="84"/>
  <c r="T45" i="84"/>
  <c r="P45" i="84"/>
  <c r="X45" i="84" s="1"/>
  <c r="H45" i="84"/>
  <c r="D45" i="84"/>
  <c r="B45" i="84"/>
  <c r="T44" i="84"/>
  <c r="P44" i="84"/>
  <c r="H44" i="84"/>
  <c r="J44" i="84" s="1"/>
  <c r="D44" i="84"/>
  <c r="L44" i="84" s="1"/>
  <c r="J42" i="84"/>
  <c r="H42" i="84"/>
  <c r="Z40" i="84"/>
  <c r="X40" i="84"/>
  <c r="N40" i="84"/>
  <c r="L40" i="84"/>
  <c r="B40" i="84"/>
  <c r="Z39" i="84"/>
  <c r="X39" i="84"/>
  <c r="N39" i="84"/>
  <c r="L39" i="84"/>
  <c r="J39" i="84"/>
  <c r="B39" i="84"/>
  <c r="Z38" i="84"/>
  <c r="X38" i="84"/>
  <c r="N38" i="84"/>
  <c r="L38" i="84"/>
  <c r="J38" i="84"/>
  <c r="B38" i="84"/>
  <c r="Z37" i="84"/>
  <c r="X37" i="84"/>
  <c r="V37" i="84"/>
  <c r="N37" i="84"/>
  <c r="L37" i="84"/>
  <c r="J37" i="84"/>
  <c r="B37" i="84"/>
  <c r="Z36" i="84"/>
  <c r="X36" i="84"/>
  <c r="L36" i="84"/>
  <c r="N36" i="84" s="1"/>
  <c r="B36" i="84"/>
  <c r="X35" i="84"/>
  <c r="Z35" i="84" s="1"/>
  <c r="T35" i="84"/>
  <c r="P35" i="84"/>
  <c r="L35" i="84"/>
  <c r="N35" i="84" s="1"/>
  <c r="J35" i="84"/>
  <c r="H35" i="84"/>
  <c r="D35" i="84"/>
  <c r="Z33" i="84"/>
  <c r="P33" i="84"/>
  <c r="X33" i="84" s="1"/>
  <c r="N33" i="84"/>
  <c r="D33" i="84"/>
  <c r="L33" i="84" s="1"/>
  <c r="B33" i="84"/>
  <c r="Z32" i="84"/>
  <c r="X32" i="84"/>
  <c r="P32" i="84"/>
  <c r="N32" i="84"/>
  <c r="L32" i="84"/>
  <c r="D32" i="84"/>
  <c r="B32" i="84"/>
  <c r="Z31" i="84"/>
  <c r="X31" i="84"/>
  <c r="P31" i="84"/>
  <c r="N31" i="84"/>
  <c r="D31" i="84"/>
  <c r="L31" i="84" s="1"/>
  <c r="B31" i="84"/>
  <c r="Z30" i="84"/>
  <c r="P30" i="84"/>
  <c r="X30" i="84" s="1"/>
  <c r="N30" i="84"/>
  <c r="D30" i="84"/>
  <c r="L30" i="84" s="1"/>
  <c r="B30" i="84"/>
  <c r="Z29" i="84"/>
  <c r="X29" i="84"/>
  <c r="P29" i="84"/>
  <c r="N29" i="84"/>
  <c r="L29" i="84"/>
  <c r="D29" i="84"/>
  <c r="B29" i="84"/>
  <c r="Z28" i="84"/>
  <c r="X28" i="84"/>
  <c r="P28" i="84"/>
  <c r="N28" i="84"/>
  <c r="L28" i="84"/>
  <c r="D28" i="84"/>
  <c r="B28" i="84"/>
  <c r="Z27" i="84"/>
  <c r="P27" i="84"/>
  <c r="X27" i="84" s="1"/>
  <c r="N27" i="84"/>
  <c r="D27" i="84"/>
  <c r="L27" i="84" s="1"/>
  <c r="B27" i="84"/>
  <c r="Z26" i="84"/>
  <c r="P26" i="84"/>
  <c r="X26" i="84" s="1"/>
  <c r="N26" i="84"/>
  <c r="D26" i="84"/>
  <c r="L26" i="84" s="1"/>
  <c r="B26" i="84"/>
  <c r="Z25" i="84"/>
  <c r="X25" i="84"/>
  <c r="P25" i="84"/>
  <c r="N25" i="84"/>
  <c r="D25" i="84"/>
  <c r="L25" i="84" s="1"/>
  <c r="B25" i="84"/>
  <c r="Z24" i="84"/>
  <c r="P24" i="84"/>
  <c r="X24" i="84" s="1"/>
  <c r="N24" i="84"/>
  <c r="L24" i="84"/>
  <c r="D24" i="84"/>
  <c r="B24" i="84"/>
  <c r="Z23" i="84"/>
  <c r="P23" i="84"/>
  <c r="X23" i="84" s="1"/>
  <c r="N23" i="84"/>
  <c r="L23" i="84"/>
  <c r="D23" i="84"/>
  <c r="B23" i="84"/>
  <c r="Z22" i="84"/>
  <c r="P22" i="84"/>
  <c r="X22" i="84" s="1"/>
  <c r="N22" i="84"/>
  <c r="L22" i="84"/>
  <c r="D22" i="84"/>
  <c r="B22" i="84"/>
  <c r="Z21" i="84"/>
  <c r="P21" i="84"/>
  <c r="X21" i="84" s="1"/>
  <c r="N21" i="84"/>
  <c r="D21" i="84"/>
  <c r="L21" i="84" s="1"/>
  <c r="B21" i="84"/>
  <c r="Z20" i="84"/>
  <c r="X20" i="84"/>
  <c r="P20" i="84"/>
  <c r="N20" i="84"/>
  <c r="D20" i="84"/>
  <c r="L20" i="84" s="1"/>
  <c r="B20" i="84"/>
  <c r="Z19" i="84"/>
  <c r="X19" i="84"/>
  <c r="P19" i="84"/>
  <c r="N19" i="84"/>
  <c r="D19" i="84"/>
  <c r="L19" i="84" s="1"/>
  <c r="B19" i="84"/>
  <c r="Z18" i="84"/>
  <c r="P18" i="84"/>
  <c r="X18" i="84" s="1"/>
  <c r="N18" i="84"/>
  <c r="D18" i="84"/>
  <c r="L18" i="84" s="1"/>
  <c r="B18" i="84"/>
  <c r="Z17" i="84"/>
  <c r="P17" i="84"/>
  <c r="X17" i="84" s="1"/>
  <c r="N17" i="84"/>
  <c r="L17" i="84"/>
  <c r="D17" i="84"/>
  <c r="B17" i="84"/>
  <c r="Z16" i="84"/>
  <c r="P16" i="84"/>
  <c r="X16" i="84" s="1"/>
  <c r="N16" i="84"/>
  <c r="L16" i="84"/>
  <c r="D16" i="84"/>
  <c r="B16" i="84"/>
  <c r="Z15" i="84"/>
  <c r="P15" i="84"/>
  <c r="N15" i="84"/>
  <c r="D15" i="84"/>
  <c r="L15" i="84" s="1"/>
  <c r="B15" i="84"/>
  <c r="Z14" i="84"/>
  <c r="P14" i="84"/>
  <c r="X14" i="84" s="1"/>
  <c r="N14" i="84"/>
  <c r="L14" i="84"/>
  <c r="D14" i="84"/>
  <c r="B14" i="84"/>
  <c r="Z13" i="84"/>
  <c r="X13" i="84"/>
  <c r="P13" i="84"/>
  <c r="D13" i="84"/>
  <c r="B13" i="84"/>
  <c r="T12" i="84"/>
  <c r="V115" i="84" s="1"/>
  <c r="H12" i="84"/>
  <c r="J94" i="84" s="1"/>
  <c r="D6" i="84"/>
  <c r="D4" i="84"/>
  <c r="Z92" i="83"/>
  <c r="X92" i="83"/>
  <c r="V92" i="83"/>
  <c r="N92" i="83"/>
  <c r="L92" i="83"/>
  <c r="F90" i="83"/>
  <c r="T88" i="83"/>
  <c r="Z88" i="83" s="1"/>
  <c r="P88" i="83"/>
  <c r="X88" i="83" s="1"/>
  <c r="H88" i="83"/>
  <c r="N88" i="83" s="1"/>
  <c r="D88" i="83"/>
  <c r="L88" i="83" s="1"/>
  <c r="Z86" i="83"/>
  <c r="X86" i="83"/>
  <c r="N86" i="83"/>
  <c r="L86" i="83"/>
  <c r="B86" i="83"/>
  <c r="T85" i="83"/>
  <c r="P85" i="83"/>
  <c r="H85" i="83"/>
  <c r="N85" i="83" s="1"/>
  <c r="D85" i="83"/>
  <c r="L85" i="83" s="1"/>
  <c r="B85" i="83"/>
  <c r="Z84" i="83"/>
  <c r="X84" i="83"/>
  <c r="V84" i="83"/>
  <c r="N84" i="83"/>
  <c r="L84" i="83"/>
  <c r="J84" i="83"/>
  <c r="B84" i="83"/>
  <c r="T83" i="83"/>
  <c r="P83" i="83"/>
  <c r="X83" i="83" s="1"/>
  <c r="J83" i="83"/>
  <c r="H83" i="83"/>
  <c r="N83" i="83" s="1"/>
  <c r="D83" i="83"/>
  <c r="L83" i="83" s="1"/>
  <c r="B83" i="83"/>
  <c r="Z82" i="83"/>
  <c r="X82" i="83"/>
  <c r="L82" i="83"/>
  <c r="N82" i="83" s="1"/>
  <c r="B82" i="83"/>
  <c r="X81" i="83"/>
  <c r="Z81" i="83" s="1"/>
  <c r="L81" i="83"/>
  <c r="N81" i="83" s="1"/>
  <c r="B81" i="83"/>
  <c r="T80" i="83"/>
  <c r="P80" i="83"/>
  <c r="H80" i="83"/>
  <c r="D80" i="83"/>
  <c r="L80" i="83" s="1"/>
  <c r="B80" i="83"/>
  <c r="Z79" i="83"/>
  <c r="X79" i="83"/>
  <c r="V79" i="83"/>
  <c r="L79" i="83"/>
  <c r="N79" i="83" s="1"/>
  <c r="B79" i="83"/>
  <c r="X78" i="83"/>
  <c r="Z78" i="83" s="1"/>
  <c r="L78" i="83"/>
  <c r="N78" i="83" s="1"/>
  <c r="J78" i="83"/>
  <c r="B78" i="83"/>
  <c r="X77" i="83"/>
  <c r="Z77" i="83" s="1"/>
  <c r="N77" i="83"/>
  <c r="L77" i="83"/>
  <c r="J77" i="83"/>
  <c r="B77" i="83"/>
  <c r="Z76" i="83"/>
  <c r="X76" i="83"/>
  <c r="L76" i="83"/>
  <c r="N76" i="83" s="1"/>
  <c r="B76" i="83"/>
  <c r="Z75" i="83"/>
  <c r="X75" i="83"/>
  <c r="V75" i="83"/>
  <c r="N75" i="83"/>
  <c r="L75" i="83"/>
  <c r="B75" i="83"/>
  <c r="T74" i="83"/>
  <c r="P74" i="83"/>
  <c r="X74" i="83" s="1"/>
  <c r="H74" i="83"/>
  <c r="D74" i="83"/>
  <c r="L74" i="83" s="1"/>
  <c r="N74" i="83" s="1"/>
  <c r="B74" i="83"/>
  <c r="Z73" i="83"/>
  <c r="X73" i="83"/>
  <c r="V73" i="83"/>
  <c r="L73" i="83"/>
  <c r="N73" i="83" s="1"/>
  <c r="B73" i="83"/>
  <c r="T72" i="83"/>
  <c r="P72" i="83"/>
  <c r="X72" i="83" s="1"/>
  <c r="L72" i="83"/>
  <c r="N72" i="83" s="1"/>
  <c r="J72" i="83"/>
  <c r="H72" i="83"/>
  <c r="D72" i="83"/>
  <c r="B72" i="83"/>
  <c r="X71" i="83"/>
  <c r="Z71" i="83" s="1"/>
  <c r="V71" i="83"/>
  <c r="N71" i="83"/>
  <c r="L71" i="83"/>
  <c r="J71" i="83"/>
  <c r="B71" i="83"/>
  <c r="X70" i="83"/>
  <c r="Z70" i="83" s="1"/>
  <c r="L70" i="83"/>
  <c r="N70" i="83" s="1"/>
  <c r="B70" i="83"/>
  <c r="Z69" i="83"/>
  <c r="X69" i="83"/>
  <c r="N69" i="83"/>
  <c r="L69" i="83"/>
  <c r="B69" i="83"/>
  <c r="T68" i="83"/>
  <c r="P68" i="83"/>
  <c r="H68" i="83"/>
  <c r="N68" i="83" s="1"/>
  <c r="D68" i="83"/>
  <c r="L68" i="83" s="1"/>
  <c r="B68" i="83"/>
  <c r="Z67" i="83"/>
  <c r="X67" i="83"/>
  <c r="V67" i="83"/>
  <c r="L67" i="83"/>
  <c r="N67" i="83" s="1"/>
  <c r="B67" i="83"/>
  <c r="X66" i="83"/>
  <c r="Z66" i="83" s="1"/>
  <c r="L66" i="83"/>
  <c r="N66" i="83" s="1"/>
  <c r="J66" i="83"/>
  <c r="B66" i="83"/>
  <c r="X65" i="83"/>
  <c r="Z65" i="83" s="1"/>
  <c r="N65" i="83"/>
  <c r="L65" i="83"/>
  <c r="J65" i="83"/>
  <c r="B65" i="83"/>
  <c r="Z64" i="83"/>
  <c r="X64" i="83"/>
  <c r="N64" i="83"/>
  <c r="L64" i="83"/>
  <c r="B64" i="83"/>
  <c r="T63" i="83"/>
  <c r="P63" i="83"/>
  <c r="H63" i="83"/>
  <c r="D63" i="83"/>
  <c r="B63" i="83"/>
  <c r="X62" i="83"/>
  <c r="Z62" i="83" s="1"/>
  <c r="V62" i="83"/>
  <c r="N62" i="83"/>
  <c r="L62" i="83"/>
  <c r="B62" i="83"/>
  <c r="V61" i="83"/>
  <c r="T61" i="83"/>
  <c r="P61" i="83"/>
  <c r="X61" i="83" s="1"/>
  <c r="Z61" i="83" s="1"/>
  <c r="H61" i="83"/>
  <c r="N61" i="83" s="1"/>
  <c r="D61" i="83"/>
  <c r="L61" i="83" s="1"/>
  <c r="B61" i="83"/>
  <c r="X60" i="83"/>
  <c r="Z60" i="83" s="1"/>
  <c r="N60" i="83"/>
  <c r="L60" i="83"/>
  <c r="B60" i="83"/>
  <c r="V59" i="83"/>
  <c r="T59" i="83"/>
  <c r="P59" i="83"/>
  <c r="X59" i="83" s="1"/>
  <c r="Z59" i="83" s="1"/>
  <c r="L59" i="83"/>
  <c r="N59" i="83" s="1"/>
  <c r="H59" i="83"/>
  <c r="D59" i="83"/>
  <c r="B59" i="83"/>
  <c r="X58" i="83"/>
  <c r="Z58" i="83" s="1"/>
  <c r="N58" i="83"/>
  <c r="L58" i="83"/>
  <c r="J58" i="83"/>
  <c r="B58" i="83"/>
  <c r="T57" i="83"/>
  <c r="P57" i="83"/>
  <c r="H57" i="83"/>
  <c r="D57" i="83"/>
  <c r="B57" i="83"/>
  <c r="X56" i="83"/>
  <c r="Z56" i="83" s="1"/>
  <c r="L56" i="83"/>
  <c r="N56" i="83" s="1"/>
  <c r="B56" i="83"/>
  <c r="T55" i="83"/>
  <c r="P55" i="83"/>
  <c r="X55" i="83" s="1"/>
  <c r="J55" i="83"/>
  <c r="H55" i="83"/>
  <c r="D55" i="83"/>
  <c r="L55" i="83" s="1"/>
  <c r="N55" i="83" s="1"/>
  <c r="B55" i="83"/>
  <c r="Z54" i="83"/>
  <c r="X54" i="83"/>
  <c r="N54" i="83"/>
  <c r="L54" i="83"/>
  <c r="B54" i="83"/>
  <c r="Z53" i="83"/>
  <c r="X53" i="83"/>
  <c r="T53" i="83"/>
  <c r="P53" i="83"/>
  <c r="N53" i="83"/>
  <c r="J53" i="83"/>
  <c r="H53" i="83"/>
  <c r="D53" i="83"/>
  <c r="L53" i="83" s="1"/>
  <c r="B53" i="83"/>
  <c r="Z52" i="83"/>
  <c r="X52" i="83"/>
  <c r="L52" i="83"/>
  <c r="N52" i="83" s="1"/>
  <c r="B52" i="83"/>
  <c r="Z51" i="83"/>
  <c r="X51" i="83"/>
  <c r="V51" i="83"/>
  <c r="N51" i="83"/>
  <c r="L51" i="83"/>
  <c r="B51" i="83"/>
  <c r="T50" i="83"/>
  <c r="P50" i="83"/>
  <c r="H50" i="83"/>
  <c r="D50" i="83"/>
  <c r="L50" i="83" s="1"/>
  <c r="N50" i="83" s="1"/>
  <c r="B50" i="83"/>
  <c r="Z49" i="83"/>
  <c r="X49" i="83"/>
  <c r="V49" i="83"/>
  <c r="N49" i="83"/>
  <c r="L49" i="83"/>
  <c r="B49" i="83"/>
  <c r="T48" i="83"/>
  <c r="Z48" i="83" s="1"/>
  <c r="P48" i="83"/>
  <c r="X48" i="83" s="1"/>
  <c r="L48" i="83"/>
  <c r="N48" i="83" s="1"/>
  <c r="J48" i="83"/>
  <c r="H48" i="83"/>
  <c r="D48" i="83"/>
  <c r="B48" i="83"/>
  <c r="Z47" i="83"/>
  <c r="X47" i="83"/>
  <c r="V47" i="83"/>
  <c r="N47" i="83"/>
  <c r="L47" i="83"/>
  <c r="J47" i="83"/>
  <c r="B47" i="83"/>
  <c r="T46" i="83"/>
  <c r="Z46" i="83" s="1"/>
  <c r="P46" i="83"/>
  <c r="X46" i="83" s="1"/>
  <c r="L46" i="83"/>
  <c r="H46" i="83"/>
  <c r="F46" i="83"/>
  <c r="D46" i="83"/>
  <c r="B46" i="83"/>
  <c r="X45" i="83"/>
  <c r="Z45" i="83" s="1"/>
  <c r="N45" i="83"/>
  <c r="L45" i="83"/>
  <c r="J45" i="83"/>
  <c r="B45" i="83"/>
  <c r="Z44" i="83"/>
  <c r="T44" i="83"/>
  <c r="P44" i="83"/>
  <c r="X44" i="83" s="1"/>
  <c r="H44" i="83"/>
  <c r="D44" i="83"/>
  <c r="L44" i="83" s="1"/>
  <c r="B44" i="83"/>
  <c r="Z43" i="83"/>
  <c r="X43" i="83"/>
  <c r="N43" i="83"/>
  <c r="L43" i="83"/>
  <c r="J43" i="83"/>
  <c r="B43" i="83"/>
  <c r="Z42" i="83"/>
  <c r="X42" i="83"/>
  <c r="V42" i="83"/>
  <c r="N42" i="83"/>
  <c r="L42" i="83"/>
  <c r="B42" i="83"/>
  <c r="Z41" i="83"/>
  <c r="X41" i="83"/>
  <c r="V41" i="83"/>
  <c r="N41" i="83"/>
  <c r="L41" i="83"/>
  <c r="B41" i="83"/>
  <c r="X40" i="83"/>
  <c r="Z40" i="83" s="1"/>
  <c r="N40" i="83"/>
  <c r="L40" i="83"/>
  <c r="B40" i="83"/>
  <c r="Z39" i="83"/>
  <c r="X39" i="83"/>
  <c r="N39" i="83"/>
  <c r="L39" i="83"/>
  <c r="J39" i="83"/>
  <c r="B39" i="83"/>
  <c r="X38" i="83"/>
  <c r="Z38" i="83" s="1"/>
  <c r="V38" i="83"/>
  <c r="N38" i="83"/>
  <c r="L38" i="83"/>
  <c r="B38" i="83"/>
  <c r="Z37" i="83"/>
  <c r="X37" i="83"/>
  <c r="V37" i="83"/>
  <c r="N37" i="83"/>
  <c r="L37" i="83"/>
  <c r="B37" i="83"/>
  <c r="Z36" i="83"/>
  <c r="X36" i="83"/>
  <c r="V36" i="83"/>
  <c r="N36" i="83"/>
  <c r="L36" i="83"/>
  <c r="B36" i="83"/>
  <c r="X35" i="83"/>
  <c r="Z35" i="83" s="1"/>
  <c r="L35" i="83"/>
  <c r="N35" i="83" s="1"/>
  <c r="J35" i="83"/>
  <c r="B35" i="83"/>
  <c r="Z34" i="83"/>
  <c r="X34" i="83"/>
  <c r="V34" i="83"/>
  <c r="N34" i="83"/>
  <c r="L34" i="83"/>
  <c r="B34" i="83"/>
  <c r="V33" i="83"/>
  <c r="T33" i="83"/>
  <c r="P33" i="83"/>
  <c r="X33" i="83" s="1"/>
  <c r="Z33" i="83" s="1"/>
  <c r="H33" i="83"/>
  <c r="N33" i="83" s="1"/>
  <c r="D33" i="83"/>
  <c r="L33" i="83" s="1"/>
  <c r="B33" i="83"/>
  <c r="X32" i="83"/>
  <c r="Z32" i="83" s="1"/>
  <c r="V32" i="83"/>
  <c r="N32" i="83"/>
  <c r="L32" i="83"/>
  <c r="B32" i="83"/>
  <c r="X31" i="83"/>
  <c r="Z31" i="83" s="1"/>
  <c r="V31" i="83"/>
  <c r="N31" i="83"/>
  <c r="L31" i="83"/>
  <c r="J31" i="83"/>
  <c r="B31" i="83"/>
  <c r="Z30" i="83"/>
  <c r="X30" i="83"/>
  <c r="N30" i="83"/>
  <c r="L30" i="83"/>
  <c r="B30" i="83"/>
  <c r="X29" i="83"/>
  <c r="Z29" i="83" s="1"/>
  <c r="L29" i="83"/>
  <c r="N29" i="83" s="1"/>
  <c r="B29" i="83"/>
  <c r="X28" i="83"/>
  <c r="Z28" i="83" s="1"/>
  <c r="V28" i="83"/>
  <c r="N28" i="83"/>
  <c r="L28" i="83"/>
  <c r="B28" i="83"/>
  <c r="X27" i="83"/>
  <c r="Z27" i="83" s="1"/>
  <c r="V27" i="83"/>
  <c r="N27" i="83"/>
  <c r="L27" i="83"/>
  <c r="J27" i="83"/>
  <c r="B27" i="83"/>
  <c r="X26" i="83"/>
  <c r="Z26" i="83" s="1"/>
  <c r="L26" i="83"/>
  <c r="N26" i="83" s="1"/>
  <c r="B26" i="83"/>
  <c r="Z25" i="83"/>
  <c r="X25" i="83"/>
  <c r="L25" i="83"/>
  <c r="N25" i="83" s="1"/>
  <c r="B25" i="83"/>
  <c r="X24" i="83"/>
  <c r="T24" i="83"/>
  <c r="P24" i="83"/>
  <c r="H24" i="83"/>
  <c r="D24" i="83"/>
  <c r="L24" i="83" s="1"/>
  <c r="B24" i="83"/>
  <c r="T23" i="83"/>
  <c r="P23" i="83"/>
  <c r="H23" i="83"/>
  <c r="F23" i="83"/>
  <c r="D23" i="83"/>
  <c r="L23" i="83" s="1"/>
  <c r="V21" i="83"/>
  <c r="T21" i="83"/>
  <c r="Z19" i="83"/>
  <c r="X19" i="83"/>
  <c r="V19" i="83"/>
  <c r="N19" i="83"/>
  <c r="L19" i="83"/>
  <c r="B19" i="83"/>
  <c r="Z18" i="83"/>
  <c r="X18" i="83"/>
  <c r="V18" i="83"/>
  <c r="N18" i="83"/>
  <c r="L18" i="83"/>
  <c r="J18" i="83"/>
  <c r="B18" i="83"/>
  <c r="X17" i="83"/>
  <c r="Z17" i="83" s="1"/>
  <c r="V17" i="83"/>
  <c r="N17" i="83"/>
  <c r="L17" i="83"/>
  <c r="J17" i="83"/>
  <c r="B17" i="83"/>
  <c r="V16" i="83"/>
  <c r="T16" i="83"/>
  <c r="P16" i="83"/>
  <c r="X16" i="83" s="1"/>
  <c r="Z16" i="83" s="1"/>
  <c r="H16" i="83"/>
  <c r="D16" i="83"/>
  <c r="Z14" i="83"/>
  <c r="P14" i="83"/>
  <c r="X14" i="83" s="1"/>
  <c r="D14" i="83"/>
  <c r="L14" i="83" s="1"/>
  <c r="N14" i="83" s="1"/>
  <c r="B14" i="83"/>
  <c r="P13" i="83"/>
  <c r="D13" i="83"/>
  <c r="L13" i="83" s="1"/>
  <c r="N13" i="83" s="1"/>
  <c r="B13" i="83"/>
  <c r="T12" i="83"/>
  <c r="H12" i="83"/>
  <c r="J73" i="83" s="1"/>
  <c r="D12" i="83"/>
  <c r="D6" i="83"/>
  <c r="D4" i="83"/>
  <c r="Z51" i="82"/>
  <c r="X51" i="82"/>
  <c r="L51" i="82"/>
  <c r="N51" i="82" s="1"/>
  <c r="J51" i="82"/>
  <c r="X47" i="82"/>
  <c r="T47" i="82"/>
  <c r="Z47" i="82" s="1"/>
  <c r="P47" i="82"/>
  <c r="N47" i="82"/>
  <c r="H47" i="82"/>
  <c r="D47" i="82"/>
  <c r="L47" i="82" s="1"/>
  <c r="Z45" i="82"/>
  <c r="X45" i="82"/>
  <c r="N45" i="82"/>
  <c r="L45" i="82"/>
  <c r="B45" i="82"/>
  <c r="Z44" i="82"/>
  <c r="X44" i="82"/>
  <c r="V44" i="82"/>
  <c r="N44" i="82"/>
  <c r="L44" i="82"/>
  <c r="J44" i="82"/>
  <c r="B44" i="82"/>
  <c r="Z43" i="82"/>
  <c r="X43" i="82"/>
  <c r="N43" i="82"/>
  <c r="L43" i="82"/>
  <c r="B43" i="82"/>
  <c r="Z42" i="82"/>
  <c r="X42" i="82"/>
  <c r="N42" i="82"/>
  <c r="L42" i="82"/>
  <c r="B42" i="82"/>
  <c r="Z41" i="82"/>
  <c r="X41" i="82"/>
  <c r="V41" i="82"/>
  <c r="N41" i="82"/>
  <c r="L41" i="82"/>
  <c r="B41" i="82"/>
  <c r="Z40" i="82"/>
  <c r="X40" i="82"/>
  <c r="V40" i="82"/>
  <c r="N40" i="82"/>
  <c r="L40" i="82"/>
  <c r="J40" i="82"/>
  <c r="B40" i="82"/>
  <c r="Z39" i="82"/>
  <c r="X39" i="82"/>
  <c r="N39" i="82"/>
  <c r="L39" i="82"/>
  <c r="B39" i="82"/>
  <c r="Z38" i="82"/>
  <c r="X38" i="82"/>
  <c r="N38" i="82"/>
  <c r="L38" i="82"/>
  <c r="B38" i="82"/>
  <c r="Z37" i="82"/>
  <c r="X37" i="82"/>
  <c r="V37" i="82"/>
  <c r="N37" i="82"/>
  <c r="L37" i="82"/>
  <c r="B37" i="82"/>
  <c r="Z36" i="82"/>
  <c r="X36" i="82"/>
  <c r="V36" i="82"/>
  <c r="N36" i="82"/>
  <c r="L36" i="82"/>
  <c r="J36" i="82"/>
  <c r="B36" i="82"/>
  <c r="Z35" i="82"/>
  <c r="T35" i="82"/>
  <c r="P35" i="82"/>
  <c r="X35" i="82" s="1"/>
  <c r="L35" i="82"/>
  <c r="H35" i="82"/>
  <c r="D35" i="82"/>
  <c r="B35" i="82"/>
  <c r="Z34" i="82"/>
  <c r="X34" i="82"/>
  <c r="N34" i="82"/>
  <c r="L34" i="82"/>
  <c r="J34" i="82"/>
  <c r="B34" i="82"/>
  <c r="Z33" i="82"/>
  <c r="X33" i="82"/>
  <c r="N33" i="82"/>
  <c r="L33" i="82"/>
  <c r="J33" i="82"/>
  <c r="B33" i="82"/>
  <c r="Z32" i="82"/>
  <c r="X32" i="82"/>
  <c r="V32" i="82"/>
  <c r="N32" i="82"/>
  <c r="L32" i="82"/>
  <c r="B32" i="82"/>
  <c r="Z31" i="82"/>
  <c r="X31" i="82"/>
  <c r="N31" i="82"/>
  <c r="L31" i="82"/>
  <c r="J31" i="82"/>
  <c r="B31" i="82"/>
  <c r="Z30" i="82"/>
  <c r="X30" i="82"/>
  <c r="N30" i="82"/>
  <c r="L30" i="82"/>
  <c r="J30" i="82"/>
  <c r="B30" i="82"/>
  <c r="Z29" i="82"/>
  <c r="X29" i="82"/>
  <c r="N29" i="82"/>
  <c r="L29" i="82"/>
  <c r="J29" i="82"/>
  <c r="B29" i="82"/>
  <c r="Z28" i="82"/>
  <c r="X28" i="82"/>
  <c r="V28" i="82"/>
  <c r="N28" i="82"/>
  <c r="L28" i="82"/>
  <c r="B28" i="82"/>
  <c r="Z27" i="82"/>
  <c r="X27" i="82"/>
  <c r="N27" i="82"/>
  <c r="L27" i="82"/>
  <c r="J27" i="82"/>
  <c r="B27" i="82"/>
  <c r="T26" i="82"/>
  <c r="Z26" i="82" s="1"/>
  <c r="P26" i="82"/>
  <c r="X26" i="82" s="1"/>
  <c r="N26" i="82"/>
  <c r="J26" i="82"/>
  <c r="H26" i="82"/>
  <c r="L26" i="82" s="1"/>
  <c r="D26" i="82"/>
  <c r="B26" i="82"/>
  <c r="T25" i="82"/>
  <c r="P25" i="82"/>
  <c r="H25" i="82"/>
  <c r="N25" i="82" s="1"/>
  <c r="D25" i="82"/>
  <c r="T23" i="82"/>
  <c r="J23" i="82"/>
  <c r="Z21" i="82"/>
  <c r="X21" i="82"/>
  <c r="V21" i="82"/>
  <c r="N21" i="82"/>
  <c r="L21" i="82"/>
  <c r="J21" i="82"/>
  <c r="B21" i="82"/>
  <c r="Z20" i="82"/>
  <c r="X20" i="82"/>
  <c r="N20" i="82"/>
  <c r="L20" i="82"/>
  <c r="J20" i="82"/>
  <c r="B20" i="82"/>
  <c r="X19" i="82"/>
  <c r="Z19" i="82" s="1"/>
  <c r="V19" i="82"/>
  <c r="N19" i="82"/>
  <c r="L19" i="82"/>
  <c r="B19" i="82"/>
  <c r="V18" i="82"/>
  <c r="T18" i="82"/>
  <c r="P18" i="82"/>
  <c r="H18" i="82"/>
  <c r="D18" i="82"/>
  <c r="L18" i="82" s="1"/>
  <c r="N18" i="82" s="1"/>
  <c r="Z16" i="82"/>
  <c r="P16" i="82"/>
  <c r="X16" i="82" s="1"/>
  <c r="N16" i="82"/>
  <c r="L16" i="82"/>
  <c r="D16" i="82"/>
  <c r="B16" i="82"/>
  <c r="Z15" i="82"/>
  <c r="P15" i="82"/>
  <c r="X15" i="82" s="1"/>
  <c r="N15" i="82"/>
  <c r="D15" i="82"/>
  <c r="L15" i="82" s="1"/>
  <c r="B15" i="82"/>
  <c r="Z14" i="82"/>
  <c r="X14" i="82"/>
  <c r="P14" i="82"/>
  <c r="N14" i="82"/>
  <c r="D14" i="82"/>
  <c r="L14" i="82" s="1"/>
  <c r="B14" i="82"/>
  <c r="P13" i="82"/>
  <c r="D13" i="82"/>
  <c r="L13" i="82" s="1"/>
  <c r="N13" i="82" s="1"/>
  <c r="B13" i="82"/>
  <c r="T12" i="82"/>
  <c r="V42" i="82" s="1"/>
  <c r="H12" i="82"/>
  <c r="H23" i="82" s="1"/>
  <c r="D6" i="82"/>
  <c r="D4" i="82"/>
  <c r="J77" i="80"/>
  <c r="Z72" i="80"/>
  <c r="X72" i="80"/>
  <c r="N72" i="80"/>
  <c r="L72" i="80"/>
  <c r="J72" i="80"/>
  <c r="Z68" i="80"/>
  <c r="X68" i="80"/>
  <c r="T68" i="80"/>
  <c r="P68" i="80"/>
  <c r="J68" i="80"/>
  <c r="H68" i="80"/>
  <c r="N68" i="80" s="1"/>
  <c r="D68" i="80"/>
  <c r="L68" i="80" s="1"/>
  <c r="Z66" i="80"/>
  <c r="X66" i="80"/>
  <c r="N66" i="80"/>
  <c r="L66" i="80"/>
  <c r="B66" i="80"/>
  <c r="Z65" i="80"/>
  <c r="X65" i="80"/>
  <c r="T65" i="80"/>
  <c r="P65" i="80"/>
  <c r="N65" i="80"/>
  <c r="H65" i="80"/>
  <c r="D65" i="80"/>
  <c r="L65" i="80" s="1"/>
  <c r="B65" i="80"/>
  <c r="Z64" i="80"/>
  <c r="X64" i="80"/>
  <c r="N64" i="80"/>
  <c r="L64" i="80"/>
  <c r="B64" i="80"/>
  <c r="T63" i="80"/>
  <c r="Z63" i="80" s="1"/>
  <c r="P63" i="80"/>
  <c r="N63" i="80"/>
  <c r="L63" i="80"/>
  <c r="J63" i="80"/>
  <c r="H63" i="80"/>
  <c r="D63" i="80"/>
  <c r="B63" i="80"/>
  <c r="Z62" i="80"/>
  <c r="X62" i="80"/>
  <c r="N62" i="80"/>
  <c r="L62" i="80"/>
  <c r="B62" i="80"/>
  <c r="Z61" i="80"/>
  <c r="X61" i="80"/>
  <c r="N61" i="80"/>
  <c r="L61" i="80"/>
  <c r="J61" i="80"/>
  <c r="B61" i="80"/>
  <c r="Z60" i="80"/>
  <c r="X60" i="80"/>
  <c r="N60" i="80"/>
  <c r="L60" i="80"/>
  <c r="B60" i="80"/>
  <c r="Z59" i="80"/>
  <c r="X59" i="80"/>
  <c r="N59" i="80"/>
  <c r="L59" i="80"/>
  <c r="B59" i="80"/>
  <c r="Z58" i="80"/>
  <c r="V58" i="80"/>
  <c r="T58" i="80"/>
  <c r="P58" i="80"/>
  <c r="X58" i="80" s="1"/>
  <c r="N58" i="80"/>
  <c r="H58" i="80"/>
  <c r="D58" i="80"/>
  <c r="L58" i="80" s="1"/>
  <c r="B58" i="80"/>
  <c r="Z57" i="80"/>
  <c r="X57" i="80"/>
  <c r="N57" i="80"/>
  <c r="L57" i="80"/>
  <c r="J57" i="80"/>
  <c r="B57" i="80"/>
  <c r="Z56" i="80"/>
  <c r="X56" i="80"/>
  <c r="N56" i="80"/>
  <c r="L56" i="80"/>
  <c r="J56" i="80"/>
  <c r="B56" i="80"/>
  <c r="Z55" i="80"/>
  <c r="T55" i="80"/>
  <c r="P55" i="80"/>
  <c r="X55" i="80" s="1"/>
  <c r="N55" i="80"/>
  <c r="J55" i="80"/>
  <c r="H55" i="80"/>
  <c r="D55" i="80"/>
  <c r="L55" i="80" s="1"/>
  <c r="B55" i="80"/>
  <c r="Z54" i="80"/>
  <c r="X54" i="80"/>
  <c r="N54" i="80"/>
  <c r="L54" i="80"/>
  <c r="J54" i="80"/>
  <c r="B54" i="80"/>
  <c r="Z53" i="80"/>
  <c r="X53" i="80"/>
  <c r="N53" i="80"/>
  <c r="L53" i="80"/>
  <c r="B53" i="80"/>
  <c r="T52" i="80"/>
  <c r="Z52" i="80" s="1"/>
  <c r="P52" i="80"/>
  <c r="X52" i="80" s="1"/>
  <c r="H52" i="80"/>
  <c r="N52" i="80" s="1"/>
  <c r="D52" i="80"/>
  <c r="B52" i="80"/>
  <c r="Z51" i="80"/>
  <c r="X51" i="80"/>
  <c r="N51" i="80"/>
  <c r="L51" i="80"/>
  <c r="B51" i="80"/>
  <c r="Z50" i="80"/>
  <c r="T50" i="80"/>
  <c r="P50" i="80"/>
  <c r="X50" i="80" s="1"/>
  <c r="J50" i="80"/>
  <c r="H50" i="80"/>
  <c r="N50" i="80" s="1"/>
  <c r="D50" i="80"/>
  <c r="L50" i="80" s="1"/>
  <c r="B50" i="80"/>
  <c r="Z49" i="80"/>
  <c r="X49" i="80"/>
  <c r="N49" i="80"/>
  <c r="L49" i="80"/>
  <c r="B49" i="80"/>
  <c r="T48" i="80"/>
  <c r="Z48" i="80" s="1"/>
  <c r="P48" i="80"/>
  <c r="X48" i="80" s="1"/>
  <c r="N48" i="80"/>
  <c r="H48" i="80"/>
  <c r="L48" i="80" s="1"/>
  <c r="D48" i="80"/>
  <c r="B48" i="80"/>
  <c r="X47" i="80"/>
  <c r="Z47" i="80" s="1"/>
  <c r="L47" i="80"/>
  <c r="N47" i="80" s="1"/>
  <c r="J47" i="80"/>
  <c r="B47" i="80"/>
  <c r="T46" i="80"/>
  <c r="P46" i="80"/>
  <c r="X46" i="80" s="1"/>
  <c r="J46" i="80"/>
  <c r="H46" i="80"/>
  <c r="D46" i="80"/>
  <c r="L46" i="80" s="1"/>
  <c r="N46" i="80" s="1"/>
  <c r="B46" i="80"/>
  <c r="Z45" i="80"/>
  <c r="X45" i="80"/>
  <c r="N45" i="80"/>
  <c r="L45" i="80"/>
  <c r="J45" i="80"/>
  <c r="B45" i="80"/>
  <c r="X44" i="80"/>
  <c r="T44" i="80"/>
  <c r="Z44" i="80" s="1"/>
  <c r="P44" i="80"/>
  <c r="N44" i="80"/>
  <c r="J44" i="80"/>
  <c r="H44" i="80"/>
  <c r="D44" i="80"/>
  <c r="L44" i="80" s="1"/>
  <c r="B44" i="80"/>
  <c r="Z43" i="80"/>
  <c r="X43" i="80"/>
  <c r="N43" i="80"/>
  <c r="L43" i="80"/>
  <c r="J43" i="80"/>
  <c r="B43" i="80"/>
  <c r="Z42" i="80"/>
  <c r="T42" i="80"/>
  <c r="X42" i="80" s="1"/>
  <c r="P42" i="80"/>
  <c r="N42" i="80"/>
  <c r="J42" i="80"/>
  <c r="H42" i="80"/>
  <c r="D42" i="80"/>
  <c r="L42" i="80" s="1"/>
  <c r="B42" i="80"/>
  <c r="Z41" i="80"/>
  <c r="X41" i="80"/>
  <c r="N41" i="80"/>
  <c r="L41" i="80"/>
  <c r="J41" i="80"/>
  <c r="B41" i="80"/>
  <c r="Z40" i="80"/>
  <c r="X40" i="80"/>
  <c r="N40" i="80"/>
  <c r="L40" i="80"/>
  <c r="B40" i="80"/>
  <c r="Z39" i="80"/>
  <c r="X39" i="80"/>
  <c r="N39" i="80"/>
  <c r="L39" i="80"/>
  <c r="J39" i="80"/>
  <c r="B39" i="80"/>
  <c r="Z38" i="80"/>
  <c r="X38" i="80"/>
  <c r="N38" i="80"/>
  <c r="L38" i="80"/>
  <c r="J38" i="80"/>
  <c r="B38" i="80"/>
  <c r="Z37" i="80"/>
  <c r="X37" i="80"/>
  <c r="N37" i="80"/>
  <c r="L37" i="80"/>
  <c r="J37" i="80"/>
  <c r="B37" i="80"/>
  <c r="Z36" i="80"/>
  <c r="X36" i="80"/>
  <c r="N36" i="80"/>
  <c r="L36" i="80"/>
  <c r="B36" i="80"/>
  <c r="Z35" i="80"/>
  <c r="X35" i="80"/>
  <c r="N35" i="80"/>
  <c r="L35" i="80"/>
  <c r="J35" i="80"/>
  <c r="B35" i="80"/>
  <c r="Z34" i="80"/>
  <c r="X34" i="80"/>
  <c r="N34" i="80"/>
  <c r="L34" i="80"/>
  <c r="J34" i="80"/>
  <c r="B34" i="80"/>
  <c r="Z33" i="80"/>
  <c r="X33" i="80"/>
  <c r="N33" i="80"/>
  <c r="L33" i="80"/>
  <c r="J33" i="80"/>
  <c r="B33" i="80"/>
  <c r="Z32" i="80"/>
  <c r="X32" i="80"/>
  <c r="N32" i="80"/>
  <c r="L32" i="80"/>
  <c r="B32" i="80"/>
  <c r="T31" i="80"/>
  <c r="Z31" i="80" s="1"/>
  <c r="P31" i="80"/>
  <c r="X31" i="80" s="1"/>
  <c r="N31" i="80"/>
  <c r="J31" i="80"/>
  <c r="H31" i="80"/>
  <c r="D31" i="80"/>
  <c r="L31" i="80" s="1"/>
  <c r="B31" i="80"/>
  <c r="Z30" i="80"/>
  <c r="X30" i="80"/>
  <c r="N30" i="80"/>
  <c r="L30" i="80"/>
  <c r="J30" i="80"/>
  <c r="B30" i="80"/>
  <c r="Z29" i="80"/>
  <c r="X29" i="80"/>
  <c r="N29" i="80"/>
  <c r="L29" i="80"/>
  <c r="J29" i="80"/>
  <c r="B29" i="80"/>
  <c r="Z28" i="80"/>
  <c r="X28" i="80"/>
  <c r="N28" i="80"/>
  <c r="L28" i="80"/>
  <c r="J28" i="80"/>
  <c r="B28" i="80"/>
  <c r="Z27" i="80"/>
  <c r="X27" i="80"/>
  <c r="N27" i="80"/>
  <c r="L27" i="80"/>
  <c r="J27" i="80"/>
  <c r="B27" i="80"/>
  <c r="Z26" i="80"/>
  <c r="X26" i="80"/>
  <c r="N26" i="80"/>
  <c r="L26" i="80"/>
  <c r="J26" i="80"/>
  <c r="B26" i="80"/>
  <c r="Z25" i="80"/>
  <c r="X25" i="80"/>
  <c r="N25" i="80"/>
  <c r="L25" i="80"/>
  <c r="J25" i="80"/>
  <c r="B25" i="80"/>
  <c r="Z24" i="80"/>
  <c r="X24" i="80"/>
  <c r="N24" i="80"/>
  <c r="L24" i="80"/>
  <c r="J24" i="80"/>
  <c r="B24" i="80"/>
  <c r="Z23" i="80"/>
  <c r="X23" i="80"/>
  <c r="N23" i="80"/>
  <c r="L23" i="80"/>
  <c r="J23" i="80"/>
  <c r="B23" i="80"/>
  <c r="Z22" i="80"/>
  <c r="V22" i="80"/>
  <c r="T22" i="80"/>
  <c r="P22" i="80"/>
  <c r="X22" i="80" s="1"/>
  <c r="L22" i="80"/>
  <c r="H22" i="80"/>
  <c r="N22" i="80" s="1"/>
  <c r="D22" i="80"/>
  <c r="B22" i="80"/>
  <c r="T21" i="80"/>
  <c r="P21" i="80"/>
  <c r="X21" i="80" s="1"/>
  <c r="J21" i="80"/>
  <c r="H21" i="80"/>
  <c r="D21" i="80"/>
  <c r="J19" i="80"/>
  <c r="Z17" i="80"/>
  <c r="X17" i="80"/>
  <c r="N17" i="80"/>
  <c r="L17" i="80"/>
  <c r="J17" i="80"/>
  <c r="B17" i="80"/>
  <c r="Z16" i="80"/>
  <c r="X16" i="80"/>
  <c r="N16" i="80"/>
  <c r="L16" i="80"/>
  <c r="J16" i="80"/>
  <c r="B16" i="80"/>
  <c r="T15" i="80"/>
  <c r="Z15" i="80" s="1"/>
  <c r="P15" i="80"/>
  <c r="X15" i="80" s="1"/>
  <c r="J15" i="80"/>
  <c r="H15" i="80"/>
  <c r="D15" i="80"/>
  <c r="Z13" i="80"/>
  <c r="P13" i="80"/>
  <c r="X13" i="80" s="1"/>
  <c r="N13" i="80"/>
  <c r="D13" i="80"/>
  <c r="D12" i="80" s="1"/>
  <c r="F55" i="80" s="1"/>
  <c r="B13" i="80"/>
  <c r="T12" i="80"/>
  <c r="V36" i="80" s="1"/>
  <c r="N12" i="80"/>
  <c r="H12" i="80"/>
  <c r="J60" i="80" s="1"/>
  <c r="D6" i="80"/>
  <c r="D4" i="80"/>
  <c r="Z80" i="79"/>
  <c r="X80" i="79"/>
  <c r="V80" i="79"/>
  <c r="N80" i="79"/>
  <c r="L80" i="79"/>
  <c r="T76" i="79"/>
  <c r="Z76" i="79" s="1"/>
  <c r="P76" i="79"/>
  <c r="N76" i="79"/>
  <c r="J76" i="79"/>
  <c r="H76" i="79"/>
  <c r="D76" i="79"/>
  <c r="L76" i="79" s="1"/>
  <c r="X74" i="79"/>
  <c r="Z74" i="79" s="1"/>
  <c r="N74" i="79"/>
  <c r="L74" i="79"/>
  <c r="B74" i="79"/>
  <c r="T73" i="79"/>
  <c r="P73" i="79"/>
  <c r="X73" i="79" s="1"/>
  <c r="Z73" i="79" s="1"/>
  <c r="H73" i="79"/>
  <c r="D73" i="79"/>
  <c r="L73" i="79" s="1"/>
  <c r="B73" i="79"/>
  <c r="X72" i="79"/>
  <c r="Z72" i="79" s="1"/>
  <c r="N72" i="79"/>
  <c r="L72" i="79"/>
  <c r="B72" i="79"/>
  <c r="X71" i="79"/>
  <c r="Z71" i="79" s="1"/>
  <c r="T71" i="79"/>
  <c r="P71" i="79"/>
  <c r="H71" i="79"/>
  <c r="D71" i="79"/>
  <c r="L71" i="79" s="1"/>
  <c r="B71" i="79"/>
  <c r="Z70" i="79"/>
  <c r="X70" i="79"/>
  <c r="N70" i="79"/>
  <c r="L70" i="79"/>
  <c r="B70" i="79"/>
  <c r="X69" i="79"/>
  <c r="Z69" i="79" s="1"/>
  <c r="N69" i="79"/>
  <c r="L69" i="79"/>
  <c r="B69" i="79"/>
  <c r="T68" i="79"/>
  <c r="P68" i="79"/>
  <c r="X68" i="79" s="1"/>
  <c r="Z68" i="79" s="1"/>
  <c r="N68" i="79"/>
  <c r="H68" i="79"/>
  <c r="D68" i="79"/>
  <c r="L68" i="79" s="1"/>
  <c r="B68" i="79"/>
  <c r="X67" i="79"/>
  <c r="Z67" i="79" s="1"/>
  <c r="L67" i="79"/>
  <c r="N67" i="79" s="1"/>
  <c r="B67" i="79"/>
  <c r="X66" i="79"/>
  <c r="Z66" i="79" s="1"/>
  <c r="N66" i="79"/>
  <c r="L66" i="79"/>
  <c r="J66" i="79"/>
  <c r="B66" i="79"/>
  <c r="Z65" i="79"/>
  <c r="X65" i="79"/>
  <c r="L65" i="79"/>
  <c r="N65" i="79" s="1"/>
  <c r="B65" i="79"/>
  <c r="Z64" i="79"/>
  <c r="V64" i="79"/>
  <c r="T64" i="79"/>
  <c r="P64" i="79"/>
  <c r="X64" i="79" s="1"/>
  <c r="L64" i="79"/>
  <c r="H64" i="79"/>
  <c r="N64" i="79" s="1"/>
  <c r="D64" i="79"/>
  <c r="B64" i="79"/>
  <c r="X63" i="79"/>
  <c r="Z63" i="79" s="1"/>
  <c r="N63" i="79"/>
  <c r="L63" i="79"/>
  <c r="B63" i="79"/>
  <c r="Z62" i="79"/>
  <c r="X62" i="79"/>
  <c r="V62" i="79"/>
  <c r="N62" i="79"/>
  <c r="L62" i="79"/>
  <c r="B62" i="79"/>
  <c r="T61" i="79"/>
  <c r="P61" i="79"/>
  <c r="X61" i="79" s="1"/>
  <c r="L61" i="79"/>
  <c r="N61" i="79" s="1"/>
  <c r="H61" i="79"/>
  <c r="D61" i="79"/>
  <c r="B61" i="79"/>
  <c r="Z60" i="79"/>
  <c r="X60" i="79"/>
  <c r="N60" i="79"/>
  <c r="L60" i="79"/>
  <c r="J60" i="79"/>
  <c r="B60" i="79"/>
  <c r="Z59" i="79"/>
  <c r="X59" i="79"/>
  <c r="N59" i="79"/>
  <c r="L59" i="79"/>
  <c r="F59" i="79"/>
  <c r="B59" i="79"/>
  <c r="T58" i="79"/>
  <c r="P58" i="79"/>
  <c r="X58" i="79" s="1"/>
  <c r="Z58" i="79" s="1"/>
  <c r="H58" i="79"/>
  <c r="F58" i="79"/>
  <c r="D58" i="79"/>
  <c r="L58" i="79" s="1"/>
  <c r="N58" i="79" s="1"/>
  <c r="B58" i="79"/>
  <c r="X57" i="79"/>
  <c r="Z57" i="79" s="1"/>
  <c r="L57" i="79"/>
  <c r="N57" i="79" s="1"/>
  <c r="B57" i="79"/>
  <c r="Z56" i="79"/>
  <c r="X56" i="79"/>
  <c r="V56" i="79"/>
  <c r="N56" i="79"/>
  <c r="L56" i="79"/>
  <c r="B56" i="79"/>
  <c r="T55" i="79"/>
  <c r="P55" i="79"/>
  <c r="H55" i="79"/>
  <c r="D55" i="79"/>
  <c r="L55" i="79" s="1"/>
  <c r="N55" i="79" s="1"/>
  <c r="B55" i="79"/>
  <c r="X54" i="79"/>
  <c r="Z54" i="79" s="1"/>
  <c r="V54" i="79"/>
  <c r="N54" i="79"/>
  <c r="L54" i="79"/>
  <c r="B54" i="79"/>
  <c r="T53" i="79"/>
  <c r="Z53" i="79" s="1"/>
  <c r="P53" i="79"/>
  <c r="X53" i="79" s="1"/>
  <c r="N53" i="79"/>
  <c r="L53" i="79"/>
  <c r="H53" i="79"/>
  <c r="D53" i="79"/>
  <c r="B53" i="79"/>
  <c r="Z52" i="79"/>
  <c r="X52" i="79"/>
  <c r="N52" i="79"/>
  <c r="L52" i="79"/>
  <c r="B52" i="79"/>
  <c r="T51" i="79"/>
  <c r="P51" i="79"/>
  <c r="X51" i="79" s="1"/>
  <c r="H51" i="79"/>
  <c r="D51" i="79"/>
  <c r="B51" i="79"/>
  <c r="X50" i="79"/>
  <c r="Z50" i="79" s="1"/>
  <c r="L50" i="79"/>
  <c r="N50" i="79" s="1"/>
  <c r="B50" i="79"/>
  <c r="T49" i="79"/>
  <c r="P49" i="79"/>
  <c r="X49" i="79" s="1"/>
  <c r="Z49" i="79" s="1"/>
  <c r="H49" i="79"/>
  <c r="D49" i="79"/>
  <c r="L49" i="79" s="1"/>
  <c r="B49" i="79"/>
  <c r="Z48" i="79"/>
  <c r="X48" i="79"/>
  <c r="N48" i="79"/>
  <c r="L48" i="79"/>
  <c r="B48" i="79"/>
  <c r="X47" i="79"/>
  <c r="T47" i="79"/>
  <c r="Z47" i="79" s="1"/>
  <c r="P47" i="79"/>
  <c r="N47" i="79"/>
  <c r="H47" i="79"/>
  <c r="D47" i="79"/>
  <c r="L47" i="79" s="1"/>
  <c r="B47" i="79"/>
  <c r="Z46" i="79"/>
  <c r="X46" i="79"/>
  <c r="L46" i="79"/>
  <c r="N46" i="79" s="1"/>
  <c r="B46" i="79"/>
  <c r="X45" i="79"/>
  <c r="T45" i="79"/>
  <c r="P45" i="79"/>
  <c r="H45" i="79"/>
  <c r="D45" i="79"/>
  <c r="L45" i="79" s="1"/>
  <c r="B45" i="79"/>
  <c r="Z44" i="79"/>
  <c r="X44" i="79"/>
  <c r="V44" i="79"/>
  <c r="N44" i="79"/>
  <c r="L44" i="79"/>
  <c r="B44" i="79"/>
  <c r="Z43" i="79"/>
  <c r="X43" i="79"/>
  <c r="N43" i="79"/>
  <c r="L43" i="79"/>
  <c r="B43" i="79"/>
  <c r="X42" i="79"/>
  <c r="Z42" i="79" s="1"/>
  <c r="L42" i="79"/>
  <c r="N42" i="79" s="1"/>
  <c r="J42" i="79"/>
  <c r="B42" i="79"/>
  <c r="Z41" i="79"/>
  <c r="X41" i="79"/>
  <c r="N41" i="79"/>
  <c r="L41" i="79"/>
  <c r="B41" i="79"/>
  <c r="Z40" i="79"/>
  <c r="X40" i="79"/>
  <c r="V40" i="79"/>
  <c r="N40" i="79"/>
  <c r="L40" i="79"/>
  <c r="B40" i="79"/>
  <c r="X39" i="79"/>
  <c r="Z39" i="79" s="1"/>
  <c r="L39" i="79"/>
  <c r="N39" i="79" s="1"/>
  <c r="B39" i="79"/>
  <c r="X38" i="79"/>
  <c r="Z38" i="79" s="1"/>
  <c r="L38" i="79"/>
  <c r="N38" i="79" s="1"/>
  <c r="B38" i="79"/>
  <c r="Z37" i="79"/>
  <c r="X37" i="79"/>
  <c r="N37" i="79"/>
  <c r="L37" i="79"/>
  <c r="B37" i="79"/>
  <c r="Z36" i="79"/>
  <c r="X36" i="79"/>
  <c r="V36" i="79"/>
  <c r="N36" i="79"/>
  <c r="L36" i="79"/>
  <c r="B36" i="79"/>
  <c r="Z35" i="79"/>
  <c r="X35" i="79"/>
  <c r="N35" i="79"/>
  <c r="L35" i="79"/>
  <c r="B35" i="79"/>
  <c r="T34" i="79"/>
  <c r="P34" i="79"/>
  <c r="X34" i="79" s="1"/>
  <c r="N34" i="79"/>
  <c r="H34" i="79"/>
  <c r="D34" i="79"/>
  <c r="L34" i="79" s="1"/>
  <c r="B34" i="79"/>
  <c r="Z33" i="79"/>
  <c r="X33" i="79"/>
  <c r="N33" i="79"/>
  <c r="L33" i="79"/>
  <c r="F33" i="79"/>
  <c r="B33" i="79"/>
  <c r="X32" i="79"/>
  <c r="Z32" i="79" s="1"/>
  <c r="N32" i="79"/>
  <c r="L32" i="79"/>
  <c r="B32" i="79"/>
  <c r="Z31" i="79"/>
  <c r="X31" i="79"/>
  <c r="N31" i="79"/>
  <c r="L31" i="79"/>
  <c r="B31" i="79"/>
  <c r="Z30" i="79"/>
  <c r="X30" i="79"/>
  <c r="V30" i="79"/>
  <c r="N30" i="79"/>
  <c r="L30" i="79"/>
  <c r="B30" i="79"/>
  <c r="Z29" i="79"/>
  <c r="X29" i="79"/>
  <c r="N29" i="79"/>
  <c r="L29" i="79"/>
  <c r="F29" i="79"/>
  <c r="B29" i="79"/>
  <c r="X28" i="79"/>
  <c r="Z28" i="79" s="1"/>
  <c r="N28" i="79"/>
  <c r="L28" i="79"/>
  <c r="B28" i="79"/>
  <c r="Z27" i="79"/>
  <c r="X27" i="79"/>
  <c r="N27" i="79"/>
  <c r="L27" i="79"/>
  <c r="B27" i="79"/>
  <c r="X26" i="79"/>
  <c r="Z26" i="79" s="1"/>
  <c r="V26" i="79"/>
  <c r="N26" i="79"/>
  <c r="L26" i="79"/>
  <c r="B26" i="79"/>
  <c r="X25" i="79"/>
  <c r="Z25" i="79" s="1"/>
  <c r="L25" i="79"/>
  <c r="N25" i="79" s="1"/>
  <c r="F25" i="79"/>
  <c r="B25" i="79"/>
  <c r="T24" i="79"/>
  <c r="Z24" i="79" s="1"/>
  <c r="P24" i="79"/>
  <c r="X24" i="79" s="1"/>
  <c r="J24" i="79"/>
  <c r="H24" i="79"/>
  <c r="N24" i="79" s="1"/>
  <c r="F24" i="79"/>
  <c r="D24" i="79"/>
  <c r="L24" i="79" s="1"/>
  <c r="B24" i="79"/>
  <c r="T23" i="79"/>
  <c r="P23" i="79"/>
  <c r="X23" i="79" s="1"/>
  <c r="H23" i="79"/>
  <c r="D23" i="79"/>
  <c r="L23" i="79" s="1"/>
  <c r="Z19" i="79"/>
  <c r="X19" i="79"/>
  <c r="N19" i="79"/>
  <c r="L19" i="79"/>
  <c r="F19" i="79"/>
  <c r="B19" i="79"/>
  <c r="Z18" i="79"/>
  <c r="X18" i="79"/>
  <c r="N18" i="79"/>
  <c r="L18" i="79"/>
  <c r="B18" i="79"/>
  <c r="T17" i="79"/>
  <c r="P17" i="79"/>
  <c r="H17" i="79"/>
  <c r="N17" i="79" s="1"/>
  <c r="D17" i="79"/>
  <c r="L17" i="79" s="1"/>
  <c r="Z15" i="79"/>
  <c r="X15" i="79"/>
  <c r="P15" i="79"/>
  <c r="N15" i="79"/>
  <c r="D15" i="79"/>
  <c r="L15" i="79" s="1"/>
  <c r="B15" i="79"/>
  <c r="P14" i="79"/>
  <c r="X14" i="79" s="1"/>
  <c r="Z14" i="79" s="1"/>
  <c r="L14" i="79"/>
  <c r="N14" i="79" s="1"/>
  <c r="D14" i="79"/>
  <c r="B14" i="79"/>
  <c r="Z13" i="79"/>
  <c r="X13" i="79"/>
  <c r="P13" i="79"/>
  <c r="P12" i="79" s="1"/>
  <c r="N13" i="79"/>
  <c r="L13" i="79"/>
  <c r="D13" i="79"/>
  <c r="B13" i="79"/>
  <c r="T12" i="79"/>
  <c r="V70" i="79" s="1"/>
  <c r="H12" i="79"/>
  <c r="D12" i="79"/>
  <c r="F78" i="79" s="1"/>
  <c r="D6" i="79"/>
  <c r="D4" i="79"/>
  <c r="X103" i="76"/>
  <c r="Z103" i="76" s="1"/>
  <c r="L103" i="76"/>
  <c r="N103" i="76" s="1"/>
  <c r="P99" i="76"/>
  <c r="X99" i="76" s="1"/>
  <c r="Z99" i="76" s="1"/>
  <c r="D99" i="76"/>
  <c r="L99" i="76" s="1"/>
  <c r="N99" i="76" s="1"/>
  <c r="B99" i="76"/>
  <c r="Z98" i="76"/>
  <c r="X98" i="76"/>
  <c r="P98" i="76"/>
  <c r="N98" i="76"/>
  <c r="L98" i="76"/>
  <c r="D98" i="76"/>
  <c r="B98" i="76"/>
  <c r="V97" i="76"/>
  <c r="T97" i="76"/>
  <c r="P97" i="76"/>
  <c r="X97" i="76" s="1"/>
  <c r="Z97" i="76" s="1"/>
  <c r="H97" i="76"/>
  <c r="D97" i="76"/>
  <c r="L97" i="76" s="1"/>
  <c r="N97" i="76" s="1"/>
  <c r="Z95" i="76"/>
  <c r="X95" i="76"/>
  <c r="L95" i="76"/>
  <c r="N95" i="76" s="1"/>
  <c r="B95" i="76"/>
  <c r="T94" i="76"/>
  <c r="P94" i="76"/>
  <c r="H94" i="76"/>
  <c r="D94" i="76"/>
  <c r="L94" i="76" s="1"/>
  <c r="N94" i="76" s="1"/>
  <c r="B94" i="76"/>
  <c r="X93" i="76"/>
  <c r="Z93" i="76" s="1"/>
  <c r="N93" i="76"/>
  <c r="L93" i="76"/>
  <c r="B93" i="76"/>
  <c r="T92" i="76"/>
  <c r="P92" i="76"/>
  <c r="X92" i="76" s="1"/>
  <c r="Z92" i="76" s="1"/>
  <c r="L92" i="76"/>
  <c r="H92" i="76"/>
  <c r="D92" i="76"/>
  <c r="B92" i="76"/>
  <c r="Z91" i="76"/>
  <c r="X91" i="76"/>
  <c r="N91" i="76"/>
  <c r="L91" i="76"/>
  <c r="B91" i="76"/>
  <c r="X90" i="76"/>
  <c r="Z90" i="76" s="1"/>
  <c r="N90" i="76"/>
  <c r="L90" i="76"/>
  <c r="B90" i="76"/>
  <c r="Z89" i="76"/>
  <c r="X89" i="76"/>
  <c r="N89" i="76"/>
  <c r="L89" i="76"/>
  <c r="B89" i="76"/>
  <c r="X88" i="76"/>
  <c r="T88" i="76"/>
  <c r="P88" i="76"/>
  <c r="H88" i="76"/>
  <c r="D88" i="76"/>
  <c r="L88" i="76" s="1"/>
  <c r="B88" i="76"/>
  <c r="Z87" i="76"/>
  <c r="X87" i="76"/>
  <c r="N87" i="76"/>
  <c r="L87" i="76"/>
  <c r="B87" i="76"/>
  <c r="T86" i="76"/>
  <c r="P86" i="76"/>
  <c r="H86" i="76"/>
  <c r="N86" i="76" s="1"/>
  <c r="D86" i="76"/>
  <c r="L86" i="76" s="1"/>
  <c r="B86" i="76"/>
  <c r="X85" i="76"/>
  <c r="Z85" i="76" s="1"/>
  <c r="V85" i="76"/>
  <c r="N85" i="76"/>
  <c r="L85" i="76"/>
  <c r="B85" i="76"/>
  <c r="T84" i="76"/>
  <c r="P84" i="76"/>
  <c r="X84" i="76" s="1"/>
  <c r="Z84" i="76" s="1"/>
  <c r="L84" i="76"/>
  <c r="H84" i="76"/>
  <c r="D84" i="76"/>
  <c r="B84" i="76"/>
  <c r="Z83" i="76"/>
  <c r="X83" i="76"/>
  <c r="N83" i="76"/>
  <c r="L83" i="76"/>
  <c r="B83" i="76"/>
  <c r="X82" i="76"/>
  <c r="T82" i="76"/>
  <c r="Z82" i="76" s="1"/>
  <c r="P82" i="76"/>
  <c r="H82" i="76"/>
  <c r="D82" i="76"/>
  <c r="B82" i="76"/>
  <c r="Z81" i="76"/>
  <c r="X81" i="76"/>
  <c r="N81" i="76"/>
  <c r="L81" i="76"/>
  <c r="B81" i="76"/>
  <c r="X80" i="76"/>
  <c r="Z80" i="76" s="1"/>
  <c r="N80" i="76"/>
  <c r="L80" i="76"/>
  <c r="B80" i="76"/>
  <c r="T79" i="76"/>
  <c r="P79" i="76"/>
  <c r="X79" i="76" s="1"/>
  <c r="Z79" i="76" s="1"/>
  <c r="L79" i="76"/>
  <c r="N79" i="76" s="1"/>
  <c r="H79" i="76"/>
  <c r="D79" i="76"/>
  <c r="B79" i="76"/>
  <c r="X78" i="76"/>
  <c r="Z78" i="76" s="1"/>
  <c r="L78" i="76"/>
  <c r="N78" i="76" s="1"/>
  <c r="B78" i="76"/>
  <c r="X77" i="76"/>
  <c r="Z77" i="76" s="1"/>
  <c r="T77" i="76"/>
  <c r="P77" i="76"/>
  <c r="H77" i="76"/>
  <c r="D77" i="76"/>
  <c r="L77" i="76" s="1"/>
  <c r="B77" i="76"/>
  <c r="X76" i="76"/>
  <c r="Z76" i="76" s="1"/>
  <c r="N76" i="76"/>
  <c r="L76" i="76"/>
  <c r="B76" i="76"/>
  <c r="T75" i="76"/>
  <c r="P75" i="76"/>
  <c r="H75" i="76"/>
  <c r="D75" i="76"/>
  <c r="L75" i="76" s="1"/>
  <c r="N75" i="76" s="1"/>
  <c r="B75" i="76"/>
  <c r="X74" i="76"/>
  <c r="Z74" i="76" s="1"/>
  <c r="L74" i="76"/>
  <c r="N74" i="76" s="1"/>
  <c r="J74" i="76"/>
  <c r="B74" i="76"/>
  <c r="X73" i="76"/>
  <c r="Z73" i="76" s="1"/>
  <c r="T73" i="76"/>
  <c r="P73" i="76"/>
  <c r="H73" i="76"/>
  <c r="D73" i="76"/>
  <c r="L73" i="76" s="1"/>
  <c r="N73" i="76" s="1"/>
  <c r="B73" i="76"/>
  <c r="X72" i="76"/>
  <c r="Z72" i="76" s="1"/>
  <c r="L72" i="76"/>
  <c r="N72" i="76" s="1"/>
  <c r="B72" i="76"/>
  <c r="T71" i="76"/>
  <c r="P71" i="76"/>
  <c r="X71" i="76" s="1"/>
  <c r="Z71" i="76" s="1"/>
  <c r="L71" i="76"/>
  <c r="N71" i="76" s="1"/>
  <c r="H71" i="76"/>
  <c r="D71" i="76"/>
  <c r="B71" i="76"/>
  <c r="Z70" i="76"/>
  <c r="X70" i="76"/>
  <c r="N70" i="76"/>
  <c r="L70" i="76"/>
  <c r="B70" i="76"/>
  <c r="Z69" i="76"/>
  <c r="X69" i="76"/>
  <c r="V69" i="76"/>
  <c r="N69" i="76"/>
  <c r="L69" i="76"/>
  <c r="J69" i="76"/>
  <c r="B69" i="76"/>
  <c r="Z68" i="76"/>
  <c r="X68" i="76"/>
  <c r="L68" i="76"/>
  <c r="N68" i="76" s="1"/>
  <c r="B68" i="76"/>
  <c r="Z67" i="76"/>
  <c r="X67" i="76"/>
  <c r="N67" i="76"/>
  <c r="L67" i="76"/>
  <c r="B67" i="76"/>
  <c r="Z66" i="76"/>
  <c r="X66" i="76"/>
  <c r="N66" i="76"/>
  <c r="L66" i="76"/>
  <c r="B66" i="76"/>
  <c r="Z65" i="76"/>
  <c r="X65" i="76"/>
  <c r="V65" i="76"/>
  <c r="N65" i="76"/>
  <c r="L65" i="76"/>
  <c r="J65" i="76"/>
  <c r="B65" i="76"/>
  <c r="Z64" i="76"/>
  <c r="X64" i="76"/>
  <c r="L64" i="76"/>
  <c r="N64" i="76" s="1"/>
  <c r="B64" i="76"/>
  <c r="Z63" i="76"/>
  <c r="X63" i="76"/>
  <c r="N63" i="76"/>
  <c r="L63" i="76"/>
  <c r="B63" i="76"/>
  <c r="X62" i="76"/>
  <c r="Z62" i="76" s="1"/>
  <c r="N62" i="76"/>
  <c r="L62" i="76"/>
  <c r="B62" i="76"/>
  <c r="Z61" i="76"/>
  <c r="X61" i="76"/>
  <c r="V61" i="76"/>
  <c r="N61" i="76"/>
  <c r="L61" i="76"/>
  <c r="J61" i="76"/>
  <c r="B61" i="76"/>
  <c r="T60" i="76"/>
  <c r="P60" i="76"/>
  <c r="X60" i="76" s="1"/>
  <c r="H60" i="76"/>
  <c r="D60" i="76"/>
  <c r="B60" i="76"/>
  <c r="Z59" i="76"/>
  <c r="X59" i="76"/>
  <c r="N59" i="76"/>
  <c r="L59" i="76"/>
  <c r="J59" i="76"/>
  <c r="B59" i="76"/>
  <c r="Z58" i="76"/>
  <c r="X58" i="76"/>
  <c r="L58" i="76"/>
  <c r="N58" i="76" s="1"/>
  <c r="B58" i="76"/>
  <c r="Z57" i="76"/>
  <c r="X57" i="76"/>
  <c r="V57" i="76"/>
  <c r="L57" i="76"/>
  <c r="N57" i="76" s="1"/>
  <c r="B57" i="76"/>
  <c r="Z56" i="76"/>
  <c r="X56" i="76"/>
  <c r="N56" i="76"/>
  <c r="L56" i="76"/>
  <c r="J56" i="76"/>
  <c r="B56" i="76"/>
  <c r="Z55" i="76"/>
  <c r="X55" i="76"/>
  <c r="N55" i="76"/>
  <c r="L55" i="76"/>
  <c r="J55" i="76"/>
  <c r="B55" i="76"/>
  <c r="Z54" i="76"/>
  <c r="X54" i="76"/>
  <c r="L54" i="76"/>
  <c r="N54" i="76" s="1"/>
  <c r="B54" i="76"/>
  <c r="Z53" i="76"/>
  <c r="X53" i="76"/>
  <c r="V53" i="76"/>
  <c r="L53" i="76"/>
  <c r="N53" i="76" s="1"/>
  <c r="B53" i="76"/>
  <c r="X52" i="76"/>
  <c r="Z52" i="76" s="1"/>
  <c r="L52" i="76"/>
  <c r="N52" i="76" s="1"/>
  <c r="J52" i="76"/>
  <c r="B52" i="76"/>
  <c r="Z51" i="76"/>
  <c r="X51" i="76"/>
  <c r="V51" i="76"/>
  <c r="N51" i="76"/>
  <c r="L51" i="76"/>
  <c r="J51" i="76"/>
  <c r="B51" i="76"/>
  <c r="Z50" i="76"/>
  <c r="X50" i="76"/>
  <c r="L50" i="76"/>
  <c r="N50" i="76" s="1"/>
  <c r="B50" i="76"/>
  <c r="V49" i="76"/>
  <c r="T49" i="76"/>
  <c r="P49" i="76"/>
  <c r="X49" i="76" s="1"/>
  <c r="J49" i="76"/>
  <c r="H49" i="76"/>
  <c r="D49" i="76"/>
  <c r="L49" i="76" s="1"/>
  <c r="N49" i="76" s="1"/>
  <c r="B49" i="76"/>
  <c r="V48" i="76"/>
  <c r="T48" i="76"/>
  <c r="P48" i="76"/>
  <c r="X48" i="76" s="1"/>
  <c r="H48" i="76"/>
  <c r="D48" i="76"/>
  <c r="L48" i="76" s="1"/>
  <c r="Z44" i="76"/>
  <c r="X44" i="76"/>
  <c r="V44" i="76"/>
  <c r="N44" i="76"/>
  <c r="L44" i="76"/>
  <c r="B44" i="76"/>
  <c r="Z43" i="76"/>
  <c r="X43" i="76"/>
  <c r="V43" i="76"/>
  <c r="N43" i="76"/>
  <c r="L43" i="76"/>
  <c r="B43" i="76"/>
  <c r="Z42" i="76"/>
  <c r="X42" i="76"/>
  <c r="N42" i="76"/>
  <c r="L42" i="76"/>
  <c r="B42" i="76"/>
  <c r="Z41" i="76"/>
  <c r="X41" i="76"/>
  <c r="V41" i="76"/>
  <c r="N41" i="76"/>
  <c r="L41" i="76"/>
  <c r="J41" i="76"/>
  <c r="B41" i="76"/>
  <c r="Z40" i="76"/>
  <c r="X40" i="76"/>
  <c r="V40" i="76"/>
  <c r="N40" i="76"/>
  <c r="L40" i="76"/>
  <c r="B40" i="76"/>
  <c r="Z39" i="76"/>
  <c r="X39" i="76"/>
  <c r="V39" i="76"/>
  <c r="N39" i="76"/>
  <c r="L39" i="76"/>
  <c r="B39" i="76"/>
  <c r="Z38" i="76"/>
  <c r="X38" i="76"/>
  <c r="N38" i="76"/>
  <c r="L38" i="76"/>
  <c r="B38" i="76"/>
  <c r="Z37" i="76"/>
  <c r="X37" i="76"/>
  <c r="V37" i="76"/>
  <c r="N37" i="76"/>
  <c r="L37" i="76"/>
  <c r="J37" i="76"/>
  <c r="B37" i="76"/>
  <c r="Z36" i="76"/>
  <c r="X36" i="76"/>
  <c r="V36" i="76"/>
  <c r="N36" i="76"/>
  <c r="L36" i="76"/>
  <c r="B36" i="76"/>
  <c r="Z35" i="76"/>
  <c r="X35" i="76"/>
  <c r="V35" i="76"/>
  <c r="N35" i="76"/>
  <c r="L35" i="76"/>
  <c r="B35" i="76"/>
  <c r="Z34" i="76"/>
  <c r="X34" i="76"/>
  <c r="N34" i="76"/>
  <c r="L34" i="76"/>
  <c r="B34" i="76"/>
  <c r="X33" i="76"/>
  <c r="Z33" i="76" s="1"/>
  <c r="V33" i="76"/>
  <c r="N33" i="76"/>
  <c r="L33" i="76"/>
  <c r="J33" i="76"/>
  <c r="B33" i="76"/>
  <c r="X32" i="76"/>
  <c r="V32" i="76"/>
  <c r="T32" i="76"/>
  <c r="P32" i="76"/>
  <c r="H32" i="76"/>
  <c r="D32" i="76"/>
  <c r="L32" i="76" s="1"/>
  <c r="Z30" i="76"/>
  <c r="X30" i="76"/>
  <c r="P30" i="76"/>
  <c r="N30" i="76"/>
  <c r="D30" i="76"/>
  <c r="L30" i="76" s="1"/>
  <c r="B30" i="76"/>
  <c r="Z29" i="76"/>
  <c r="P29" i="76"/>
  <c r="X29" i="76" s="1"/>
  <c r="N29" i="76"/>
  <c r="L29" i="76"/>
  <c r="D29" i="76"/>
  <c r="B29" i="76"/>
  <c r="Z28" i="76"/>
  <c r="P28" i="76"/>
  <c r="X28" i="76" s="1"/>
  <c r="N28" i="76"/>
  <c r="D28" i="76"/>
  <c r="L28" i="76" s="1"/>
  <c r="B28" i="76"/>
  <c r="Z27" i="76"/>
  <c r="X27" i="76"/>
  <c r="P27" i="76"/>
  <c r="N27" i="76"/>
  <c r="L27" i="76"/>
  <c r="D27" i="76"/>
  <c r="B27" i="76"/>
  <c r="Z26" i="76"/>
  <c r="X26" i="76"/>
  <c r="P26" i="76"/>
  <c r="N26" i="76"/>
  <c r="D26" i="76"/>
  <c r="L26" i="76" s="1"/>
  <c r="B26" i="76"/>
  <c r="Z25" i="76"/>
  <c r="P25" i="76"/>
  <c r="X25" i="76" s="1"/>
  <c r="N25" i="76"/>
  <c r="D25" i="76"/>
  <c r="L25" i="76" s="1"/>
  <c r="B25" i="76"/>
  <c r="Z24" i="76"/>
  <c r="X24" i="76"/>
  <c r="P24" i="76"/>
  <c r="N24" i="76"/>
  <c r="L24" i="76"/>
  <c r="D24" i="76"/>
  <c r="B24" i="76"/>
  <c r="Z23" i="76"/>
  <c r="X23" i="76"/>
  <c r="P23" i="76"/>
  <c r="N23" i="76"/>
  <c r="L23" i="76"/>
  <c r="D23" i="76"/>
  <c r="B23" i="76"/>
  <c r="Z22" i="76"/>
  <c r="P22" i="76"/>
  <c r="X22" i="76" s="1"/>
  <c r="N22" i="76"/>
  <c r="D22" i="76"/>
  <c r="L22" i="76" s="1"/>
  <c r="B22" i="76"/>
  <c r="Z21" i="76"/>
  <c r="P21" i="76"/>
  <c r="X21" i="76" s="1"/>
  <c r="N21" i="76"/>
  <c r="L21" i="76"/>
  <c r="D21" i="76"/>
  <c r="B21" i="76"/>
  <c r="Z20" i="76"/>
  <c r="X20" i="76"/>
  <c r="P20" i="76"/>
  <c r="N20" i="76"/>
  <c r="L20" i="76"/>
  <c r="D20" i="76"/>
  <c r="B20" i="76"/>
  <c r="P19" i="76"/>
  <c r="X19" i="76" s="1"/>
  <c r="Z19" i="76" s="1"/>
  <c r="D19" i="76"/>
  <c r="L19" i="76" s="1"/>
  <c r="N19" i="76" s="1"/>
  <c r="B19" i="76"/>
  <c r="Z18" i="76"/>
  <c r="P18" i="76"/>
  <c r="X18" i="76" s="1"/>
  <c r="N18" i="76"/>
  <c r="D18" i="76"/>
  <c r="L18" i="76" s="1"/>
  <c r="B18" i="76"/>
  <c r="Z17" i="76"/>
  <c r="P17" i="76"/>
  <c r="X17" i="76" s="1"/>
  <c r="N17" i="76"/>
  <c r="L17" i="76"/>
  <c r="D17" i="76"/>
  <c r="B17" i="76"/>
  <c r="Z16" i="76"/>
  <c r="P16" i="76"/>
  <c r="X16" i="76" s="1"/>
  <c r="N16" i="76"/>
  <c r="D16" i="76"/>
  <c r="L16" i="76" s="1"/>
  <c r="B16" i="76"/>
  <c r="Z15" i="76"/>
  <c r="X15" i="76"/>
  <c r="P15" i="76"/>
  <c r="N15" i="76"/>
  <c r="L15" i="76"/>
  <c r="D15" i="76"/>
  <c r="D12" i="76" s="1"/>
  <c r="F61" i="76" s="1"/>
  <c r="B15" i="76"/>
  <c r="Z14" i="76"/>
  <c r="X14" i="76"/>
  <c r="P14" i="76"/>
  <c r="N14" i="76"/>
  <c r="D14" i="76"/>
  <c r="L14" i="76" s="1"/>
  <c r="B14" i="76"/>
  <c r="P13" i="76"/>
  <c r="D13" i="76"/>
  <c r="L13" i="76" s="1"/>
  <c r="N13" i="76" s="1"/>
  <c r="B13" i="76"/>
  <c r="T12" i="76"/>
  <c r="V74" i="76" s="1"/>
  <c r="H12" i="76"/>
  <c r="J83" i="76" s="1"/>
  <c r="D6" i="76"/>
  <c r="D4" i="76"/>
  <c r="X83" i="75"/>
  <c r="Z83" i="75" s="1"/>
  <c r="L83" i="75"/>
  <c r="N83" i="75" s="1"/>
  <c r="X79" i="75"/>
  <c r="Z79" i="75" s="1"/>
  <c r="V79" i="75"/>
  <c r="P79" i="75"/>
  <c r="D79" i="75"/>
  <c r="L79" i="75" s="1"/>
  <c r="N79" i="75" s="1"/>
  <c r="B79" i="75"/>
  <c r="T78" i="75"/>
  <c r="V78" i="75" s="1"/>
  <c r="P78" i="75"/>
  <c r="X78" i="75" s="1"/>
  <c r="H78" i="75"/>
  <c r="Z76" i="75"/>
  <c r="X76" i="75"/>
  <c r="V76" i="75"/>
  <c r="N76" i="75"/>
  <c r="L76" i="75"/>
  <c r="B76" i="75"/>
  <c r="T75" i="75"/>
  <c r="Z75" i="75" s="1"/>
  <c r="P75" i="75"/>
  <c r="X75" i="75" s="1"/>
  <c r="N75" i="75"/>
  <c r="H75" i="75"/>
  <c r="D75" i="75"/>
  <c r="L75" i="75" s="1"/>
  <c r="B75" i="75"/>
  <c r="Z74" i="75"/>
  <c r="X74" i="75"/>
  <c r="N74" i="75"/>
  <c r="L74" i="75"/>
  <c r="B74" i="75"/>
  <c r="T73" i="75"/>
  <c r="P73" i="75"/>
  <c r="X73" i="75" s="1"/>
  <c r="L73" i="75"/>
  <c r="J73" i="75"/>
  <c r="H73" i="75"/>
  <c r="N73" i="75" s="1"/>
  <c r="D73" i="75"/>
  <c r="B73" i="75"/>
  <c r="Z72" i="75"/>
  <c r="X72" i="75"/>
  <c r="N72" i="75"/>
  <c r="L72" i="75"/>
  <c r="J72" i="75"/>
  <c r="B72" i="75"/>
  <c r="X71" i="75"/>
  <c r="Z71" i="75" s="1"/>
  <c r="L71" i="75"/>
  <c r="N71" i="75" s="1"/>
  <c r="B71" i="75"/>
  <c r="X70" i="75"/>
  <c r="Z70" i="75" s="1"/>
  <c r="N70" i="75"/>
  <c r="L70" i="75"/>
  <c r="B70" i="75"/>
  <c r="Z69" i="75"/>
  <c r="X69" i="75"/>
  <c r="R69" i="75"/>
  <c r="N69" i="75"/>
  <c r="L69" i="75"/>
  <c r="B69" i="75"/>
  <c r="Z68" i="75"/>
  <c r="X68" i="75"/>
  <c r="N68" i="75"/>
  <c r="L68" i="75"/>
  <c r="J68" i="75"/>
  <c r="B68" i="75"/>
  <c r="T67" i="75"/>
  <c r="P67" i="75"/>
  <c r="X67" i="75" s="1"/>
  <c r="H67" i="75"/>
  <c r="D67" i="75"/>
  <c r="B67" i="75"/>
  <c r="Z66" i="75"/>
  <c r="X66" i="75"/>
  <c r="N66" i="75"/>
  <c r="L66" i="75"/>
  <c r="B66" i="75"/>
  <c r="T65" i="75"/>
  <c r="P65" i="75"/>
  <c r="X65" i="75" s="1"/>
  <c r="Z65" i="75" s="1"/>
  <c r="H65" i="75"/>
  <c r="N65" i="75" s="1"/>
  <c r="D65" i="75"/>
  <c r="L65" i="75" s="1"/>
  <c r="B65" i="75"/>
  <c r="X64" i="75"/>
  <c r="Z64" i="75" s="1"/>
  <c r="N64" i="75"/>
  <c r="L64" i="75"/>
  <c r="B64" i="75"/>
  <c r="Z63" i="75"/>
  <c r="X63" i="75"/>
  <c r="V63" i="75"/>
  <c r="N63" i="75"/>
  <c r="L63" i="75"/>
  <c r="B63" i="75"/>
  <c r="T62" i="75"/>
  <c r="P62" i="75"/>
  <c r="X62" i="75" s="1"/>
  <c r="Z62" i="75" s="1"/>
  <c r="L62" i="75"/>
  <c r="N62" i="75" s="1"/>
  <c r="H62" i="75"/>
  <c r="D62" i="75"/>
  <c r="B62" i="75"/>
  <c r="Z61" i="75"/>
  <c r="X61" i="75"/>
  <c r="N61" i="75"/>
  <c r="L61" i="75"/>
  <c r="B61" i="75"/>
  <c r="Z60" i="75"/>
  <c r="X60" i="75"/>
  <c r="N60" i="75"/>
  <c r="L60" i="75"/>
  <c r="J60" i="75"/>
  <c r="B60" i="75"/>
  <c r="T59" i="75"/>
  <c r="P59" i="75"/>
  <c r="X59" i="75" s="1"/>
  <c r="H59" i="75"/>
  <c r="D59" i="75"/>
  <c r="B59" i="75"/>
  <c r="Z58" i="75"/>
  <c r="X58" i="75"/>
  <c r="N58" i="75"/>
  <c r="L58" i="75"/>
  <c r="B58" i="75"/>
  <c r="Z57" i="75"/>
  <c r="T57" i="75"/>
  <c r="P57" i="75"/>
  <c r="X57" i="75" s="1"/>
  <c r="H57" i="75"/>
  <c r="N57" i="75" s="1"/>
  <c r="D57" i="75"/>
  <c r="L57" i="75" s="1"/>
  <c r="B57" i="75"/>
  <c r="Z56" i="75"/>
  <c r="X56" i="75"/>
  <c r="N56" i="75"/>
  <c r="L56" i="75"/>
  <c r="B56" i="75"/>
  <c r="X55" i="75"/>
  <c r="V55" i="75"/>
  <c r="T55" i="75"/>
  <c r="P55" i="75"/>
  <c r="H55" i="75"/>
  <c r="N55" i="75" s="1"/>
  <c r="D55" i="75"/>
  <c r="L55" i="75" s="1"/>
  <c r="B55" i="75"/>
  <c r="X54" i="75"/>
  <c r="Z54" i="75" s="1"/>
  <c r="N54" i="75"/>
  <c r="L54" i="75"/>
  <c r="B54" i="75"/>
  <c r="T53" i="75"/>
  <c r="P53" i="75"/>
  <c r="H53" i="75"/>
  <c r="D53" i="75"/>
  <c r="L53" i="75" s="1"/>
  <c r="B53" i="75"/>
  <c r="Z52" i="75"/>
  <c r="X52" i="75"/>
  <c r="V52" i="75"/>
  <c r="N52" i="75"/>
  <c r="L52" i="75"/>
  <c r="B52" i="75"/>
  <c r="T51" i="75"/>
  <c r="Z51" i="75" s="1"/>
  <c r="P51" i="75"/>
  <c r="X51" i="75" s="1"/>
  <c r="H51" i="75"/>
  <c r="D51" i="75"/>
  <c r="L51" i="75" s="1"/>
  <c r="N51" i="75" s="1"/>
  <c r="B51" i="75"/>
  <c r="Z50" i="75"/>
  <c r="X50" i="75"/>
  <c r="N50" i="75"/>
  <c r="L50" i="75"/>
  <c r="B50" i="75"/>
  <c r="Z49" i="75"/>
  <c r="X49" i="75"/>
  <c r="N49" i="75"/>
  <c r="L49" i="75"/>
  <c r="F49" i="75"/>
  <c r="B49" i="75"/>
  <c r="Z48" i="75"/>
  <c r="X48" i="75"/>
  <c r="N48" i="75"/>
  <c r="L48" i="75"/>
  <c r="B48" i="75"/>
  <c r="Z47" i="75"/>
  <c r="X47" i="75"/>
  <c r="V47" i="75"/>
  <c r="N47" i="75"/>
  <c r="L47" i="75"/>
  <c r="B47" i="75"/>
  <c r="Z46" i="75"/>
  <c r="X46" i="75"/>
  <c r="N46" i="75"/>
  <c r="L46" i="75"/>
  <c r="B46" i="75"/>
  <c r="Z45" i="75"/>
  <c r="X45" i="75"/>
  <c r="N45" i="75"/>
  <c r="L45" i="75"/>
  <c r="B45" i="75"/>
  <c r="Z44" i="75"/>
  <c r="X44" i="75"/>
  <c r="N44" i="75"/>
  <c r="L44" i="75"/>
  <c r="B44" i="75"/>
  <c r="Z43" i="75"/>
  <c r="X43" i="75"/>
  <c r="V43" i="75"/>
  <c r="N43" i="75"/>
  <c r="L43" i="75"/>
  <c r="B43" i="75"/>
  <c r="Z42" i="75"/>
  <c r="X42" i="75"/>
  <c r="N42" i="75"/>
  <c r="L42" i="75"/>
  <c r="B42" i="75"/>
  <c r="Z41" i="75"/>
  <c r="X41" i="75"/>
  <c r="N41" i="75"/>
  <c r="L41" i="75"/>
  <c r="B41" i="75"/>
  <c r="T40" i="75"/>
  <c r="P40" i="75"/>
  <c r="X40" i="75" s="1"/>
  <c r="Z40" i="75" s="1"/>
  <c r="H40" i="75"/>
  <c r="D40" i="75"/>
  <c r="L40" i="75" s="1"/>
  <c r="N40" i="75" s="1"/>
  <c r="B40" i="75"/>
  <c r="Z39" i="75"/>
  <c r="X39" i="75"/>
  <c r="N39" i="75"/>
  <c r="L39" i="75"/>
  <c r="B39" i="75"/>
  <c r="Z38" i="75"/>
  <c r="X38" i="75"/>
  <c r="N38" i="75"/>
  <c r="L38" i="75"/>
  <c r="B38" i="75"/>
  <c r="Z37" i="75"/>
  <c r="X37" i="75"/>
  <c r="N37" i="75"/>
  <c r="L37" i="75"/>
  <c r="B37" i="75"/>
  <c r="Z36" i="75"/>
  <c r="X36" i="75"/>
  <c r="N36" i="75"/>
  <c r="L36" i="75"/>
  <c r="J36" i="75"/>
  <c r="F36" i="75"/>
  <c r="B36" i="75"/>
  <c r="X35" i="75"/>
  <c r="Z35" i="75" s="1"/>
  <c r="L35" i="75"/>
  <c r="N35" i="75" s="1"/>
  <c r="B35" i="75"/>
  <c r="X34" i="75"/>
  <c r="Z34" i="75" s="1"/>
  <c r="N34" i="75"/>
  <c r="L34" i="75"/>
  <c r="B34" i="75"/>
  <c r="Z33" i="75"/>
  <c r="X33" i="75"/>
  <c r="R33" i="75"/>
  <c r="N33" i="75"/>
  <c r="L33" i="75"/>
  <c r="B33" i="75"/>
  <c r="Z32" i="75"/>
  <c r="X32" i="75"/>
  <c r="N32" i="75"/>
  <c r="L32" i="75"/>
  <c r="J32" i="75"/>
  <c r="B32" i="75"/>
  <c r="X31" i="75"/>
  <c r="Z31" i="75" s="1"/>
  <c r="L31" i="75"/>
  <c r="N31" i="75" s="1"/>
  <c r="B31" i="75"/>
  <c r="X30" i="75"/>
  <c r="Z30" i="75" s="1"/>
  <c r="T30" i="75"/>
  <c r="P30" i="75"/>
  <c r="H30" i="75"/>
  <c r="D30" i="75"/>
  <c r="L30" i="75" s="1"/>
  <c r="B30" i="75"/>
  <c r="T29" i="75"/>
  <c r="P29" i="75"/>
  <c r="X29" i="75" s="1"/>
  <c r="Z29" i="75" s="1"/>
  <c r="H29" i="75"/>
  <c r="D29" i="75"/>
  <c r="L29" i="75" s="1"/>
  <c r="Z25" i="75"/>
  <c r="T25" i="75"/>
  <c r="P25" i="75"/>
  <c r="X25" i="75" s="1"/>
  <c r="H25" i="75"/>
  <c r="N25" i="75" s="1"/>
  <c r="D25" i="75"/>
  <c r="L25" i="75" s="1"/>
  <c r="Z23" i="75"/>
  <c r="X23" i="75"/>
  <c r="P23" i="75"/>
  <c r="N23" i="75"/>
  <c r="D23" i="75"/>
  <c r="L23" i="75" s="1"/>
  <c r="B23" i="75"/>
  <c r="Z22" i="75"/>
  <c r="X22" i="75"/>
  <c r="P22" i="75"/>
  <c r="N22" i="75"/>
  <c r="D22" i="75"/>
  <c r="D12" i="75" s="1"/>
  <c r="B22" i="75"/>
  <c r="Z21" i="75"/>
  <c r="X21" i="75"/>
  <c r="P21" i="75"/>
  <c r="N21" i="75"/>
  <c r="D21" i="75"/>
  <c r="L21" i="75" s="1"/>
  <c r="B21" i="75"/>
  <c r="Z20" i="75"/>
  <c r="P20" i="75"/>
  <c r="X20" i="75" s="1"/>
  <c r="N20" i="75"/>
  <c r="L20" i="75"/>
  <c r="D20" i="75"/>
  <c r="B20" i="75"/>
  <c r="Z19" i="75"/>
  <c r="X19" i="75"/>
  <c r="P19" i="75"/>
  <c r="N19" i="75"/>
  <c r="L19" i="75"/>
  <c r="D19" i="75"/>
  <c r="B19" i="75"/>
  <c r="Z18" i="75"/>
  <c r="X18" i="75"/>
  <c r="P18" i="75"/>
  <c r="N18" i="75"/>
  <c r="L18" i="75"/>
  <c r="D18" i="75"/>
  <c r="B18" i="75"/>
  <c r="X17" i="75"/>
  <c r="Z17" i="75" s="1"/>
  <c r="P17" i="75"/>
  <c r="D17" i="75"/>
  <c r="L17" i="75" s="1"/>
  <c r="N17" i="75" s="1"/>
  <c r="B17" i="75"/>
  <c r="Z16" i="75"/>
  <c r="P16" i="75"/>
  <c r="X16" i="75" s="1"/>
  <c r="N16" i="75"/>
  <c r="L16" i="75"/>
  <c r="D16" i="75"/>
  <c r="B16" i="75"/>
  <c r="Z15" i="75"/>
  <c r="X15" i="75"/>
  <c r="P15" i="75"/>
  <c r="N15" i="75"/>
  <c r="L15" i="75"/>
  <c r="D15" i="75"/>
  <c r="B15" i="75"/>
  <c r="Z14" i="75"/>
  <c r="P14" i="75"/>
  <c r="X14" i="75" s="1"/>
  <c r="N14" i="75"/>
  <c r="L14" i="75"/>
  <c r="D14" i="75"/>
  <c r="B14" i="75"/>
  <c r="P13" i="75"/>
  <c r="P12" i="75" s="1"/>
  <c r="D13" i="75"/>
  <c r="L13" i="75" s="1"/>
  <c r="N13" i="75" s="1"/>
  <c r="B13" i="75"/>
  <c r="T12" i="75"/>
  <c r="V65" i="75" s="1"/>
  <c r="H12" i="75"/>
  <c r="D6" i="75"/>
  <c r="D4" i="75"/>
  <c r="Z151" i="74"/>
  <c r="X151" i="74"/>
  <c r="N151" i="74"/>
  <c r="L151" i="74"/>
  <c r="Z147" i="74"/>
  <c r="X147" i="74"/>
  <c r="P147" i="74"/>
  <c r="N147" i="74"/>
  <c r="D147" i="74"/>
  <c r="L147" i="74" s="1"/>
  <c r="B147" i="74"/>
  <c r="X146" i="74"/>
  <c r="Z146" i="74" s="1"/>
  <c r="V146" i="74"/>
  <c r="P146" i="74"/>
  <c r="P144" i="74" s="1"/>
  <c r="N146" i="74"/>
  <c r="D146" i="74"/>
  <c r="L146" i="74" s="1"/>
  <c r="B146" i="74"/>
  <c r="Z145" i="74"/>
  <c r="X145" i="74"/>
  <c r="V145" i="74"/>
  <c r="P145" i="74"/>
  <c r="L145" i="74"/>
  <c r="N145" i="74" s="1"/>
  <c r="D145" i="74"/>
  <c r="B145" i="74"/>
  <c r="T144" i="74"/>
  <c r="H144" i="74"/>
  <c r="D144" i="74"/>
  <c r="L144" i="74" s="1"/>
  <c r="Z142" i="74"/>
  <c r="X142" i="74"/>
  <c r="N142" i="74"/>
  <c r="L142" i="74"/>
  <c r="B142" i="74"/>
  <c r="Z141" i="74"/>
  <c r="X141" i="74"/>
  <c r="V141" i="74"/>
  <c r="N141" i="74"/>
  <c r="L141" i="74"/>
  <c r="J141" i="74"/>
  <c r="B141" i="74"/>
  <c r="T140" i="74"/>
  <c r="Z140" i="74" s="1"/>
  <c r="P140" i="74"/>
  <c r="X140" i="74" s="1"/>
  <c r="H140" i="74"/>
  <c r="D140" i="74"/>
  <c r="B140" i="74"/>
  <c r="Z139" i="74"/>
  <c r="X139" i="74"/>
  <c r="N139" i="74"/>
  <c r="L139" i="74"/>
  <c r="B139" i="74"/>
  <c r="Z138" i="74"/>
  <c r="T138" i="74"/>
  <c r="P138" i="74"/>
  <c r="X138" i="74" s="1"/>
  <c r="H138" i="74"/>
  <c r="D138" i="74"/>
  <c r="L138" i="74" s="1"/>
  <c r="B138" i="74"/>
  <c r="X137" i="74"/>
  <c r="Z137" i="74" s="1"/>
  <c r="N137" i="74"/>
  <c r="L137" i="74"/>
  <c r="J137" i="74"/>
  <c r="B137" i="74"/>
  <c r="X136" i="74"/>
  <c r="Z136" i="74" s="1"/>
  <c r="V136" i="74"/>
  <c r="T136" i="74"/>
  <c r="P136" i="74"/>
  <c r="H136" i="74"/>
  <c r="D136" i="74"/>
  <c r="L136" i="74" s="1"/>
  <c r="B136" i="74"/>
  <c r="X135" i="74"/>
  <c r="Z135" i="74" s="1"/>
  <c r="N135" i="74"/>
  <c r="L135" i="74"/>
  <c r="B135" i="74"/>
  <c r="Z134" i="74"/>
  <c r="X134" i="74"/>
  <c r="N134" i="74"/>
  <c r="L134" i="74"/>
  <c r="B134" i="74"/>
  <c r="Z133" i="74"/>
  <c r="X133" i="74"/>
  <c r="V133" i="74"/>
  <c r="N133" i="74"/>
  <c r="L133" i="74"/>
  <c r="J133" i="74"/>
  <c r="B133" i="74"/>
  <c r="X132" i="74"/>
  <c r="Z132" i="74" s="1"/>
  <c r="L132" i="74"/>
  <c r="N132" i="74" s="1"/>
  <c r="B132" i="74"/>
  <c r="Z131" i="74"/>
  <c r="X131" i="74"/>
  <c r="N131" i="74"/>
  <c r="L131" i="74"/>
  <c r="B131" i="74"/>
  <c r="Z130" i="74"/>
  <c r="X130" i="74"/>
  <c r="N130" i="74"/>
  <c r="L130" i="74"/>
  <c r="B130" i="74"/>
  <c r="Z129" i="74"/>
  <c r="X129" i="74"/>
  <c r="V129" i="74"/>
  <c r="N129" i="74"/>
  <c r="L129" i="74"/>
  <c r="J129" i="74"/>
  <c r="B129" i="74"/>
  <c r="T128" i="74"/>
  <c r="P128" i="74"/>
  <c r="X128" i="74" s="1"/>
  <c r="H128" i="74"/>
  <c r="D128" i="74"/>
  <c r="B128" i="74"/>
  <c r="Z127" i="74"/>
  <c r="X127" i="74"/>
  <c r="N127" i="74"/>
  <c r="L127" i="74"/>
  <c r="B127" i="74"/>
  <c r="Z126" i="74"/>
  <c r="X126" i="74"/>
  <c r="N126" i="74"/>
  <c r="L126" i="74"/>
  <c r="B126" i="74"/>
  <c r="T125" i="74"/>
  <c r="P125" i="74"/>
  <c r="N125" i="74"/>
  <c r="H125" i="74"/>
  <c r="D125" i="74"/>
  <c r="L125" i="74" s="1"/>
  <c r="B125" i="74"/>
  <c r="X124" i="74"/>
  <c r="Z124" i="74" s="1"/>
  <c r="V124" i="74"/>
  <c r="L124" i="74"/>
  <c r="N124" i="74" s="1"/>
  <c r="B124" i="74"/>
  <c r="Z123" i="74"/>
  <c r="X123" i="74"/>
  <c r="L123" i="74"/>
  <c r="N123" i="74" s="1"/>
  <c r="B123" i="74"/>
  <c r="X122" i="74"/>
  <c r="Z122" i="74" s="1"/>
  <c r="N122" i="74"/>
  <c r="L122" i="74"/>
  <c r="B122" i="74"/>
  <c r="X121" i="74"/>
  <c r="Z121" i="74" s="1"/>
  <c r="T121" i="74"/>
  <c r="P121" i="74"/>
  <c r="H121" i="74"/>
  <c r="D121" i="74"/>
  <c r="L121" i="74" s="1"/>
  <c r="N121" i="74" s="1"/>
  <c r="B121" i="74"/>
  <c r="X120" i="74"/>
  <c r="Z120" i="74" s="1"/>
  <c r="L120" i="74"/>
  <c r="N120" i="74" s="1"/>
  <c r="B120" i="74"/>
  <c r="Z119" i="74"/>
  <c r="X119" i="74"/>
  <c r="T119" i="74"/>
  <c r="P119" i="74"/>
  <c r="J119" i="74"/>
  <c r="H119" i="74"/>
  <c r="D119" i="74"/>
  <c r="L119" i="74" s="1"/>
  <c r="B119" i="74"/>
  <c r="Z118" i="74"/>
  <c r="X118" i="74"/>
  <c r="L118" i="74"/>
  <c r="N118" i="74" s="1"/>
  <c r="B118" i="74"/>
  <c r="V117" i="74"/>
  <c r="T117" i="74"/>
  <c r="P117" i="74"/>
  <c r="H117" i="74"/>
  <c r="D117" i="74"/>
  <c r="L117" i="74" s="1"/>
  <c r="N117" i="74" s="1"/>
  <c r="B117" i="74"/>
  <c r="X116" i="74"/>
  <c r="Z116" i="74" s="1"/>
  <c r="V116" i="74"/>
  <c r="L116" i="74"/>
  <c r="N116" i="74" s="1"/>
  <c r="B116" i="74"/>
  <c r="T115" i="74"/>
  <c r="P115" i="74"/>
  <c r="X115" i="74" s="1"/>
  <c r="Z115" i="74" s="1"/>
  <c r="L115" i="74"/>
  <c r="N115" i="74" s="1"/>
  <c r="H115" i="74"/>
  <c r="D115" i="74"/>
  <c r="B115" i="74"/>
  <c r="Z114" i="74"/>
  <c r="X114" i="74"/>
  <c r="N114" i="74"/>
  <c r="L114" i="74"/>
  <c r="B114" i="74"/>
  <c r="V113" i="74"/>
  <c r="T113" i="74"/>
  <c r="Z113" i="74" s="1"/>
  <c r="P113" i="74"/>
  <c r="X113" i="74" s="1"/>
  <c r="N113" i="74"/>
  <c r="L113" i="74"/>
  <c r="H113" i="74"/>
  <c r="D113" i="74"/>
  <c r="B113" i="74"/>
  <c r="X112" i="74"/>
  <c r="Z112" i="74" s="1"/>
  <c r="V112" i="74"/>
  <c r="L112" i="74"/>
  <c r="N112" i="74" s="1"/>
  <c r="J112" i="74"/>
  <c r="B112" i="74"/>
  <c r="Z111" i="74"/>
  <c r="X111" i="74"/>
  <c r="N111" i="74"/>
  <c r="L111" i="74"/>
  <c r="B111" i="74"/>
  <c r="T110" i="74"/>
  <c r="P110" i="74"/>
  <c r="X110" i="74" s="1"/>
  <c r="Z110" i="74" s="1"/>
  <c r="H110" i="74"/>
  <c r="D110" i="74"/>
  <c r="L110" i="74" s="1"/>
  <c r="B110" i="74"/>
  <c r="X109" i="74"/>
  <c r="Z109" i="74" s="1"/>
  <c r="N109" i="74"/>
  <c r="L109" i="74"/>
  <c r="J109" i="74"/>
  <c r="B109" i="74"/>
  <c r="X108" i="74"/>
  <c r="Z108" i="74" s="1"/>
  <c r="V108" i="74"/>
  <c r="T108" i="74"/>
  <c r="P108" i="74"/>
  <c r="H108" i="74"/>
  <c r="D108" i="74"/>
  <c r="L108" i="74" s="1"/>
  <c r="B108" i="74"/>
  <c r="Z107" i="74"/>
  <c r="X107" i="74"/>
  <c r="N107" i="74"/>
  <c r="L107" i="74"/>
  <c r="B107" i="74"/>
  <c r="T106" i="74"/>
  <c r="P106" i="74"/>
  <c r="H106" i="74"/>
  <c r="D106" i="74"/>
  <c r="L106" i="74" s="1"/>
  <c r="B106" i="74"/>
  <c r="Z105" i="74"/>
  <c r="X105" i="74"/>
  <c r="V105" i="74"/>
  <c r="N105" i="74"/>
  <c r="L105" i="74"/>
  <c r="B105" i="74"/>
  <c r="X104" i="74"/>
  <c r="V104" i="74"/>
  <c r="T104" i="74"/>
  <c r="Z104" i="74" s="1"/>
  <c r="P104" i="74"/>
  <c r="N104" i="74"/>
  <c r="H104" i="74"/>
  <c r="D104" i="74"/>
  <c r="L104" i="74" s="1"/>
  <c r="B104" i="74"/>
  <c r="Z103" i="74"/>
  <c r="X103" i="74"/>
  <c r="N103" i="74"/>
  <c r="L103" i="74"/>
  <c r="B103" i="74"/>
  <c r="T102" i="74"/>
  <c r="Z102" i="74" s="1"/>
  <c r="P102" i="74"/>
  <c r="N102" i="74"/>
  <c r="L102" i="74"/>
  <c r="J102" i="74"/>
  <c r="H102" i="74"/>
  <c r="D102" i="74"/>
  <c r="B102" i="74"/>
  <c r="Z101" i="74"/>
  <c r="X101" i="74"/>
  <c r="V101" i="74"/>
  <c r="N101" i="74"/>
  <c r="L101" i="74"/>
  <c r="J101" i="74"/>
  <c r="B101" i="74"/>
  <c r="T100" i="74"/>
  <c r="P100" i="74"/>
  <c r="X100" i="74" s="1"/>
  <c r="H100" i="74"/>
  <c r="D100" i="74"/>
  <c r="B100" i="74"/>
  <c r="Z99" i="74"/>
  <c r="X99" i="74"/>
  <c r="N99" i="74"/>
  <c r="L99" i="74"/>
  <c r="B99" i="74"/>
  <c r="Z98" i="74"/>
  <c r="X98" i="74"/>
  <c r="N98" i="74"/>
  <c r="L98" i="74"/>
  <c r="B98" i="74"/>
  <c r="Z97" i="74"/>
  <c r="X97" i="74"/>
  <c r="V97" i="74"/>
  <c r="L97" i="74"/>
  <c r="N97" i="74" s="1"/>
  <c r="B97" i="74"/>
  <c r="X96" i="74"/>
  <c r="Z96" i="74" s="1"/>
  <c r="V96" i="74"/>
  <c r="N96" i="74"/>
  <c r="L96" i="74"/>
  <c r="J96" i="74"/>
  <c r="B96" i="74"/>
  <c r="Z95" i="74"/>
  <c r="X95" i="74"/>
  <c r="N95" i="74"/>
  <c r="L95" i="74"/>
  <c r="B95" i="74"/>
  <c r="Z94" i="74"/>
  <c r="X94" i="74"/>
  <c r="N94" i="74"/>
  <c r="L94" i="74"/>
  <c r="B94" i="74"/>
  <c r="Z93" i="74"/>
  <c r="X93" i="74"/>
  <c r="V93" i="74"/>
  <c r="L93" i="74"/>
  <c r="N93" i="74" s="1"/>
  <c r="B93" i="74"/>
  <c r="Z92" i="74"/>
  <c r="X92" i="74"/>
  <c r="V92" i="74"/>
  <c r="N92" i="74"/>
  <c r="L92" i="74"/>
  <c r="J92" i="74"/>
  <c r="B92" i="74"/>
  <c r="Z91" i="74"/>
  <c r="X91" i="74"/>
  <c r="N91" i="74"/>
  <c r="L91" i="74"/>
  <c r="B91" i="74"/>
  <c r="Z90" i="74"/>
  <c r="X90" i="74"/>
  <c r="N90" i="74"/>
  <c r="L90" i="74"/>
  <c r="B90" i="74"/>
  <c r="V89" i="74"/>
  <c r="T89" i="74"/>
  <c r="P89" i="74"/>
  <c r="H89" i="74"/>
  <c r="D89" i="74"/>
  <c r="L89" i="74" s="1"/>
  <c r="N89" i="74" s="1"/>
  <c r="B89" i="74"/>
  <c r="X88" i="74"/>
  <c r="Z88" i="74" s="1"/>
  <c r="V88" i="74"/>
  <c r="N88" i="74"/>
  <c r="L88" i="74"/>
  <c r="B88" i="74"/>
  <c r="Z87" i="74"/>
  <c r="X87" i="74"/>
  <c r="L87" i="74"/>
  <c r="N87" i="74" s="1"/>
  <c r="B87" i="74"/>
  <c r="X86" i="74"/>
  <c r="Z86" i="74" s="1"/>
  <c r="N86" i="74"/>
  <c r="L86" i="74"/>
  <c r="B86" i="74"/>
  <c r="Z85" i="74"/>
  <c r="X85" i="74"/>
  <c r="N85" i="74"/>
  <c r="L85" i="74"/>
  <c r="J85" i="74"/>
  <c r="B85" i="74"/>
  <c r="X84" i="74"/>
  <c r="Z84" i="74" s="1"/>
  <c r="V84" i="74"/>
  <c r="N84" i="74"/>
  <c r="L84" i="74"/>
  <c r="B84" i="74"/>
  <c r="Z83" i="74"/>
  <c r="X83" i="74"/>
  <c r="N83" i="74"/>
  <c r="L83" i="74"/>
  <c r="B83" i="74"/>
  <c r="X82" i="74"/>
  <c r="Z82" i="74" s="1"/>
  <c r="N82" i="74"/>
  <c r="L82" i="74"/>
  <c r="B82" i="74"/>
  <c r="X81" i="74"/>
  <c r="Z81" i="74" s="1"/>
  <c r="N81" i="74"/>
  <c r="L81" i="74"/>
  <c r="J81" i="74"/>
  <c r="B81" i="74"/>
  <c r="X80" i="74"/>
  <c r="Z80" i="74" s="1"/>
  <c r="V80" i="74"/>
  <c r="L80" i="74"/>
  <c r="N80" i="74" s="1"/>
  <c r="B80" i="74"/>
  <c r="T79" i="74"/>
  <c r="P79" i="74"/>
  <c r="X79" i="74" s="1"/>
  <c r="Z79" i="74" s="1"/>
  <c r="L79" i="74"/>
  <c r="H79" i="74"/>
  <c r="N79" i="74" s="1"/>
  <c r="D79" i="74"/>
  <c r="B79" i="74"/>
  <c r="T78" i="74"/>
  <c r="P78" i="74"/>
  <c r="H78" i="74"/>
  <c r="D78" i="74"/>
  <c r="T76" i="74"/>
  <c r="Z74" i="74"/>
  <c r="X74" i="74"/>
  <c r="N74" i="74"/>
  <c r="L74" i="74"/>
  <c r="B74" i="74"/>
  <c r="Z73" i="74"/>
  <c r="X73" i="74"/>
  <c r="V73" i="74"/>
  <c r="N73" i="74"/>
  <c r="L73" i="74"/>
  <c r="J73" i="74"/>
  <c r="B73" i="74"/>
  <c r="Z72" i="74"/>
  <c r="X72" i="74"/>
  <c r="N72" i="74"/>
  <c r="L72" i="74"/>
  <c r="J72" i="74"/>
  <c r="B72" i="74"/>
  <c r="Z71" i="74"/>
  <c r="X71" i="74"/>
  <c r="N71" i="74"/>
  <c r="L71" i="74"/>
  <c r="B71" i="74"/>
  <c r="Z70" i="74"/>
  <c r="X70" i="74"/>
  <c r="N70" i="74"/>
  <c r="L70" i="74"/>
  <c r="B70" i="74"/>
  <c r="Z69" i="74"/>
  <c r="X69" i="74"/>
  <c r="V69" i="74"/>
  <c r="N69" i="74"/>
  <c r="L69" i="74"/>
  <c r="J69" i="74"/>
  <c r="B69" i="74"/>
  <c r="Z68" i="74"/>
  <c r="X68" i="74"/>
  <c r="N68" i="74"/>
  <c r="L68" i="74"/>
  <c r="J68" i="74"/>
  <c r="B68" i="74"/>
  <c r="Z67" i="74"/>
  <c r="X67" i="74"/>
  <c r="N67" i="74"/>
  <c r="L67" i="74"/>
  <c r="B67" i="74"/>
  <c r="Z66" i="74"/>
  <c r="X66" i="74"/>
  <c r="N66" i="74"/>
  <c r="L66" i="74"/>
  <c r="B66" i="74"/>
  <c r="Z65" i="74"/>
  <c r="X65" i="74"/>
  <c r="V65" i="74"/>
  <c r="N65" i="74"/>
  <c r="L65" i="74"/>
  <c r="J65" i="74"/>
  <c r="B65" i="74"/>
  <c r="Z64" i="74"/>
  <c r="X64" i="74"/>
  <c r="N64" i="74"/>
  <c r="L64" i="74"/>
  <c r="J64" i="74"/>
  <c r="B64" i="74"/>
  <c r="Z63" i="74"/>
  <c r="X63" i="74"/>
  <c r="N63" i="74"/>
  <c r="L63" i="74"/>
  <c r="B63" i="74"/>
  <c r="Z62" i="74"/>
  <c r="X62" i="74"/>
  <c r="N62" i="74"/>
  <c r="L62" i="74"/>
  <c r="B62" i="74"/>
  <c r="Z61" i="74"/>
  <c r="X61" i="74"/>
  <c r="V61" i="74"/>
  <c r="N61" i="74"/>
  <c r="L61" i="74"/>
  <c r="J61" i="74"/>
  <c r="B61" i="74"/>
  <c r="Z60" i="74"/>
  <c r="X60" i="74"/>
  <c r="N60" i="74"/>
  <c r="L60" i="74"/>
  <c r="J60" i="74"/>
  <c r="B60" i="74"/>
  <c r="Z59" i="74"/>
  <c r="X59" i="74"/>
  <c r="N59" i="74"/>
  <c r="L59" i="74"/>
  <c r="B59" i="74"/>
  <c r="Z58" i="74"/>
  <c r="X58" i="74"/>
  <c r="N58" i="74"/>
  <c r="L58" i="74"/>
  <c r="B58" i="74"/>
  <c r="Z57" i="74"/>
  <c r="X57" i="74"/>
  <c r="V57" i="74"/>
  <c r="N57" i="74"/>
  <c r="L57" i="74"/>
  <c r="J57" i="74"/>
  <c r="B57" i="74"/>
  <c r="Z56" i="74"/>
  <c r="X56" i="74"/>
  <c r="N56" i="74"/>
  <c r="L56" i="74"/>
  <c r="J56" i="74"/>
  <c r="B56" i="74"/>
  <c r="Z55" i="74"/>
  <c r="X55" i="74"/>
  <c r="N55" i="74"/>
  <c r="L55" i="74"/>
  <c r="J55" i="74"/>
  <c r="B55" i="74"/>
  <c r="Z54" i="74"/>
  <c r="X54" i="74"/>
  <c r="N54" i="74"/>
  <c r="L54" i="74"/>
  <c r="B54" i="74"/>
  <c r="Z53" i="74"/>
  <c r="X53" i="74"/>
  <c r="V53" i="74"/>
  <c r="N53" i="74"/>
  <c r="L53" i="74"/>
  <c r="J53" i="74"/>
  <c r="B53" i="74"/>
  <c r="T52" i="74"/>
  <c r="Z52" i="74" s="1"/>
  <c r="P52" i="74"/>
  <c r="X52" i="74" s="1"/>
  <c r="H52" i="74"/>
  <c r="D52" i="74"/>
  <c r="Z50" i="74"/>
  <c r="P50" i="74"/>
  <c r="X50" i="74" s="1"/>
  <c r="N50" i="74"/>
  <c r="D50" i="74"/>
  <c r="L50" i="74" s="1"/>
  <c r="B50" i="74"/>
  <c r="Z49" i="74"/>
  <c r="P49" i="74"/>
  <c r="X49" i="74" s="1"/>
  <c r="N49" i="74"/>
  <c r="L49" i="74"/>
  <c r="D49" i="74"/>
  <c r="B49" i="74"/>
  <c r="Z48" i="74"/>
  <c r="X48" i="74"/>
  <c r="P48" i="74"/>
  <c r="N48" i="74"/>
  <c r="L48" i="74"/>
  <c r="D48" i="74"/>
  <c r="B48" i="74"/>
  <c r="Z47" i="74"/>
  <c r="X47" i="74"/>
  <c r="P47" i="74"/>
  <c r="N47" i="74"/>
  <c r="D47" i="74"/>
  <c r="L47" i="74" s="1"/>
  <c r="B47" i="74"/>
  <c r="Z46" i="74"/>
  <c r="X46" i="74"/>
  <c r="P46" i="74"/>
  <c r="N46" i="74"/>
  <c r="D46" i="74"/>
  <c r="L46" i="74" s="1"/>
  <c r="B46" i="74"/>
  <c r="Z45" i="74"/>
  <c r="P45" i="74"/>
  <c r="X45" i="74" s="1"/>
  <c r="N45" i="74"/>
  <c r="L45" i="74"/>
  <c r="D45" i="74"/>
  <c r="B45" i="74"/>
  <c r="Z44" i="74"/>
  <c r="X44" i="74"/>
  <c r="P44" i="74"/>
  <c r="N44" i="74"/>
  <c r="L44" i="74"/>
  <c r="D44" i="74"/>
  <c r="B44" i="74"/>
  <c r="Z43" i="74"/>
  <c r="P43" i="74"/>
  <c r="X43" i="74" s="1"/>
  <c r="N43" i="74"/>
  <c r="L43" i="74"/>
  <c r="D43" i="74"/>
  <c r="B43" i="74"/>
  <c r="Z42" i="74"/>
  <c r="P42" i="74"/>
  <c r="X42" i="74" s="1"/>
  <c r="N42" i="74"/>
  <c r="D42" i="74"/>
  <c r="L42" i="74" s="1"/>
  <c r="B42" i="74"/>
  <c r="Z41" i="74"/>
  <c r="P41" i="74"/>
  <c r="X41" i="74" s="1"/>
  <c r="N41" i="74"/>
  <c r="L41" i="74"/>
  <c r="D41" i="74"/>
  <c r="B41" i="74"/>
  <c r="Z40" i="74"/>
  <c r="X40" i="74"/>
  <c r="P40" i="74"/>
  <c r="N40" i="74"/>
  <c r="D40" i="74"/>
  <c r="L40" i="74" s="1"/>
  <c r="B40" i="74"/>
  <c r="Z39" i="74"/>
  <c r="X39" i="74"/>
  <c r="P39" i="74"/>
  <c r="N39" i="74"/>
  <c r="D39" i="74"/>
  <c r="L39" i="74" s="1"/>
  <c r="B39" i="74"/>
  <c r="Z38" i="74"/>
  <c r="P38" i="74"/>
  <c r="X38" i="74" s="1"/>
  <c r="N38" i="74"/>
  <c r="D38" i="74"/>
  <c r="L38" i="74" s="1"/>
  <c r="B38" i="74"/>
  <c r="Z37" i="74"/>
  <c r="P37" i="74"/>
  <c r="X37" i="74" s="1"/>
  <c r="N37" i="74"/>
  <c r="L37" i="74"/>
  <c r="D37" i="74"/>
  <c r="B37" i="74"/>
  <c r="Z36" i="74"/>
  <c r="X36" i="74"/>
  <c r="P36" i="74"/>
  <c r="N36" i="74"/>
  <c r="L36" i="74"/>
  <c r="D36" i="74"/>
  <c r="B36" i="74"/>
  <c r="Z35" i="74"/>
  <c r="X35" i="74"/>
  <c r="P35" i="74"/>
  <c r="N35" i="74"/>
  <c r="D35" i="74"/>
  <c r="L35" i="74" s="1"/>
  <c r="B35" i="74"/>
  <c r="Z34" i="74"/>
  <c r="X34" i="74"/>
  <c r="P34" i="74"/>
  <c r="N34" i="74"/>
  <c r="D34" i="74"/>
  <c r="L34" i="74" s="1"/>
  <c r="B34" i="74"/>
  <c r="Z33" i="74"/>
  <c r="P33" i="74"/>
  <c r="X33" i="74" s="1"/>
  <c r="N33" i="74"/>
  <c r="L33" i="74"/>
  <c r="D33" i="74"/>
  <c r="B33" i="74"/>
  <c r="Z32" i="74"/>
  <c r="X32" i="74"/>
  <c r="P32" i="74"/>
  <c r="N32" i="74"/>
  <c r="L32" i="74"/>
  <c r="D32" i="74"/>
  <c r="B32" i="74"/>
  <c r="Z31" i="74"/>
  <c r="P31" i="74"/>
  <c r="X31" i="74" s="1"/>
  <c r="N31" i="74"/>
  <c r="L31" i="74"/>
  <c r="D31" i="74"/>
  <c r="B31" i="74"/>
  <c r="Z30" i="74"/>
  <c r="P30" i="74"/>
  <c r="P12" i="74" s="1"/>
  <c r="N30" i="74"/>
  <c r="D30" i="74"/>
  <c r="L30" i="74" s="1"/>
  <c r="B30" i="74"/>
  <c r="Z29" i="74"/>
  <c r="P29" i="74"/>
  <c r="X29" i="74" s="1"/>
  <c r="N29" i="74"/>
  <c r="L29" i="74"/>
  <c r="D29" i="74"/>
  <c r="B29" i="74"/>
  <c r="Z28" i="74"/>
  <c r="X28" i="74"/>
  <c r="P28" i="74"/>
  <c r="N28" i="74"/>
  <c r="D28" i="74"/>
  <c r="L28" i="74" s="1"/>
  <c r="B28" i="74"/>
  <c r="Z27" i="74"/>
  <c r="X27" i="74"/>
  <c r="P27" i="74"/>
  <c r="N27" i="74"/>
  <c r="L27" i="74"/>
  <c r="D27" i="74"/>
  <c r="B27" i="74"/>
  <c r="Z26" i="74"/>
  <c r="P26" i="74"/>
  <c r="X26" i="74" s="1"/>
  <c r="N26" i="74"/>
  <c r="D26" i="74"/>
  <c r="L26" i="74" s="1"/>
  <c r="B26" i="74"/>
  <c r="Z25" i="74"/>
  <c r="P25" i="74"/>
  <c r="X25" i="74" s="1"/>
  <c r="N25" i="74"/>
  <c r="L25" i="74"/>
  <c r="D25" i="74"/>
  <c r="B25" i="74"/>
  <c r="Z24" i="74"/>
  <c r="X24" i="74"/>
  <c r="P24" i="74"/>
  <c r="N24" i="74"/>
  <c r="L24" i="74"/>
  <c r="D24" i="74"/>
  <c r="B24" i="74"/>
  <c r="Z23" i="74"/>
  <c r="X23" i="74"/>
  <c r="P23" i="74"/>
  <c r="N23" i="74"/>
  <c r="D23" i="74"/>
  <c r="L23" i="74" s="1"/>
  <c r="B23" i="74"/>
  <c r="Z22" i="74"/>
  <c r="X22" i="74"/>
  <c r="P22" i="74"/>
  <c r="N22" i="74"/>
  <c r="D22" i="74"/>
  <c r="L22" i="74" s="1"/>
  <c r="B22" i="74"/>
  <c r="Z21" i="74"/>
  <c r="P21" i="74"/>
  <c r="X21" i="74" s="1"/>
  <c r="N21" i="74"/>
  <c r="L21" i="74"/>
  <c r="D21" i="74"/>
  <c r="B21" i="74"/>
  <c r="Z20" i="74"/>
  <c r="X20" i="74"/>
  <c r="P20" i="74"/>
  <c r="N20" i="74"/>
  <c r="L20" i="74"/>
  <c r="D20" i="74"/>
  <c r="B20" i="74"/>
  <c r="Z19" i="74"/>
  <c r="P19" i="74"/>
  <c r="X19" i="74" s="1"/>
  <c r="N19" i="74"/>
  <c r="L19" i="74"/>
  <c r="D19" i="74"/>
  <c r="B19" i="74"/>
  <c r="Z18" i="74"/>
  <c r="P18" i="74"/>
  <c r="X18" i="74" s="1"/>
  <c r="N18" i="74"/>
  <c r="D18" i="74"/>
  <c r="L18" i="74" s="1"/>
  <c r="B18" i="74"/>
  <c r="Z17" i="74"/>
  <c r="P17" i="74"/>
  <c r="X17" i="74" s="1"/>
  <c r="N17" i="74"/>
  <c r="L17" i="74"/>
  <c r="D17" i="74"/>
  <c r="B17" i="74"/>
  <c r="Z16" i="74"/>
  <c r="X16" i="74"/>
  <c r="P16" i="74"/>
  <c r="N16" i="74"/>
  <c r="D16" i="74"/>
  <c r="L16" i="74" s="1"/>
  <c r="B16" i="74"/>
  <c r="Z15" i="74"/>
  <c r="X15" i="74"/>
  <c r="P15" i="74"/>
  <c r="N15" i="74"/>
  <c r="D15" i="74"/>
  <c r="B15" i="74"/>
  <c r="Z14" i="74"/>
  <c r="P14" i="74"/>
  <c r="X14" i="74" s="1"/>
  <c r="N14" i="74"/>
  <c r="D14" i="74"/>
  <c r="L14" i="74" s="1"/>
  <c r="B14" i="74"/>
  <c r="P13" i="74"/>
  <c r="X13" i="74" s="1"/>
  <c r="Z13" i="74" s="1"/>
  <c r="N13" i="74"/>
  <c r="L13" i="74"/>
  <c r="D13" i="74"/>
  <c r="B13" i="74"/>
  <c r="T12" i="74"/>
  <c r="V138" i="74" s="1"/>
  <c r="H12" i="74"/>
  <c r="J142" i="74" s="1"/>
  <c r="D6" i="74"/>
  <c r="D4" i="74"/>
  <c r="R74" i="72"/>
  <c r="Z72" i="72"/>
  <c r="X72" i="72"/>
  <c r="N72" i="72"/>
  <c r="L72" i="72"/>
  <c r="T68" i="72"/>
  <c r="R68" i="72"/>
  <c r="P68" i="72"/>
  <c r="L68" i="72"/>
  <c r="H68" i="72"/>
  <c r="N68" i="72" s="1"/>
  <c r="D68" i="72"/>
  <c r="Z66" i="72"/>
  <c r="X66" i="72"/>
  <c r="N66" i="72"/>
  <c r="L66" i="72"/>
  <c r="B66" i="72"/>
  <c r="Z65" i="72"/>
  <c r="T65" i="72"/>
  <c r="P65" i="72"/>
  <c r="X65" i="72" s="1"/>
  <c r="N65" i="72"/>
  <c r="H65" i="72"/>
  <c r="D65" i="72"/>
  <c r="L65" i="72" s="1"/>
  <c r="B65" i="72"/>
  <c r="X64" i="72"/>
  <c r="Z64" i="72" s="1"/>
  <c r="L64" i="72"/>
  <c r="N64" i="72" s="1"/>
  <c r="B64" i="72"/>
  <c r="X63" i="72"/>
  <c r="Z63" i="72" s="1"/>
  <c r="T63" i="72"/>
  <c r="P63" i="72"/>
  <c r="H63" i="72"/>
  <c r="D63" i="72"/>
  <c r="L63" i="72" s="1"/>
  <c r="B63" i="72"/>
  <c r="Z62" i="72"/>
  <c r="X62" i="72"/>
  <c r="N62" i="72"/>
  <c r="L62" i="72"/>
  <c r="B62" i="72"/>
  <c r="Z61" i="72"/>
  <c r="X61" i="72"/>
  <c r="N61" i="72"/>
  <c r="L61" i="72"/>
  <c r="B61" i="72"/>
  <c r="X60" i="72"/>
  <c r="V60" i="72"/>
  <c r="T60" i="72"/>
  <c r="Z60" i="72" s="1"/>
  <c r="P60" i="72"/>
  <c r="N60" i="72"/>
  <c r="H60" i="72"/>
  <c r="D60" i="72"/>
  <c r="L60" i="72" s="1"/>
  <c r="B60" i="72"/>
  <c r="Z59" i="72"/>
  <c r="X59" i="72"/>
  <c r="N59" i="72"/>
  <c r="L59" i="72"/>
  <c r="B59" i="72"/>
  <c r="X58" i="72"/>
  <c r="Z58" i="72" s="1"/>
  <c r="R58" i="72"/>
  <c r="N58" i="72"/>
  <c r="L58" i="72"/>
  <c r="B58" i="72"/>
  <c r="Z57" i="72"/>
  <c r="X57" i="72"/>
  <c r="N57" i="72"/>
  <c r="L57" i="72"/>
  <c r="B57" i="72"/>
  <c r="X56" i="72"/>
  <c r="T56" i="72"/>
  <c r="P56" i="72"/>
  <c r="H56" i="72"/>
  <c r="D56" i="72"/>
  <c r="B56" i="72"/>
  <c r="X55" i="72"/>
  <c r="Z55" i="72" s="1"/>
  <c r="L55" i="72"/>
  <c r="N55" i="72" s="1"/>
  <c r="J55" i="72"/>
  <c r="B55" i="72"/>
  <c r="Z54" i="72"/>
  <c r="T54" i="72"/>
  <c r="X54" i="72" s="1"/>
  <c r="P54" i="72"/>
  <c r="H54" i="72"/>
  <c r="D54" i="72"/>
  <c r="L54" i="72" s="1"/>
  <c r="B54" i="72"/>
  <c r="Z53" i="72"/>
  <c r="X53" i="72"/>
  <c r="V53" i="72"/>
  <c r="N53" i="72"/>
  <c r="L53" i="72"/>
  <c r="B53" i="72"/>
  <c r="Z52" i="72"/>
  <c r="X52" i="72"/>
  <c r="N52" i="72"/>
  <c r="L52" i="72"/>
  <c r="B52" i="72"/>
  <c r="V51" i="72"/>
  <c r="T51" i="72"/>
  <c r="Z51" i="72" s="1"/>
  <c r="P51" i="72"/>
  <c r="X51" i="72" s="1"/>
  <c r="H51" i="72"/>
  <c r="D51" i="72"/>
  <c r="B51" i="72"/>
  <c r="X50" i="72"/>
  <c r="Z50" i="72" s="1"/>
  <c r="N50" i="72"/>
  <c r="L50" i="72"/>
  <c r="B50" i="72"/>
  <c r="Z49" i="72"/>
  <c r="X49" i="72"/>
  <c r="T49" i="72"/>
  <c r="P49" i="72"/>
  <c r="N49" i="72"/>
  <c r="L49" i="72"/>
  <c r="H49" i="72"/>
  <c r="D49" i="72"/>
  <c r="B49" i="72"/>
  <c r="Z48" i="72"/>
  <c r="X48" i="72"/>
  <c r="N48" i="72"/>
  <c r="L48" i="72"/>
  <c r="B48" i="72"/>
  <c r="Z47" i="72"/>
  <c r="X47" i="72"/>
  <c r="T47" i="72"/>
  <c r="P47" i="72"/>
  <c r="N47" i="72"/>
  <c r="H47" i="72"/>
  <c r="D47" i="72"/>
  <c r="L47" i="72" s="1"/>
  <c r="B47" i="72"/>
  <c r="Z46" i="72"/>
  <c r="X46" i="72"/>
  <c r="L46" i="72"/>
  <c r="N46" i="72" s="1"/>
  <c r="B46" i="72"/>
  <c r="T45" i="72"/>
  <c r="P45" i="72"/>
  <c r="J45" i="72"/>
  <c r="H45" i="72"/>
  <c r="D45" i="72"/>
  <c r="L45" i="72" s="1"/>
  <c r="N45" i="72" s="1"/>
  <c r="B45" i="72"/>
  <c r="X44" i="72"/>
  <c r="Z44" i="72" s="1"/>
  <c r="N44" i="72"/>
  <c r="L44" i="72"/>
  <c r="B44" i="72"/>
  <c r="X43" i="72"/>
  <c r="Z43" i="72" s="1"/>
  <c r="T43" i="72"/>
  <c r="P43" i="72"/>
  <c r="N43" i="72"/>
  <c r="L43" i="72"/>
  <c r="H43" i="72"/>
  <c r="D43" i="72"/>
  <c r="B43" i="72"/>
  <c r="Z42" i="72"/>
  <c r="X42" i="72"/>
  <c r="R42" i="72"/>
  <c r="N42" i="72"/>
  <c r="L42" i="72"/>
  <c r="B42" i="72"/>
  <c r="Z41" i="72"/>
  <c r="X41" i="72"/>
  <c r="N41" i="72"/>
  <c r="L41" i="72"/>
  <c r="F41" i="72"/>
  <c r="B41" i="72"/>
  <c r="Z40" i="72"/>
  <c r="X40" i="72"/>
  <c r="L40" i="72"/>
  <c r="N40" i="72" s="1"/>
  <c r="B40" i="72"/>
  <c r="Z39" i="72"/>
  <c r="X39" i="72"/>
  <c r="N39" i="72"/>
  <c r="L39" i="72"/>
  <c r="J39" i="72"/>
  <c r="B39" i="72"/>
  <c r="Z38" i="72"/>
  <c r="X38" i="72"/>
  <c r="N38" i="72"/>
  <c r="L38" i="72"/>
  <c r="B38" i="72"/>
  <c r="Z37" i="72"/>
  <c r="X37" i="72"/>
  <c r="N37" i="72"/>
  <c r="L37" i="72"/>
  <c r="B37" i="72"/>
  <c r="Z36" i="72"/>
  <c r="X36" i="72"/>
  <c r="L36" i="72"/>
  <c r="N36" i="72" s="1"/>
  <c r="B36" i="72"/>
  <c r="Z35" i="72"/>
  <c r="X35" i="72"/>
  <c r="N35" i="72"/>
  <c r="L35" i="72"/>
  <c r="B35" i="72"/>
  <c r="Z34" i="72"/>
  <c r="X34" i="72"/>
  <c r="N34" i="72"/>
  <c r="L34" i="72"/>
  <c r="B34" i="72"/>
  <c r="Z33" i="72"/>
  <c r="X33" i="72"/>
  <c r="V33" i="72"/>
  <c r="N33" i="72"/>
  <c r="L33" i="72"/>
  <c r="B33" i="72"/>
  <c r="T32" i="72"/>
  <c r="P32" i="72"/>
  <c r="H32" i="72"/>
  <c r="L32" i="72" s="1"/>
  <c r="F32" i="72"/>
  <c r="D32" i="72"/>
  <c r="B32" i="72"/>
  <c r="X31" i="72"/>
  <c r="Z31" i="72" s="1"/>
  <c r="L31" i="72"/>
  <c r="N31" i="72" s="1"/>
  <c r="B31" i="72"/>
  <c r="Z30" i="72"/>
  <c r="X30" i="72"/>
  <c r="L30" i="72"/>
  <c r="N30" i="72" s="1"/>
  <c r="B30" i="72"/>
  <c r="Z29" i="72"/>
  <c r="X29" i="72"/>
  <c r="N29" i="72"/>
  <c r="L29" i="72"/>
  <c r="B29" i="72"/>
  <c r="Z28" i="72"/>
  <c r="X28" i="72"/>
  <c r="N28" i="72"/>
  <c r="L28" i="72"/>
  <c r="B28" i="72"/>
  <c r="X27" i="72"/>
  <c r="Z27" i="72" s="1"/>
  <c r="N27" i="72"/>
  <c r="L27" i="72"/>
  <c r="B27" i="72"/>
  <c r="Z26" i="72"/>
  <c r="X26" i="72"/>
  <c r="L26" i="72"/>
  <c r="N26" i="72" s="1"/>
  <c r="F26" i="72"/>
  <c r="B26" i="72"/>
  <c r="Z25" i="72"/>
  <c r="X25" i="72"/>
  <c r="N25" i="72"/>
  <c r="L25" i="72"/>
  <c r="B25" i="72"/>
  <c r="X24" i="72"/>
  <c r="Z24" i="72" s="1"/>
  <c r="R24" i="72"/>
  <c r="L24" i="72"/>
  <c r="N24" i="72" s="1"/>
  <c r="B24" i="72"/>
  <c r="X23" i="72"/>
  <c r="Z23" i="72" s="1"/>
  <c r="N23" i="72"/>
  <c r="L23" i="72"/>
  <c r="B23" i="72"/>
  <c r="T22" i="72"/>
  <c r="P22" i="72"/>
  <c r="X22" i="72" s="1"/>
  <c r="Z22" i="72" s="1"/>
  <c r="L22" i="72"/>
  <c r="H22" i="72"/>
  <c r="D22" i="72"/>
  <c r="B22" i="72"/>
  <c r="T21" i="72"/>
  <c r="P21" i="72"/>
  <c r="X21" i="72" s="1"/>
  <c r="H21" i="72"/>
  <c r="D21" i="72"/>
  <c r="L21" i="72" s="1"/>
  <c r="T19" i="72"/>
  <c r="Z17" i="72"/>
  <c r="X17" i="72"/>
  <c r="R17" i="72"/>
  <c r="N17" i="72"/>
  <c r="L17" i="72"/>
  <c r="B17" i="72"/>
  <c r="X16" i="72"/>
  <c r="Z16" i="72" s="1"/>
  <c r="N16" i="72"/>
  <c r="L16" i="72"/>
  <c r="B16" i="72"/>
  <c r="V15" i="72"/>
  <c r="T15" i="72"/>
  <c r="P15" i="72"/>
  <c r="X15" i="72" s="1"/>
  <c r="H15" i="72"/>
  <c r="D15" i="72"/>
  <c r="L15" i="72" s="1"/>
  <c r="X13" i="72"/>
  <c r="Z13" i="72" s="1"/>
  <c r="P13" i="72"/>
  <c r="P12" i="72" s="1"/>
  <c r="L13" i="72"/>
  <c r="N13" i="72" s="1"/>
  <c r="D13" i="72"/>
  <c r="B13" i="72"/>
  <c r="T12" i="72"/>
  <c r="V45" i="72" s="1"/>
  <c r="H12" i="72"/>
  <c r="J64" i="72" s="1"/>
  <c r="D12" i="72"/>
  <c r="F15" i="72" s="1"/>
  <c r="D6" i="72"/>
  <c r="D4" i="72"/>
  <c r="Z116" i="70"/>
  <c r="X116" i="70"/>
  <c r="L116" i="70"/>
  <c r="N116" i="70" s="1"/>
  <c r="J116" i="70"/>
  <c r="Z112" i="70"/>
  <c r="X112" i="70"/>
  <c r="P112" i="70"/>
  <c r="P109" i="70" s="1"/>
  <c r="X109" i="70" s="1"/>
  <c r="Z109" i="70" s="1"/>
  <c r="N112" i="70"/>
  <c r="L112" i="70"/>
  <c r="D112" i="70"/>
  <c r="B112" i="70"/>
  <c r="Z111" i="70"/>
  <c r="X111" i="70"/>
  <c r="P111" i="70"/>
  <c r="N111" i="70"/>
  <c r="L111" i="70"/>
  <c r="D111" i="70"/>
  <c r="B111" i="70"/>
  <c r="X110" i="70"/>
  <c r="Z110" i="70" s="1"/>
  <c r="P110" i="70"/>
  <c r="L110" i="70"/>
  <c r="N110" i="70" s="1"/>
  <c r="D110" i="70"/>
  <c r="D109" i="70" s="1"/>
  <c r="L109" i="70" s="1"/>
  <c r="B110" i="70"/>
  <c r="V109" i="70"/>
  <c r="T109" i="70"/>
  <c r="H109" i="70"/>
  <c r="Z107" i="70"/>
  <c r="X107" i="70"/>
  <c r="V107" i="70"/>
  <c r="N107" i="70"/>
  <c r="L107" i="70"/>
  <c r="B107" i="70"/>
  <c r="Z106" i="70"/>
  <c r="T106" i="70"/>
  <c r="P106" i="70"/>
  <c r="X106" i="70" s="1"/>
  <c r="N106" i="70"/>
  <c r="L106" i="70"/>
  <c r="H106" i="70"/>
  <c r="D106" i="70"/>
  <c r="B106" i="70"/>
  <c r="Z105" i="70"/>
  <c r="X105" i="70"/>
  <c r="N105" i="70"/>
  <c r="L105" i="70"/>
  <c r="B105" i="70"/>
  <c r="Z104" i="70"/>
  <c r="X104" i="70"/>
  <c r="L104" i="70"/>
  <c r="N104" i="70" s="1"/>
  <c r="J104" i="70"/>
  <c r="B104" i="70"/>
  <c r="T103" i="70"/>
  <c r="Z103" i="70" s="1"/>
  <c r="P103" i="70"/>
  <c r="X103" i="70" s="1"/>
  <c r="H103" i="70"/>
  <c r="D103" i="70"/>
  <c r="B103" i="70"/>
  <c r="Z102" i="70"/>
  <c r="X102" i="70"/>
  <c r="N102" i="70"/>
  <c r="L102" i="70"/>
  <c r="B102" i="70"/>
  <c r="Z101" i="70"/>
  <c r="X101" i="70"/>
  <c r="L101" i="70"/>
  <c r="N101" i="70" s="1"/>
  <c r="B101" i="70"/>
  <c r="X100" i="70"/>
  <c r="Z100" i="70" s="1"/>
  <c r="V100" i="70"/>
  <c r="L100" i="70"/>
  <c r="N100" i="70" s="1"/>
  <c r="B100" i="70"/>
  <c r="T99" i="70"/>
  <c r="P99" i="70"/>
  <c r="X99" i="70" s="1"/>
  <c r="Z99" i="70" s="1"/>
  <c r="H99" i="70"/>
  <c r="D99" i="70"/>
  <c r="L99" i="70" s="1"/>
  <c r="N99" i="70" s="1"/>
  <c r="B99" i="70"/>
  <c r="Z98" i="70"/>
  <c r="X98" i="70"/>
  <c r="N98" i="70"/>
  <c r="L98" i="70"/>
  <c r="B98" i="70"/>
  <c r="X97" i="70"/>
  <c r="Z97" i="70" s="1"/>
  <c r="N97" i="70"/>
  <c r="L97" i="70"/>
  <c r="B97" i="70"/>
  <c r="X96" i="70"/>
  <c r="Z96" i="70" s="1"/>
  <c r="T96" i="70"/>
  <c r="P96" i="70"/>
  <c r="H96" i="70"/>
  <c r="D96" i="70"/>
  <c r="L96" i="70" s="1"/>
  <c r="N96" i="70" s="1"/>
  <c r="B96" i="70"/>
  <c r="Z95" i="70"/>
  <c r="X95" i="70"/>
  <c r="L95" i="70"/>
  <c r="N95" i="70" s="1"/>
  <c r="B95" i="70"/>
  <c r="X94" i="70"/>
  <c r="Z94" i="70" s="1"/>
  <c r="N94" i="70"/>
  <c r="L94" i="70"/>
  <c r="B94" i="70"/>
  <c r="T93" i="70"/>
  <c r="P93" i="70"/>
  <c r="H93" i="70"/>
  <c r="D93" i="70"/>
  <c r="L93" i="70" s="1"/>
  <c r="B93" i="70"/>
  <c r="X92" i="70"/>
  <c r="Z92" i="70" s="1"/>
  <c r="V92" i="70"/>
  <c r="L92" i="70"/>
  <c r="N92" i="70" s="1"/>
  <c r="B92" i="70"/>
  <c r="T91" i="70"/>
  <c r="P91" i="70"/>
  <c r="X91" i="70" s="1"/>
  <c r="Z91" i="70" s="1"/>
  <c r="N91" i="70"/>
  <c r="H91" i="70"/>
  <c r="D91" i="70"/>
  <c r="L91" i="70" s="1"/>
  <c r="B91" i="70"/>
  <c r="Z90" i="70"/>
  <c r="X90" i="70"/>
  <c r="N90" i="70"/>
  <c r="L90" i="70"/>
  <c r="B90" i="70"/>
  <c r="X89" i="70"/>
  <c r="Z89" i="70" s="1"/>
  <c r="N89" i="70"/>
  <c r="L89" i="70"/>
  <c r="B89" i="70"/>
  <c r="X88" i="70"/>
  <c r="Z88" i="70" s="1"/>
  <c r="T88" i="70"/>
  <c r="P88" i="70"/>
  <c r="N88" i="70"/>
  <c r="H88" i="70"/>
  <c r="D88" i="70"/>
  <c r="L88" i="70" s="1"/>
  <c r="B88" i="70"/>
  <c r="Z87" i="70"/>
  <c r="X87" i="70"/>
  <c r="N87" i="70"/>
  <c r="L87" i="70"/>
  <c r="B87" i="70"/>
  <c r="X86" i="70"/>
  <c r="Z86" i="70" s="1"/>
  <c r="N86" i="70"/>
  <c r="L86" i="70"/>
  <c r="B86" i="70"/>
  <c r="T85" i="70"/>
  <c r="P85" i="70"/>
  <c r="H85" i="70"/>
  <c r="D85" i="70"/>
  <c r="L85" i="70" s="1"/>
  <c r="B85" i="70"/>
  <c r="X84" i="70"/>
  <c r="Z84" i="70" s="1"/>
  <c r="V84" i="70"/>
  <c r="L84" i="70"/>
  <c r="N84" i="70" s="1"/>
  <c r="B84" i="70"/>
  <c r="T83" i="70"/>
  <c r="P83" i="70"/>
  <c r="X83" i="70" s="1"/>
  <c r="Z83" i="70" s="1"/>
  <c r="N83" i="70"/>
  <c r="H83" i="70"/>
  <c r="D83" i="70"/>
  <c r="L83" i="70" s="1"/>
  <c r="B83" i="70"/>
  <c r="Z82" i="70"/>
  <c r="X82" i="70"/>
  <c r="L82" i="70"/>
  <c r="N82" i="70" s="1"/>
  <c r="B82" i="70"/>
  <c r="X81" i="70"/>
  <c r="T81" i="70"/>
  <c r="Z81" i="70" s="1"/>
  <c r="P81" i="70"/>
  <c r="L81" i="70"/>
  <c r="N81" i="70" s="1"/>
  <c r="J81" i="70"/>
  <c r="H81" i="70"/>
  <c r="D81" i="70"/>
  <c r="B81" i="70"/>
  <c r="Z80" i="70"/>
  <c r="X80" i="70"/>
  <c r="V80" i="70"/>
  <c r="N80" i="70"/>
  <c r="L80" i="70"/>
  <c r="J80" i="70"/>
  <c r="B80" i="70"/>
  <c r="Z79" i="70"/>
  <c r="X79" i="70"/>
  <c r="L79" i="70"/>
  <c r="N79" i="70" s="1"/>
  <c r="B79" i="70"/>
  <c r="X78" i="70"/>
  <c r="Z78" i="70" s="1"/>
  <c r="T78" i="70"/>
  <c r="P78" i="70"/>
  <c r="H78" i="70"/>
  <c r="L78" i="70" s="1"/>
  <c r="N78" i="70" s="1"/>
  <c r="D78" i="70"/>
  <c r="B78" i="70"/>
  <c r="Z77" i="70"/>
  <c r="X77" i="70"/>
  <c r="L77" i="70"/>
  <c r="N77" i="70" s="1"/>
  <c r="B77" i="70"/>
  <c r="V76" i="70"/>
  <c r="T76" i="70"/>
  <c r="P76" i="70"/>
  <c r="X76" i="70" s="1"/>
  <c r="H76" i="70"/>
  <c r="N76" i="70" s="1"/>
  <c r="D76" i="70"/>
  <c r="L76" i="70" s="1"/>
  <c r="B76" i="70"/>
  <c r="Z75" i="70"/>
  <c r="X75" i="70"/>
  <c r="V75" i="70"/>
  <c r="N75" i="70"/>
  <c r="L75" i="70"/>
  <c r="B75" i="70"/>
  <c r="Z74" i="70"/>
  <c r="X74" i="70"/>
  <c r="N74" i="70"/>
  <c r="L74" i="70"/>
  <c r="B74" i="70"/>
  <c r="X73" i="70"/>
  <c r="Z73" i="70" s="1"/>
  <c r="N73" i="70"/>
  <c r="L73" i="70"/>
  <c r="B73" i="70"/>
  <c r="X72" i="70"/>
  <c r="Z72" i="70" s="1"/>
  <c r="N72" i="70"/>
  <c r="L72" i="70"/>
  <c r="B72" i="70"/>
  <c r="Z71" i="70"/>
  <c r="X71" i="70"/>
  <c r="V71" i="70"/>
  <c r="N71" i="70"/>
  <c r="L71" i="70"/>
  <c r="B71" i="70"/>
  <c r="Z70" i="70"/>
  <c r="X70" i="70"/>
  <c r="L70" i="70"/>
  <c r="N70" i="70" s="1"/>
  <c r="B70" i="70"/>
  <c r="X69" i="70"/>
  <c r="Z69" i="70" s="1"/>
  <c r="N69" i="70"/>
  <c r="L69" i="70"/>
  <c r="B69" i="70"/>
  <c r="Z68" i="70"/>
  <c r="X68" i="70"/>
  <c r="N68" i="70"/>
  <c r="L68" i="70"/>
  <c r="B68" i="70"/>
  <c r="X67" i="70"/>
  <c r="Z67" i="70" s="1"/>
  <c r="V67" i="70"/>
  <c r="N67" i="70"/>
  <c r="L67" i="70"/>
  <c r="B67" i="70"/>
  <c r="Z66" i="70"/>
  <c r="X66" i="70"/>
  <c r="N66" i="70"/>
  <c r="L66" i="70"/>
  <c r="B66" i="70"/>
  <c r="X65" i="70"/>
  <c r="T65" i="70"/>
  <c r="Z65" i="70" s="1"/>
  <c r="P65" i="70"/>
  <c r="L65" i="70"/>
  <c r="N65" i="70" s="1"/>
  <c r="J65" i="70"/>
  <c r="H65" i="70"/>
  <c r="D65" i="70"/>
  <c r="B65" i="70"/>
  <c r="Z64" i="70"/>
  <c r="X64" i="70"/>
  <c r="V64" i="70"/>
  <c r="N64" i="70"/>
  <c r="L64" i="70"/>
  <c r="J64" i="70"/>
  <c r="B64" i="70"/>
  <c r="Z63" i="70"/>
  <c r="X63" i="70"/>
  <c r="L63" i="70"/>
  <c r="N63" i="70" s="1"/>
  <c r="B63" i="70"/>
  <c r="X62" i="70"/>
  <c r="Z62" i="70" s="1"/>
  <c r="N62" i="70"/>
  <c r="L62" i="70"/>
  <c r="B62" i="70"/>
  <c r="Z61" i="70"/>
  <c r="X61" i="70"/>
  <c r="N61" i="70"/>
  <c r="L61" i="70"/>
  <c r="B61" i="70"/>
  <c r="Z60" i="70"/>
  <c r="X60" i="70"/>
  <c r="V60" i="70"/>
  <c r="N60" i="70"/>
  <c r="L60" i="70"/>
  <c r="J60" i="70"/>
  <c r="B60" i="70"/>
  <c r="Z59" i="70"/>
  <c r="X59" i="70"/>
  <c r="L59" i="70"/>
  <c r="N59" i="70" s="1"/>
  <c r="B59" i="70"/>
  <c r="X58" i="70"/>
  <c r="Z58" i="70" s="1"/>
  <c r="N58" i="70"/>
  <c r="L58" i="70"/>
  <c r="B58" i="70"/>
  <c r="Z57" i="70"/>
  <c r="X57" i="70"/>
  <c r="N57" i="70"/>
  <c r="L57" i="70"/>
  <c r="B57" i="70"/>
  <c r="Z56" i="70"/>
  <c r="X56" i="70"/>
  <c r="V56" i="70"/>
  <c r="L56" i="70"/>
  <c r="N56" i="70" s="1"/>
  <c r="J56" i="70"/>
  <c r="B56" i="70"/>
  <c r="Z55" i="70"/>
  <c r="X55" i="70"/>
  <c r="L55" i="70"/>
  <c r="N55" i="70" s="1"/>
  <c r="B55" i="70"/>
  <c r="X54" i="70"/>
  <c r="Z54" i="70" s="1"/>
  <c r="T54" i="70"/>
  <c r="P54" i="70"/>
  <c r="H54" i="70"/>
  <c r="L54" i="70" s="1"/>
  <c r="N54" i="70" s="1"/>
  <c r="D54" i="70"/>
  <c r="B54" i="70"/>
  <c r="T53" i="70"/>
  <c r="P53" i="70"/>
  <c r="X53" i="70" s="1"/>
  <c r="H53" i="70"/>
  <c r="D53" i="70"/>
  <c r="L53" i="70" s="1"/>
  <c r="V51" i="70"/>
  <c r="T51" i="70"/>
  <c r="T114" i="70" s="1"/>
  <c r="Z49" i="70"/>
  <c r="X49" i="70"/>
  <c r="V49" i="70"/>
  <c r="N49" i="70"/>
  <c r="L49" i="70"/>
  <c r="B49" i="70"/>
  <c r="Z48" i="70"/>
  <c r="X48" i="70"/>
  <c r="V48" i="70"/>
  <c r="N48" i="70"/>
  <c r="L48" i="70"/>
  <c r="B48" i="70"/>
  <c r="Z47" i="70"/>
  <c r="X47" i="70"/>
  <c r="V47" i="70"/>
  <c r="N47" i="70"/>
  <c r="L47" i="70"/>
  <c r="J47" i="70"/>
  <c r="B47" i="70"/>
  <c r="Z46" i="70"/>
  <c r="X46" i="70"/>
  <c r="V46" i="70"/>
  <c r="N46" i="70"/>
  <c r="L46" i="70"/>
  <c r="B46" i="70"/>
  <c r="Z45" i="70"/>
  <c r="X45" i="70"/>
  <c r="V45" i="70"/>
  <c r="N45" i="70"/>
  <c r="L45" i="70"/>
  <c r="B45" i="70"/>
  <c r="Z44" i="70"/>
  <c r="X44" i="70"/>
  <c r="V44" i="70"/>
  <c r="N44" i="70"/>
  <c r="L44" i="70"/>
  <c r="B44" i="70"/>
  <c r="Z43" i="70"/>
  <c r="X43" i="70"/>
  <c r="V43" i="70"/>
  <c r="N43" i="70"/>
  <c r="L43" i="70"/>
  <c r="J43" i="70"/>
  <c r="B43" i="70"/>
  <c r="Z42" i="70"/>
  <c r="X42" i="70"/>
  <c r="V42" i="70"/>
  <c r="N42" i="70"/>
  <c r="L42" i="70"/>
  <c r="B42" i="70"/>
  <c r="Z41" i="70"/>
  <c r="X41" i="70"/>
  <c r="V41" i="70"/>
  <c r="N41" i="70"/>
  <c r="L41" i="70"/>
  <c r="B41" i="70"/>
  <c r="Z40" i="70"/>
  <c r="X40" i="70"/>
  <c r="V40" i="70"/>
  <c r="N40" i="70"/>
  <c r="L40" i="70"/>
  <c r="B40" i="70"/>
  <c r="Z39" i="70"/>
  <c r="X39" i="70"/>
  <c r="V39" i="70"/>
  <c r="N39" i="70"/>
  <c r="L39" i="70"/>
  <c r="J39" i="70"/>
  <c r="B39" i="70"/>
  <c r="Z38" i="70"/>
  <c r="X38" i="70"/>
  <c r="V38" i="70"/>
  <c r="N38" i="70"/>
  <c r="L38" i="70"/>
  <c r="B38" i="70"/>
  <c r="Z37" i="70"/>
  <c r="X37" i="70"/>
  <c r="V37" i="70"/>
  <c r="N37" i="70"/>
  <c r="L37" i="70"/>
  <c r="B37" i="70"/>
  <c r="Z36" i="70"/>
  <c r="X36" i="70"/>
  <c r="V36" i="70"/>
  <c r="N36" i="70"/>
  <c r="L36" i="70"/>
  <c r="B36" i="70"/>
  <c r="X35" i="70"/>
  <c r="Z35" i="70" s="1"/>
  <c r="V35" i="70"/>
  <c r="L35" i="70"/>
  <c r="N35" i="70" s="1"/>
  <c r="J35" i="70"/>
  <c r="B35" i="70"/>
  <c r="V34" i="70"/>
  <c r="T34" i="70"/>
  <c r="P34" i="70"/>
  <c r="X34" i="70" s="1"/>
  <c r="Z34" i="70" s="1"/>
  <c r="H34" i="70"/>
  <c r="J34" i="70" s="1"/>
  <c r="D34" i="70"/>
  <c r="Z32" i="70"/>
  <c r="P32" i="70"/>
  <c r="X32" i="70" s="1"/>
  <c r="N32" i="70"/>
  <c r="L32" i="70"/>
  <c r="D32" i="70"/>
  <c r="B32" i="70"/>
  <c r="Z31" i="70"/>
  <c r="P31" i="70"/>
  <c r="X31" i="70" s="1"/>
  <c r="N31" i="70"/>
  <c r="L31" i="70"/>
  <c r="D31" i="70"/>
  <c r="B31" i="70"/>
  <c r="Z30" i="70"/>
  <c r="P30" i="70"/>
  <c r="X30" i="70" s="1"/>
  <c r="N30" i="70"/>
  <c r="L30" i="70"/>
  <c r="D30" i="70"/>
  <c r="B30" i="70"/>
  <c r="Z29" i="70"/>
  <c r="P29" i="70"/>
  <c r="X29" i="70" s="1"/>
  <c r="N29" i="70"/>
  <c r="D29" i="70"/>
  <c r="L29" i="70" s="1"/>
  <c r="B29" i="70"/>
  <c r="Z28" i="70"/>
  <c r="X28" i="70"/>
  <c r="P28" i="70"/>
  <c r="N28" i="70"/>
  <c r="D28" i="70"/>
  <c r="L28" i="70" s="1"/>
  <c r="B28" i="70"/>
  <c r="Z27" i="70"/>
  <c r="X27" i="70"/>
  <c r="P27" i="70"/>
  <c r="N27" i="70"/>
  <c r="D27" i="70"/>
  <c r="L27" i="70" s="1"/>
  <c r="B27" i="70"/>
  <c r="Z26" i="70"/>
  <c r="P26" i="70"/>
  <c r="X26" i="70" s="1"/>
  <c r="N26" i="70"/>
  <c r="D26" i="70"/>
  <c r="L26" i="70" s="1"/>
  <c r="B26" i="70"/>
  <c r="Z25" i="70"/>
  <c r="X25" i="70"/>
  <c r="P25" i="70"/>
  <c r="N25" i="70"/>
  <c r="L25" i="70"/>
  <c r="D25" i="70"/>
  <c r="B25" i="70"/>
  <c r="Z24" i="70"/>
  <c r="X24" i="70"/>
  <c r="P24" i="70"/>
  <c r="N24" i="70"/>
  <c r="L24" i="70"/>
  <c r="D24" i="70"/>
  <c r="B24" i="70"/>
  <c r="Z23" i="70"/>
  <c r="X23" i="70"/>
  <c r="P23" i="70"/>
  <c r="N23" i="70"/>
  <c r="D23" i="70"/>
  <c r="L23" i="70" s="1"/>
  <c r="B23" i="70"/>
  <c r="Z22" i="70"/>
  <c r="X22" i="70"/>
  <c r="P22" i="70"/>
  <c r="N22" i="70"/>
  <c r="L22" i="70"/>
  <c r="D22" i="70"/>
  <c r="B22" i="70"/>
  <c r="Z21" i="70"/>
  <c r="X21" i="70"/>
  <c r="P21" i="70"/>
  <c r="N21" i="70"/>
  <c r="L21" i="70"/>
  <c r="D21" i="70"/>
  <c r="B21" i="70"/>
  <c r="Z20" i="70"/>
  <c r="P20" i="70"/>
  <c r="X20" i="70" s="1"/>
  <c r="N20" i="70"/>
  <c r="L20" i="70"/>
  <c r="D20" i="70"/>
  <c r="B20" i="70"/>
  <c r="Z19" i="70"/>
  <c r="X19" i="70"/>
  <c r="P19" i="70"/>
  <c r="N19" i="70"/>
  <c r="L19" i="70"/>
  <c r="D19" i="70"/>
  <c r="B19" i="70"/>
  <c r="Z18" i="70"/>
  <c r="P18" i="70"/>
  <c r="X18" i="70" s="1"/>
  <c r="N18" i="70"/>
  <c r="L18" i="70"/>
  <c r="D18" i="70"/>
  <c r="B18" i="70"/>
  <c r="Z17" i="70"/>
  <c r="P17" i="70"/>
  <c r="X17" i="70" s="1"/>
  <c r="N17" i="70"/>
  <c r="D17" i="70"/>
  <c r="L17" i="70" s="1"/>
  <c r="B17" i="70"/>
  <c r="Z16" i="70"/>
  <c r="X16" i="70"/>
  <c r="P16" i="70"/>
  <c r="N16" i="70"/>
  <c r="L16" i="70"/>
  <c r="D16" i="70"/>
  <c r="B16" i="70"/>
  <c r="Z15" i="70"/>
  <c r="X15" i="70"/>
  <c r="P15" i="70"/>
  <c r="N15" i="70"/>
  <c r="D15" i="70"/>
  <c r="L15" i="70" s="1"/>
  <c r="B15" i="70"/>
  <c r="Z14" i="70"/>
  <c r="P14" i="70"/>
  <c r="N14" i="70"/>
  <c r="D14" i="70"/>
  <c r="L14" i="70" s="1"/>
  <c r="B14" i="70"/>
  <c r="X13" i="70"/>
  <c r="Z13" i="70" s="1"/>
  <c r="P13" i="70"/>
  <c r="N13" i="70"/>
  <c r="L13" i="70"/>
  <c r="D13" i="70"/>
  <c r="B13" i="70"/>
  <c r="T12" i="70"/>
  <c r="V111" i="70" s="1"/>
  <c r="H12" i="70"/>
  <c r="D6" i="70"/>
  <c r="D4" i="70"/>
  <c r="F73" i="69"/>
  <c r="F70" i="69"/>
  <c r="Z68" i="69"/>
  <c r="X68" i="69"/>
  <c r="V68" i="69"/>
  <c r="R68" i="69"/>
  <c r="N68" i="69"/>
  <c r="L68" i="69"/>
  <c r="Z64" i="69"/>
  <c r="V64" i="69"/>
  <c r="T64" i="69"/>
  <c r="X64" i="69" s="1"/>
  <c r="P64" i="69"/>
  <c r="N64" i="69"/>
  <c r="L64" i="69"/>
  <c r="H64" i="69"/>
  <c r="D64" i="69"/>
  <c r="Z62" i="69"/>
  <c r="X62" i="69"/>
  <c r="V62" i="69"/>
  <c r="N62" i="69"/>
  <c r="L62" i="69"/>
  <c r="F62" i="69"/>
  <c r="B62" i="69"/>
  <c r="T61" i="69"/>
  <c r="Z61" i="69" s="1"/>
  <c r="P61" i="69"/>
  <c r="X61" i="69" s="1"/>
  <c r="H61" i="69"/>
  <c r="F61" i="69"/>
  <c r="D61" i="69"/>
  <c r="B61" i="69"/>
  <c r="Z60" i="69"/>
  <c r="X60" i="69"/>
  <c r="V60" i="69"/>
  <c r="N60" i="69"/>
  <c r="L60" i="69"/>
  <c r="B60" i="69"/>
  <c r="Z59" i="69"/>
  <c r="X59" i="69"/>
  <c r="N59" i="69"/>
  <c r="L59" i="69"/>
  <c r="F59" i="69"/>
  <c r="B59" i="69"/>
  <c r="Z58" i="69"/>
  <c r="X58" i="69"/>
  <c r="V58" i="69"/>
  <c r="R58" i="69"/>
  <c r="N58" i="69"/>
  <c r="L58" i="69"/>
  <c r="B58" i="69"/>
  <c r="V57" i="69"/>
  <c r="T57" i="69"/>
  <c r="Z57" i="69" s="1"/>
  <c r="P57" i="69"/>
  <c r="X57" i="69" s="1"/>
  <c r="N57" i="69"/>
  <c r="H57" i="69"/>
  <c r="D57" i="69"/>
  <c r="L57" i="69" s="1"/>
  <c r="B57" i="69"/>
  <c r="Z56" i="69"/>
  <c r="X56" i="69"/>
  <c r="N56" i="69"/>
  <c r="L56" i="69"/>
  <c r="B56" i="69"/>
  <c r="Z55" i="69"/>
  <c r="X55" i="69"/>
  <c r="R55" i="69"/>
  <c r="N55" i="69"/>
  <c r="L55" i="69"/>
  <c r="F55" i="69"/>
  <c r="B55" i="69"/>
  <c r="Z54" i="69"/>
  <c r="X54" i="69"/>
  <c r="T54" i="69"/>
  <c r="R54" i="69"/>
  <c r="P54" i="69"/>
  <c r="N54" i="69"/>
  <c r="H54" i="69"/>
  <c r="F54" i="69"/>
  <c r="D54" i="69"/>
  <c r="L54" i="69" s="1"/>
  <c r="B54" i="69"/>
  <c r="Z53" i="69"/>
  <c r="X53" i="69"/>
  <c r="R53" i="69"/>
  <c r="N53" i="69"/>
  <c r="L53" i="69"/>
  <c r="B53" i="69"/>
  <c r="Z52" i="69"/>
  <c r="X52" i="69"/>
  <c r="N52" i="69"/>
  <c r="L52" i="69"/>
  <c r="B52" i="69"/>
  <c r="T51" i="69"/>
  <c r="R51" i="69"/>
  <c r="P51" i="69"/>
  <c r="H51" i="69"/>
  <c r="N51" i="69" s="1"/>
  <c r="D51" i="69"/>
  <c r="L51" i="69" s="1"/>
  <c r="B51" i="69"/>
  <c r="Z50" i="69"/>
  <c r="X50" i="69"/>
  <c r="V50" i="69"/>
  <c r="R50" i="69"/>
  <c r="N50" i="69"/>
  <c r="L50" i="69"/>
  <c r="B50" i="69"/>
  <c r="V49" i="69"/>
  <c r="T49" i="69"/>
  <c r="Z49" i="69" s="1"/>
  <c r="P49" i="69"/>
  <c r="X49" i="69" s="1"/>
  <c r="N49" i="69"/>
  <c r="H49" i="69"/>
  <c r="D49" i="69"/>
  <c r="L49" i="69" s="1"/>
  <c r="B49" i="69"/>
  <c r="Z48" i="69"/>
  <c r="X48" i="69"/>
  <c r="N48" i="69"/>
  <c r="L48" i="69"/>
  <c r="B48" i="69"/>
  <c r="X47" i="69"/>
  <c r="T47" i="69"/>
  <c r="Z47" i="69" s="1"/>
  <c r="P47" i="69"/>
  <c r="N47" i="69"/>
  <c r="L47" i="69"/>
  <c r="H47" i="69"/>
  <c r="D47" i="69"/>
  <c r="B47" i="69"/>
  <c r="Z46" i="69"/>
  <c r="X46" i="69"/>
  <c r="V46" i="69"/>
  <c r="N46" i="69"/>
  <c r="L46" i="69"/>
  <c r="F46" i="69"/>
  <c r="B46" i="69"/>
  <c r="T45" i="69"/>
  <c r="Z45" i="69" s="1"/>
  <c r="P45" i="69"/>
  <c r="X45" i="69" s="1"/>
  <c r="H45" i="69"/>
  <c r="F45" i="69"/>
  <c r="D45" i="69"/>
  <c r="B45" i="69"/>
  <c r="Z44" i="69"/>
  <c r="X44" i="69"/>
  <c r="V44" i="69"/>
  <c r="N44" i="69"/>
  <c r="L44" i="69"/>
  <c r="B44" i="69"/>
  <c r="Z43" i="69"/>
  <c r="V43" i="69"/>
  <c r="T43" i="69"/>
  <c r="P43" i="69"/>
  <c r="X43" i="69" s="1"/>
  <c r="H43" i="69"/>
  <c r="N43" i="69" s="1"/>
  <c r="D43" i="69"/>
  <c r="L43" i="69" s="1"/>
  <c r="B43" i="69"/>
  <c r="Z42" i="69"/>
  <c r="X42" i="69"/>
  <c r="N42" i="69"/>
  <c r="L42" i="69"/>
  <c r="B42" i="69"/>
  <c r="Z41" i="69"/>
  <c r="X41" i="69"/>
  <c r="V41" i="69"/>
  <c r="T41" i="69"/>
  <c r="P41" i="69"/>
  <c r="L41" i="69"/>
  <c r="H41" i="69"/>
  <c r="N41" i="69" s="1"/>
  <c r="D41" i="69"/>
  <c r="B41" i="69"/>
  <c r="Z40" i="69"/>
  <c r="X40" i="69"/>
  <c r="N40" i="69"/>
  <c r="L40" i="69"/>
  <c r="B40" i="69"/>
  <c r="Z39" i="69"/>
  <c r="X39" i="69"/>
  <c r="R39" i="69"/>
  <c r="N39" i="69"/>
  <c r="L39" i="69"/>
  <c r="B39" i="69"/>
  <c r="Z38" i="69"/>
  <c r="X38" i="69"/>
  <c r="V38" i="69"/>
  <c r="N38" i="69"/>
  <c r="L38" i="69"/>
  <c r="J38" i="69"/>
  <c r="F38" i="69"/>
  <c r="B38" i="69"/>
  <c r="Z37" i="69"/>
  <c r="X37" i="69"/>
  <c r="R37" i="69"/>
  <c r="N37" i="69"/>
  <c r="L37" i="69"/>
  <c r="B37" i="69"/>
  <c r="Z36" i="69"/>
  <c r="X36" i="69"/>
  <c r="N36" i="69"/>
  <c r="L36" i="69"/>
  <c r="B36" i="69"/>
  <c r="Z35" i="69"/>
  <c r="X35" i="69"/>
  <c r="R35" i="69"/>
  <c r="N35" i="69"/>
  <c r="L35" i="69"/>
  <c r="B35" i="69"/>
  <c r="Z34" i="69"/>
  <c r="X34" i="69"/>
  <c r="V34" i="69"/>
  <c r="N34" i="69"/>
  <c r="L34" i="69"/>
  <c r="J34" i="69"/>
  <c r="F34" i="69"/>
  <c r="B34" i="69"/>
  <c r="Z33" i="69"/>
  <c r="X33" i="69"/>
  <c r="R33" i="69"/>
  <c r="N33" i="69"/>
  <c r="L33" i="69"/>
  <c r="B33" i="69"/>
  <c r="Z32" i="69"/>
  <c r="X32" i="69"/>
  <c r="N32" i="69"/>
  <c r="L32" i="69"/>
  <c r="B32" i="69"/>
  <c r="Z31" i="69"/>
  <c r="X31" i="69"/>
  <c r="V31" i="69"/>
  <c r="R31" i="69"/>
  <c r="N31" i="69"/>
  <c r="L31" i="69"/>
  <c r="B31" i="69"/>
  <c r="Z30" i="69"/>
  <c r="V30" i="69"/>
  <c r="T30" i="69"/>
  <c r="P30" i="69"/>
  <c r="X30" i="69" s="1"/>
  <c r="N30" i="69"/>
  <c r="L30" i="69"/>
  <c r="H30" i="69"/>
  <c r="D30" i="69"/>
  <c r="B30" i="69"/>
  <c r="Z29" i="69"/>
  <c r="X29" i="69"/>
  <c r="V29" i="69"/>
  <c r="N29" i="69"/>
  <c r="L29" i="69"/>
  <c r="J29" i="69"/>
  <c r="B29" i="69"/>
  <c r="Z28" i="69"/>
  <c r="X28" i="69"/>
  <c r="V28" i="69"/>
  <c r="N28" i="69"/>
  <c r="L28" i="69"/>
  <c r="B28" i="69"/>
  <c r="Z27" i="69"/>
  <c r="X27" i="69"/>
  <c r="V27" i="69"/>
  <c r="N27" i="69"/>
  <c r="L27" i="69"/>
  <c r="F27" i="69"/>
  <c r="B27" i="69"/>
  <c r="Z26" i="69"/>
  <c r="X26" i="69"/>
  <c r="V26" i="69"/>
  <c r="R26" i="69"/>
  <c r="N26" i="69"/>
  <c r="L26" i="69"/>
  <c r="B26" i="69"/>
  <c r="Z25" i="69"/>
  <c r="X25" i="69"/>
  <c r="V25" i="69"/>
  <c r="N25" i="69"/>
  <c r="L25" i="69"/>
  <c r="J25" i="69"/>
  <c r="B25" i="69"/>
  <c r="Z24" i="69"/>
  <c r="X24" i="69"/>
  <c r="V24" i="69"/>
  <c r="N24" i="69"/>
  <c r="L24" i="69"/>
  <c r="B24" i="69"/>
  <c r="Z23" i="69"/>
  <c r="X23" i="69"/>
  <c r="V23" i="69"/>
  <c r="N23" i="69"/>
  <c r="L23" i="69"/>
  <c r="F23" i="69"/>
  <c r="B23" i="69"/>
  <c r="Z22" i="69"/>
  <c r="X22" i="69"/>
  <c r="V22" i="69"/>
  <c r="R22" i="69"/>
  <c r="N22" i="69"/>
  <c r="L22" i="69"/>
  <c r="B22" i="69"/>
  <c r="V21" i="69"/>
  <c r="T21" i="69"/>
  <c r="Z21" i="69" s="1"/>
  <c r="P21" i="69"/>
  <c r="X21" i="69" s="1"/>
  <c r="N21" i="69"/>
  <c r="H21" i="69"/>
  <c r="D21" i="69"/>
  <c r="L21" i="69" s="1"/>
  <c r="B21" i="69"/>
  <c r="T20" i="69"/>
  <c r="R20" i="69"/>
  <c r="P20" i="69"/>
  <c r="H20" i="69"/>
  <c r="N20" i="69" s="1"/>
  <c r="F20" i="69"/>
  <c r="D20" i="69"/>
  <c r="R18" i="69"/>
  <c r="P18" i="69"/>
  <c r="F18" i="69"/>
  <c r="Z16" i="69"/>
  <c r="X16" i="69"/>
  <c r="V16" i="69"/>
  <c r="N16" i="69"/>
  <c r="L16" i="69"/>
  <c r="F16" i="69"/>
  <c r="B16" i="69"/>
  <c r="X15" i="69"/>
  <c r="T15" i="69"/>
  <c r="Z15" i="69" s="1"/>
  <c r="P15" i="69"/>
  <c r="N15" i="69"/>
  <c r="L15" i="69"/>
  <c r="H15" i="69"/>
  <c r="F15" i="69"/>
  <c r="D15" i="69"/>
  <c r="X13" i="69"/>
  <c r="Z13" i="69" s="1"/>
  <c r="P13" i="69"/>
  <c r="N13" i="69"/>
  <c r="L13" i="69"/>
  <c r="D13" i="69"/>
  <c r="B13" i="69"/>
  <c r="Z12" i="69"/>
  <c r="X12" i="69"/>
  <c r="T12" i="69"/>
  <c r="V59" i="69" s="1"/>
  <c r="P12" i="69"/>
  <c r="R52" i="69" s="1"/>
  <c r="H12" i="69"/>
  <c r="J47" i="69" s="1"/>
  <c r="D12" i="69"/>
  <c r="F56" i="69" s="1"/>
  <c r="D6" i="69"/>
  <c r="D4" i="69"/>
  <c r="X94" i="68"/>
  <c r="Z94" i="68" s="1"/>
  <c r="L94" i="68"/>
  <c r="N94" i="68" s="1"/>
  <c r="Z90" i="68"/>
  <c r="T90" i="68"/>
  <c r="P90" i="68"/>
  <c r="X90" i="68" s="1"/>
  <c r="N90" i="68"/>
  <c r="L90" i="68"/>
  <c r="H90" i="68"/>
  <c r="D90" i="68"/>
  <c r="Z88" i="68"/>
  <c r="X88" i="68"/>
  <c r="L88" i="68"/>
  <c r="N88" i="68" s="1"/>
  <c r="J88" i="68"/>
  <c r="B88" i="68"/>
  <c r="T87" i="68"/>
  <c r="P87" i="68"/>
  <c r="H87" i="68"/>
  <c r="D87" i="68"/>
  <c r="B87" i="68"/>
  <c r="Z86" i="68"/>
  <c r="X86" i="68"/>
  <c r="N86" i="68"/>
  <c r="L86" i="68"/>
  <c r="B86" i="68"/>
  <c r="Z85" i="68"/>
  <c r="X85" i="68"/>
  <c r="L85" i="68"/>
  <c r="N85" i="68" s="1"/>
  <c r="B85" i="68"/>
  <c r="T84" i="68"/>
  <c r="P84" i="68"/>
  <c r="X84" i="68" s="1"/>
  <c r="J84" i="68"/>
  <c r="H84" i="68"/>
  <c r="D84" i="68"/>
  <c r="L84" i="68" s="1"/>
  <c r="B84" i="68"/>
  <c r="X83" i="68"/>
  <c r="Z83" i="68" s="1"/>
  <c r="V83" i="68"/>
  <c r="N83" i="68"/>
  <c r="L83" i="68"/>
  <c r="B83" i="68"/>
  <c r="Z82" i="68"/>
  <c r="X82" i="68"/>
  <c r="L82" i="68"/>
  <c r="N82" i="68" s="1"/>
  <c r="B82" i="68"/>
  <c r="Z81" i="68"/>
  <c r="X81" i="68"/>
  <c r="N81" i="68"/>
  <c r="L81" i="68"/>
  <c r="B81" i="68"/>
  <c r="X80" i="68"/>
  <c r="Z80" i="68" s="1"/>
  <c r="N80" i="68"/>
  <c r="L80" i="68"/>
  <c r="J80" i="68"/>
  <c r="B80" i="68"/>
  <c r="X79" i="68"/>
  <c r="Z79" i="68" s="1"/>
  <c r="T79" i="68"/>
  <c r="P79" i="68"/>
  <c r="L79" i="68"/>
  <c r="H79" i="68"/>
  <c r="N79" i="68" s="1"/>
  <c r="D79" i="68"/>
  <c r="B79" i="68"/>
  <c r="X78" i="68"/>
  <c r="Z78" i="68" s="1"/>
  <c r="N78" i="68"/>
  <c r="L78" i="68"/>
  <c r="J78" i="68"/>
  <c r="B78" i="68"/>
  <c r="Z77" i="68"/>
  <c r="X77" i="68"/>
  <c r="N77" i="68"/>
  <c r="L77" i="68"/>
  <c r="B77" i="68"/>
  <c r="Z76" i="68"/>
  <c r="T76" i="68"/>
  <c r="P76" i="68"/>
  <c r="X76" i="68" s="1"/>
  <c r="L76" i="68"/>
  <c r="N76" i="68" s="1"/>
  <c r="H76" i="68"/>
  <c r="D76" i="68"/>
  <c r="B76" i="68"/>
  <c r="X75" i="68"/>
  <c r="Z75" i="68" s="1"/>
  <c r="L75" i="68"/>
  <c r="N75" i="68" s="1"/>
  <c r="J75" i="68"/>
  <c r="B75" i="68"/>
  <c r="Z74" i="68"/>
  <c r="X74" i="68"/>
  <c r="N74" i="68"/>
  <c r="L74" i="68"/>
  <c r="B74" i="68"/>
  <c r="Z73" i="68"/>
  <c r="T73" i="68"/>
  <c r="P73" i="68"/>
  <c r="X73" i="68" s="1"/>
  <c r="H73" i="68"/>
  <c r="N73" i="68" s="1"/>
  <c r="D73" i="68"/>
  <c r="L73" i="68" s="1"/>
  <c r="B73" i="68"/>
  <c r="X72" i="68"/>
  <c r="Z72" i="68" s="1"/>
  <c r="N72" i="68"/>
  <c r="L72" i="68"/>
  <c r="J72" i="68"/>
  <c r="B72" i="68"/>
  <c r="X71" i="68"/>
  <c r="Z71" i="68" s="1"/>
  <c r="T71" i="68"/>
  <c r="P71" i="68"/>
  <c r="L71" i="68"/>
  <c r="H71" i="68"/>
  <c r="N71" i="68" s="1"/>
  <c r="D71" i="68"/>
  <c r="B71" i="68"/>
  <c r="Z70" i="68"/>
  <c r="X70" i="68"/>
  <c r="N70" i="68"/>
  <c r="L70" i="68"/>
  <c r="J70" i="68"/>
  <c r="B70" i="68"/>
  <c r="T69" i="68"/>
  <c r="P69" i="68"/>
  <c r="H69" i="68"/>
  <c r="N69" i="68" s="1"/>
  <c r="D69" i="68"/>
  <c r="B69" i="68"/>
  <c r="X68" i="68"/>
  <c r="Z68" i="68" s="1"/>
  <c r="L68" i="68"/>
  <c r="N68" i="68" s="1"/>
  <c r="B68" i="68"/>
  <c r="X67" i="68"/>
  <c r="T67" i="68"/>
  <c r="Z67" i="68" s="1"/>
  <c r="P67" i="68"/>
  <c r="N67" i="68"/>
  <c r="H67" i="68"/>
  <c r="D67" i="68"/>
  <c r="L67" i="68" s="1"/>
  <c r="B67" i="68"/>
  <c r="Z66" i="68"/>
  <c r="X66" i="68"/>
  <c r="N66" i="68"/>
  <c r="L66" i="68"/>
  <c r="B66" i="68"/>
  <c r="X65" i="68"/>
  <c r="Z65" i="68" s="1"/>
  <c r="N65" i="68"/>
  <c r="L65" i="68"/>
  <c r="B65" i="68"/>
  <c r="X64" i="68"/>
  <c r="T64" i="68"/>
  <c r="Z64" i="68" s="1"/>
  <c r="P64" i="68"/>
  <c r="H64" i="68"/>
  <c r="D64" i="68"/>
  <c r="L64" i="68" s="1"/>
  <c r="N64" i="68" s="1"/>
  <c r="B64" i="68"/>
  <c r="Z63" i="68"/>
  <c r="X63" i="68"/>
  <c r="L63" i="68"/>
  <c r="N63" i="68" s="1"/>
  <c r="B63" i="68"/>
  <c r="X62" i="68"/>
  <c r="Z62" i="68" s="1"/>
  <c r="T62" i="68"/>
  <c r="P62" i="68"/>
  <c r="N62" i="68"/>
  <c r="J62" i="68"/>
  <c r="H62" i="68"/>
  <c r="D62" i="68"/>
  <c r="L62" i="68" s="1"/>
  <c r="B62" i="68"/>
  <c r="Z61" i="68"/>
  <c r="X61" i="68"/>
  <c r="N61" i="68"/>
  <c r="L61" i="68"/>
  <c r="B61" i="68"/>
  <c r="T60" i="68"/>
  <c r="Z60" i="68" s="1"/>
  <c r="P60" i="68"/>
  <c r="X60" i="68" s="1"/>
  <c r="J60" i="68"/>
  <c r="H60" i="68"/>
  <c r="N60" i="68" s="1"/>
  <c r="D60" i="68"/>
  <c r="L60" i="68" s="1"/>
  <c r="B60" i="68"/>
  <c r="X59" i="68"/>
  <c r="Z59" i="68" s="1"/>
  <c r="N59" i="68"/>
  <c r="L59" i="68"/>
  <c r="B59" i="68"/>
  <c r="Z58" i="68"/>
  <c r="T58" i="68"/>
  <c r="P58" i="68"/>
  <c r="X58" i="68" s="1"/>
  <c r="L58" i="68"/>
  <c r="H58" i="68"/>
  <c r="N58" i="68" s="1"/>
  <c r="D58" i="68"/>
  <c r="B58" i="68"/>
  <c r="Z57" i="68"/>
  <c r="X57" i="68"/>
  <c r="N57" i="68"/>
  <c r="L57" i="68"/>
  <c r="B57" i="68"/>
  <c r="Z56" i="68"/>
  <c r="X56" i="68"/>
  <c r="N56" i="68"/>
  <c r="L56" i="68"/>
  <c r="J56" i="68"/>
  <c r="B56" i="68"/>
  <c r="Z55" i="68"/>
  <c r="X55" i="68"/>
  <c r="L55" i="68"/>
  <c r="N55" i="68" s="1"/>
  <c r="B55" i="68"/>
  <c r="Z54" i="68"/>
  <c r="X54" i="68"/>
  <c r="N54" i="68"/>
  <c r="L54" i="68"/>
  <c r="J54" i="68"/>
  <c r="B54" i="68"/>
  <c r="Z53" i="68"/>
  <c r="X53" i="68"/>
  <c r="N53" i="68"/>
  <c r="L53" i="68"/>
  <c r="B53" i="68"/>
  <c r="Z52" i="68"/>
  <c r="X52" i="68"/>
  <c r="L52" i="68"/>
  <c r="N52" i="68" s="1"/>
  <c r="J52" i="68"/>
  <c r="B52" i="68"/>
  <c r="Z51" i="68"/>
  <c r="X51" i="68"/>
  <c r="L51" i="68"/>
  <c r="N51" i="68" s="1"/>
  <c r="B51" i="68"/>
  <c r="Z50" i="68"/>
  <c r="X50" i="68"/>
  <c r="N50" i="68"/>
  <c r="L50" i="68"/>
  <c r="J50" i="68"/>
  <c r="B50" i="68"/>
  <c r="Z49" i="68"/>
  <c r="X49" i="68"/>
  <c r="N49" i="68"/>
  <c r="L49" i="68"/>
  <c r="B49" i="68"/>
  <c r="Z48" i="68"/>
  <c r="X48" i="68"/>
  <c r="L48" i="68"/>
  <c r="N48" i="68" s="1"/>
  <c r="J48" i="68"/>
  <c r="B48" i="68"/>
  <c r="T47" i="68"/>
  <c r="P47" i="68"/>
  <c r="X47" i="68" s="1"/>
  <c r="H47" i="68"/>
  <c r="D47" i="68"/>
  <c r="B47" i="68"/>
  <c r="Z46" i="68"/>
  <c r="X46" i="68"/>
  <c r="N46" i="68"/>
  <c r="L46" i="68"/>
  <c r="B46" i="68"/>
  <c r="Z45" i="68"/>
  <c r="X45" i="68"/>
  <c r="L45" i="68"/>
  <c r="N45" i="68" s="1"/>
  <c r="B45" i="68"/>
  <c r="Z44" i="68"/>
  <c r="X44" i="68"/>
  <c r="N44" i="68"/>
  <c r="L44" i="68"/>
  <c r="B44" i="68"/>
  <c r="X43" i="68"/>
  <c r="Z43" i="68" s="1"/>
  <c r="L43" i="68"/>
  <c r="N43" i="68" s="1"/>
  <c r="J43" i="68"/>
  <c r="B43" i="68"/>
  <c r="Z42" i="68"/>
  <c r="X42" i="68"/>
  <c r="N42" i="68"/>
  <c r="L42" i="68"/>
  <c r="B42" i="68"/>
  <c r="Z41" i="68"/>
  <c r="X41" i="68"/>
  <c r="L41" i="68"/>
  <c r="N41" i="68" s="1"/>
  <c r="B41" i="68"/>
  <c r="X40" i="68"/>
  <c r="Z40" i="68" s="1"/>
  <c r="L40" i="68"/>
  <c r="N40" i="68" s="1"/>
  <c r="B40" i="68"/>
  <c r="X39" i="68"/>
  <c r="Z39" i="68" s="1"/>
  <c r="L39" i="68"/>
  <c r="N39" i="68" s="1"/>
  <c r="J39" i="68"/>
  <c r="B39" i="68"/>
  <c r="V38" i="68"/>
  <c r="T38" i="68"/>
  <c r="Z38" i="68" s="1"/>
  <c r="P38" i="68"/>
  <c r="X38" i="68" s="1"/>
  <c r="J38" i="68"/>
  <c r="H38" i="68"/>
  <c r="D38" i="68"/>
  <c r="B38" i="68"/>
  <c r="T37" i="68"/>
  <c r="P37" i="68"/>
  <c r="L37" i="68"/>
  <c r="N37" i="68" s="1"/>
  <c r="H37" i="68"/>
  <c r="J37" i="68" s="1"/>
  <c r="D37" i="68"/>
  <c r="Z33" i="68"/>
  <c r="X33" i="68"/>
  <c r="N33" i="68"/>
  <c r="L33" i="68"/>
  <c r="B33" i="68"/>
  <c r="Z32" i="68"/>
  <c r="X32" i="68"/>
  <c r="N32" i="68"/>
  <c r="L32" i="68"/>
  <c r="J32" i="68"/>
  <c r="B32" i="68"/>
  <c r="Z31" i="68"/>
  <c r="X31" i="68"/>
  <c r="N31" i="68"/>
  <c r="L31" i="68"/>
  <c r="B31" i="68"/>
  <c r="Z30" i="68"/>
  <c r="X30" i="68"/>
  <c r="N30" i="68"/>
  <c r="L30" i="68"/>
  <c r="B30" i="68"/>
  <c r="Z29" i="68"/>
  <c r="X29" i="68"/>
  <c r="N29" i="68"/>
  <c r="L29" i="68"/>
  <c r="B29" i="68"/>
  <c r="Z28" i="68"/>
  <c r="X28" i="68"/>
  <c r="N28" i="68"/>
  <c r="L28" i="68"/>
  <c r="J28" i="68"/>
  <c r="B28" i="68"/>
  <c r="Z27" i="68"/>
  <c r="X27" i="68"/>
  <c r="N27" i="68"/>
  <c r="L27" i="68"/>
  <c r="B27" i="68"/>
  <c r="Z26" i="68"/>
  <c r="X26" i="68"/>
  <c r="L26" i="68"/>
  <c r="N26" i="68" s="1"/>
  <c r="B26" i="68"/>
  <c r="T25" i="68"/>
  <c r="P25" i="68"/>
  <c r="L25" i="68"/>
  <c r="N25" i="68" s="1"/>
  <c r="J25" i="68"/>
  <c r="H25" i="68"/>
  <c r="D25" i="68"/>
  <c r="Z23" i="68"/>
  <c r="X23" i="68"/>
  <c r="P23" i="68"/>
  <c r="N23" i="68"/>
  <c r="L23" i="68"/>
  <c r="D23" i="68"/>
  <c r="B23" i="68"/>
  <c r="Z22" i="68"/>
  <c r="X22" i="68"/>
  <c r="P22" i="68"/>
  <c r="N22" i="68"/>
  <c r="L22" i="68"/>
  <c r="D22" i="68"/>
  <c r="B22" i="68"/>
  <c r="Z21" i="68"/>
  <c r="X21" i="68"/>
  <c r="P21" i="68"/>
  <c r="N21" i="68"/>
  <c r="D21" i="68"/>
  <c r="L21" i="68" s="1"/>
  <c r="B21" i="68"/>
  <c r="P20" i="68"/>
  <c r="X20" i="68" s="1"/>
  <c r="Z20" i="68" s="1"/>
  <c r="L20" i="68"/>
  <c r="N20" i="68" s="1"/>
  <c r="D20" i="68"/>
  <c r="B20" i="68"/>
  <c r="Z19" i="68"/>
  <c r="P19" i="68"/>
  <c r="X19" i="68" s="1"/>
  <c r="N19" i="68"/>
  <c r="L19" i="68"/>
  <c r="D19" i="68"/>
  <c r="B19" i="68"/>
  <c r="Z18" i="68"/>
  <c r="P18" i="68"/>
  <c r="X18" i="68" s="1"/>
  <c r="N18" i="68"/>
  <c r="L18" i="68"/>
  <c r="D18" i="68"/>
  <c r="B18" i="68"/>
  <c r="Z17" i="68"/>
  <c r="P17" i="68"/>
  <c r="X17" i="68" s="1"/>
  <c r="N17" i="68"/>
  <c r="L17" i="68"/>
  <c r="D17" i="68"/>
  <c r="B17" i="68"/>
  <c r="Z16" i="68"/>
  <c r="P16" i="68"/>
  <c r="X16" i="68" s="1"/>
  <c r="N16" i="68"/>
  <c r="L16" i="68"/>
  <c r="D16" i="68"/>
  <c r="B16" i="68"/>
  <c r="Z15" i="68"/>
  <c r="P15" i="68"/>
  <c r="X15" i="68" s="1"/>
  <c r="N15" i="68"/>
  <c r="D15" i="68"/>
  <c r="L15" i="68" s="1"/>
  <c r="B15" i="68"/>
  <c r="Z14" i="68"/>
  <c r="P14" i="68"/>
  <c r="X14" i="68" s="1"/>
  <c r="N14" i="68"/>
  <c r="L14" i="68"/>
  <c r="D14" i="68"/>
  <c r="B14" i="68"/>
  <c r="Z13" i="68"/>
  <c r="X13" i="68"/>
  <c r="P13" i="68"/>
  <c r="N13" i="68"/>
  <c r="D13" i="68"/>
  <c r="B13" i="68"/>
  <c r="T12" i="68"/>
  <c r="H12" i="68"/>
  <c r="J77" i="68" s="1"/>
  <c r="D6" i="68"/>
  <c r="D4" i="68"/>
  <c r="J107" i="63"/>
  <c r="J104" i="63"/>
  <c r="Z102" i="63"/>
  <c r="X102" i="63"/>
  <c r="N102" i="63"/>
  <c r="L102" i="63"/>
  <c r="Z98" i="63"/>
  <c r="P98" i="63"/>
  <c r="X98" i="63" s="1"/>
  <c r="D98" i="63"/>
  <c r="L98" i="63" s="1"/>
  <c r="N98" i="63" s="1"/>
  <c r="B98" i="63"/>
  <c r="X97" i="63"/>
  <c r="Z97" i="63" s="1"/>
  <c r="P97" i="63"/>
  <c r="D97" i="63"/>
  <c r="L97" i="63" s="1"/>
  <c r="N97" i="63" s="1"/>
  <c r="B97" i="63"/>
  <c r="X96" i="63"/>
  <c r="Z96" i="63" s="1"/>
  <c r="V96" i="63"/>
  <c r="T96" i="63"/>
  <c r="P96" i="63"/>
  <c r="H96" i="63"/>
  <c r="N96" i="63" s="1"/>
  <c r="D96" i="63"/>
  <c r="L96" i="63" s="1"/>
  <c r="X94" i="63"/>
  <c r="Z94" i="63" s="1"/>
  <c r="V94" i="63"/>
  <c r="L94" i="63"/>
  <c r="N94" i="63" s="1"/>
  <c r="B94" i="63"/>
  <c r="V93" i="63"/>
  <c r="T93" i="63"/>
  <c r="Z93" i="63" s="1"/>
  <c r="P93" i="63"/>
  <c r="X93" i="63" s="1"/>
  <c r="L93" i="63"/>
  <c r="H93" i="63"/>
  <c r="N93" i="63" s="1"/>
  <c r="D93" i="63"/>
  <c r="B93" i="63"/>
  <c r="Z92" i="63"/>
  <c r="X92" i="63"/>
  <c r="N92" i="63"/>
  <c r="L92" i="63"/>
  <c r="B92" i="63"/>
  <c r="Z91" i="63"/>
  <c r="X91" i="63"/>
  <c r="N91" i="63"/>
  <c r="L91" i="63"/>
  <c r="F91" i="63"/>
  <c r="B91" i="63"/>
  <c r="Z90" i="63"/>
  <c r="X90" i="63"/>
  <c r="T90" i="63"/>
  <c r="P90" i="63"/>
  <c r="L90" i="63"/>
  <c r="H90" i="63"/>
  <c r="N90" i="63" s="1"/>
  <c r="D90" i="63"/>
  <c r="B90" i="63"/>
  <c r="Z89" i="63"/>
  <c r="X89" i="63"/>
  <c r="N89" i="63"/>
  <c r="L89" i="63"/>
  <c r="J89" i="63"/>
  <c r="B89" i="63"/>
  <c r="Z88" i="63"/>
  <c r="T88" i="63"/>
  <c r="P88" i="63"/>
  <c r="X88" i="63" s="1"/>
  <c r="H88" i="63"/>
  <c r="N88" i="63" s="1"/>
  <c r="D88" i="63"/>
  <c r="L88" i="63" s="1"/>
  <c r="B88" i="63"/>
  <c r="X87" i="63"/>
  <c r="Z87" i="63" s="1"/>
  <c r="N87" i="63"/>
  <c r="L87" i="63"/>
  <c r="B87" i="63"/>
  <c r="X86" i="63"/>
  <c r="Z86" i="63" s="1"/>
  <c r="V86" i="63"/>
  <c r="T86" i="63"/>
  <c r="P86" i="63"/>
  <c r="H86" i="63"/>
  <c r="D86" i="63"/>
  <c r="L86" i="63" s="1"/>
  <c r="B86" i="63"/>
  <c r="X85" i="63"/>
  <c r="Z85" i="63" s="1"/>
  <c r="N85" i="63"/>
  <c r="L85" i="63"/>
  <c r="B85" i="63"/>
  <c r="X84" i="63"/>
  <c r="Z84" i="63" s="1"/>
  <c r="R84" i="63"/>
  <c r="N84" i="63"/>
  <c r="L84" i="63"/>
  <c r="B84" i="63"/>
  <c r="Z83" i="63"/>
  <c r="X83" i="63"/>
  <c r="N83" i="63"/>
  <c r="L83" i="63"/>
  <c r="B83" i="63"/>
  <c r="Z82" i="63"/>
  <c r="X82" i="63"/>
  <c r="N82" i="63"/>
  <c r="L82" i="63"/>
  <c r="B82" i="63"/>
  <c r="X81" i="63"/>
  <c r="Z81" i="63" s="1"/>
  <c r="N81" i="63"/>
  <c r="L81" i="63"/>
  <c r="B81" i="63"/>
  <c r="X80" i="63"/>
  <c r="Z80" i="63" s="1"/>
  <c r="R80" i="63"/>
  <c r="N80" i="63"/>
  <c r="L80" i="63"/>
  <c r="B80" i="63"/>
  <c r="Z79" i="63"/>
  <c r="X79" i="63"/>
  <c r="N79" i="63"/>
  <c r="L79" i="63"/>
  <c r="B79" i="63"/>
  <c r="X78" i="63"/>
  <c r="Z78" i="63" s="1"/>
  <c r="T78" i="63"/>
  <c r="P78" i="63"/>
  <c r="L78" i="63"/>
  <c r="H78" i="63"/>
  <c r="D78" i="63"/>
  <c r="B78" i="63"/>
  <c r="Z77" i="63"/>
  <c r="X77" i="63"/>
  <c r="L77" i="63"/>
  <c r="N77" i="63" s="1"/>
  <c r="J77" i="63"/>
  <c r="B77" i="63"/>
  <c r="T76" i="63"/>
  <c r="P76" i="63"/>
  <c r="X76" i="63" s="1"/>
  <c r="Z76" i="63" s="1"/>
  <c r="H76" i="63"/>
  <c r="D76" i="63"/>
  <c r="L76" i="63" s="1"/>
  <c r="B76" i="63"/>
  <c r="X75" i="63"/>
  <c r="Z75" i="63" s="1"/>
  <c r="N75" i="63"/>
  <c r="L75" i="63"/>
  <c r="B75" i="63"/>
  <c r="Z74" i="63"/>
  <c r="X74" i="63"/>
  <c r="V74" i="63"/>
  <c r="N74" i="63"/>
  <c r="L74" i="63"/>
  <c r="B74" i="63"/>
  <c r="X73" i="63"/>
  <c r="Z73" i="63" s="1"/>
  <c r="V73" i="63"/>
  <c r="L73" i="63"/>
  <c r="N73" i="63" s="1"/>
  <c r="B73" i="63"/>
  <c r="T72" i="63"/>
  <c r="Z72" i="63" s="1"/>
  <c r="P72" i="63"/>
  <c r="X72" i="63" s="1"/>
  <c r="L72" i="63"/>
  <c r="N72" i="63" s="1"/>
  <c r="J72" i="63"/>
  <c r="H72" i="63"/>
  <c r="D72" i="63"/>
  <c r="B72" i="63"/>
  <c r="Z71" i="63"/>
  <c r="X71" i="63"/>
  <c r="N71" i="63"/>
  <c r="L71" i="63"/>
  <c r="B71" i="63"/>
  <c r="X70" i="63"/>
  <c r="Z70" i="63" s="1"/>
  <c r="N70" i="63"/>
  <c r="L70" i="63"/>
  <c r="B70" i="63"/>
  <c r="Z69" i="63"/>
  <c r="X69" i="63"/>
  <c r="N69" i="63"/>
  <c r="L69" i="63"/>
  <c r="B69" i="63"/>
  <c r="X68" i="63"/>
  <c r="Z68" i="63" s="1"/>
  <c r="R68" i="63"/>
  <c r="N68" i="63"/>
  <c r="L68" i="63"/>
  <c r="B68" i="63"/>
  <c r="T67" i="63"/>
  <c r="R67" i="63"/>
  <c r="P67" i="63"/>
  <c r="L67" i="63"/>
  <c r="N67" i="63" s="1"/>
  <c r="H67" i="63"/>
  <c r="D67" i="63"/>
  <c r="B67" i="63"/>
  <c r="Z66" i="63"/>
  <c r="X66" i="63"/>
  <c r="V66" i="63"/>
  <c r="R66" i="63"/>
  <c r="L66" i="63"/>
  <c r="N66" i="63" s="1"/>
  <c r="J66" i="63"/>
  <c r="B66" i="63"/>
  <c r="T65" i="63"/>
  <c r="P65" i="63"/>
  <c r="X65" i="63" s="1"/>
  <c r="Z65" i="63" s="1"/>
  <c r="H65" i="63"/>
  <c r="D65" i="63"/>
  <c r="B65" i="63"/>
  <c r="X64" i="63"/>
  <c r="Z64" i="63" s="1"/>
  <c r="L64" i="63"/>
  <c r="N64" i="63" s="1"/>
  <c r="B64" i="63"/>
  <c r="X63" i="63"/>
  <c r="V63" i="63"/>
  <c r="T63" i="63"/>
  <c r="Z63" i="63" s="1"/>
  <c r="P63" i="63"/>
  <c r="J63" i="63"/>
  <c r="H63" i="63"/>
  <c r="D63" i="63"/>
  <c r="L63" i="63" s="1"/>
  <c r="N63" i="63" s="1"/>
  <c r="B63" i="63"/>
  <c r="X62" i="63"/>
  <c r="Z62" i="63" s="1"/>
  <c r="N62" i="63"/>
  <c r="L62" i="63"/>
  <c r="B62" i="63"/>
  <c r="X61" i="63"/>
  <c r="Z61" i="63" s="1"/>
  <c r="T61" i="63"/>
  <c r="P61" i="63"/>
  <c r="H61" i="63"/>
  <c r="D61" i="63"/>
  <c r="B61" i="63"/>
  <c r="Z60" i="63"/>
  <c r="X60" i="63"/>
  <c r="V60" i="63"/>
  <c r="L60" i="63"/>
  <c r="N60" i="63" s="1"/>
  <c r="B60" i="63"/>
  <c r="V59" i="63"/>
  <c r="T59" i="63"/>
  <c r="P59" i="63"/>
  <c r="H59" i="63"/>
  <c r="D59" i="63"/>
  <c r="L59" i="63" s="1"/>
  <c r="N59" i="63" s="1"/>
  <c r="B59" i="63"/>
  <c r="X58" i="63"/>
  <c r="Z58" i="63" s="1"/>
  <c r="V58" i="63"/>
  <c r="L58" i="63"/>
  <c r="N58" i="63" s="1"/>
  <c r="B58" i="63"/>
  <c r="V57" i="63"/>
  <c r="T57" i="63"/>
  <c r="R57" i="63"/>
  <c r="P57" i="63"/>
  <c r="X57" i="63" s="1"/>
  <c r="L57" i="63"/>
  <c r="H57" i="63"/>
  <c r="N57" i="63" s="1"/>
  <c r="D57" i="63"/>
  <c r="B57" i="63"/>
  <c r="X56" i="63"/>
  <c r="Z56" i="63" s="1"/>
  <c r="R56" i="63"/>
  <c r="N56" i="63"/>
  <c r="L56" i="63"/>
  <c r="B56" i="63"/>
  <c r="T55" i="63"/>
  <c r="R55" i="63"/>
  <c r="P55" i="63"/>
  <c r="L55" i="63"/>
  <c r="N55" i="63" s="1"/>
  <c r="H55" i="63"/>
  <c r="D55" i="63"/>
  <c r="B55" i="63"/>
  <c r="Z54" i="63"/>
  <c r="X54" i="63"/>
  <c r="V54" i="63"/>
  <c r="R54" i="63"/>
  <c r="L54" i="63"/>
  <c r="N54" i="63" s="1"/>
  <c r="J54" i="63"/>
  <c r="B54" i="63"/>
  <c r="T53" i="63"/>
  <c r="P53" i="63"/>
  <c r="X53" i="63" s="1"/>
  <c r="Z53" i="63" s="1"/>
  <c r="N53" i="63"/>
  <c r="J53" i="63"/>
  <c r="H53" i="63"/>
  <c r="D53" i="63"/>
  <c r="L53" i="63" s="1"/>
  <c r="B53" i="63"/>
  <c r="X52" i="63"/>
  <c r="Z52" i="63" s="1"/>
  <c r="L52" i="63"/>
  <c r="N52" i="63" s="1"/>
  <c r="B52" i="63"/>
  <c r="X51" i="63"/>
  <c r="V51" i="63"/>
  <c r="T51" i="63"/>
  <c r="Z51" i="63" s="1"/>
  <c r="P51" i="63"/>
  <c r="J51" i="63"/>
  <c r="H51" i="63"/>
  <c r="N51" i="63" s="1"/>
  <c r="D51" i="63"/>
  <c r="L51" i="63" s="1"/>
  <c r="B51" i="63"/>
  <c r="X50" i="63"/>
  <c r="Z50" i="63" s="1"/>
  <c r="N50" i="63"/>
  <c r="L50" i="63"/>
  <c r="B50" i="63"/>
  <c r="Z49" i="63"/>
  <c r="X49" i="63"/>
  <c r="N49" i="63"/>
  <c r="L49" i="63"/>
  <c r="B49" i="63"/>
  <c r="X48" i="63"/>
  <c r="T48" i="63"/>
  <c r="Z48" i="63" s="1"/>
  <c r="R48" i="63"/>
  <c r="P48" i="63"/>
  <c r="L48" i="63"/>
  <c r="N48" i="63" s="1"/>
  <c r="H48" i="63"/>
  <c r="D48" i="63"/>
  <c r="B48" i="63"/>
  <c r="Z47" i="63"/>
  <c r="X47" i="63"/>
  <c r="V47" i="63"/>
  <c r="R47" i="63"/>
  <c r="L47" i="63"/>
  <c r="N47" i="63" s="1"/>
  <c r="B47" i="63"/>
  <c r="V46" i="63"/>
  <c r="T46" i="63"/>
  <c r="P46" i="63"/>
  <c r="X46" i="63" s="1"/>
  <c r="N46" i="63"/>
  <c r="H46" i="63"/>
  <c r="D46" i="63"/>
  <c r="L46" i="63" s="1"/>
  <c r="B46" i="63"/>
  <c r="X45" i="63"/>
  <c r="Z45" i="63" s="1"/>
  <c r="V45" i="63"/>
  <c r="L45" i="63"/>
  <c r="N45" i="63" s="1"/>
  <c r="B45" i="63"/>
  <c r="X44" i="63"/>
  <c r="Z44" i="63" s="1"/>
  <c r="L44" i="63"/>
  <c r="N44" i="63" s="1"/>
  <c r="B44" i="63"/>
  <c r="X43" i="63"/>
  <c r="V43" i="63"/>
  <c r="T43" i="63"/>
  <c r="Z43" i="63" s="1"/>
  <c r="P43" i="63"/>
  <c r="J43" i="63"/>
  <c r="H43" i="63"/>
  <c r="D43" i="63"/>
  <c r="L43" i="63" s="1"/>
  <c r="B43" i="63"/>
  <c r="Z42" i="63"/>
  <c r="X42" i="63"/>
  <c r="N42" i="63"/>
  <c r="L42" i="63"/>
  <c r="B42" i="63"/>
  <c r="Z41" i="63"/>
  <c r="X41" i="63"/>
  <c r="T41" i="63"/>
  <c r="P41" i="63"/>
  <c r="H41" i="63"/>
  <c r="N41" i="63" s="1"/>
  <c r="D41" i="63"/>
  <c r="B41" i="63"/>
  <c r="Z40" i="63"/>
  <c r="X40" i="63"/>
  <c r="V40" i="63"/>
  <c r="N40" i="63"/>
  <c r="L40" i="63"/>
  <c r="B40" i="63"/>
  <c r="Z39" i="63"/>
  <c r="X39" i="63"/>
  <c r="V39" i="63"/>
  <c r="R39" i="63"/>
  <c r="N39" i="63"/>
  <c r="L39" i="63"/>
  <c r="B39" i="63"/>
  <c r="Z38" i="63"/>
  <c r="X38" i="63"/>
  <c r="V38" i="63"/>
  <c r="R38" i="63"/>
  <c r="L38" i="63"/>
  <c r="N38" i="63" s="1"/>
  <c r="J38" i="63"/>
  <c r="B38" i="63"/>
  <c r="Z37" i="63"/>
  <c r="X37" i="63"/>
  <c r="V37" i="63"/>
  <c r="N37" i="63"/>
  <c r="L37" i="63"/>
  <c r="J37" i="63"/>
  <c r="B37" i="63"/>
  <c r="Z36" i="63"/>
  <c r="X36" i="63"/>
  <c r="V36" i="63"/>
  <c r="N36" i="63"/>
  <c r="L36" i="63"/>
  <c r="B36" i="63"/>
  <c r="Z35" i="63"/>
  <c r="X35" i="63"/>
  <c r="V35" i="63"/>
  <c r="R35" i="63"/>
  <c r="N35" i="63"/>
  <c r="L35" i="63"/>
  <c r="B35" i="63"/>
  <c r="Z34" i="63"/>
  <c r="X34" i="63"/>
  <c r="V34" i="63"/>
  <c r="R34" i="63"/>
  <c r="L34" i="63"/>
  <c r="N34" i="63" s="1"/>
  <c r="J34" i="63"/>
  <c r="B34" i="63"/>
  <c r="Z33" i="63"/>
  <c r="X33" i="63"/>
  <c r="V33" i="63"/>
  <c r="N33" i="63"/>
  <c r="L33" i="63"/>
  <c r="J33" i="63"/>
  <c r="B33" i="63"/>
  <c r="Z32" i="63"/>
  <c r="X32" i="63"/>
  <c r="V32" i="63"/>
  <c r="L32" i="63"/>
  <c r="N32" i="63" s="1"/>
  <c r="B32" i="63"/>
  <c r="Z31" i="63"/>
  <c r="X31" i="63"/>
  <c r="V31" i="63"/>
  <c r="R31" i="63"/>
  <c r="L31" i="63"/>
  <c r="N31" i="63" s="1"/>
  <c r="B31" i="63"/>
  <c r="V30" i="63"/>
  <c r="T30" i="63"/>
  <c r="P30" i="63"/>
  <c r="N30" i="63"/>
  <c r="H30" i="63"/>
  <c r="D30" i="63"/>
  <c r="L30" i="63" s="1"/>
  <c r="B30" i="63"/>
  <c r="Z29" i="63"/>
  <c r="X29" i="63"/>
  <c r="V29" i="63"/>
  <c r="N29" i="63"/>
  <c r="L29" i="63"/>
  <c r="B29" i="63"/>
  <c r="X28" i="63"/>
  <c r="Z28" i="63" s="1"/>
  <c r="V28" i="63"/>
  <c r="L28" i="63"/>
  <c r="N28" i="63" s="1"/>
  <c r="B28" i="63"/>
  <c r="X27" i="63"/>
  <c r="Z27" i="63" s="1"/>
  <c r="V27" i="63"/>
  <c r="N27" i="63"/>
  <c r="L27" i="63"/>
  <c r="B27" i="63"/>
  <c r="Z26" i="63"/>
  <c r="X26" i="63"/>
  <c r="V26" i="63"/>
  <c r="N26" i="63"/>
  <c r="L26" i="63"/>
  <c r="B26" i="63"/>
  <c r="Z25" i="63"/>
  <c r="X25" i="63"/>
  <c r="V25" i="63"/>
  <c r="N25" i="63"/>
  <c r="L25" i="63"/>
  <c r="B25" i="63"/>
  <c r="X24" i="63"/>
  <c r="Z24" i="63" s="1"/>
  <c r="V24" i="63"/>
  <c r="L24" i="63"/>
  <c r="N24" i="63" s="1"/>
  <c r="B24" i="63"/>
  <c r="X23" i="63"/>
  <c r="Z23" i="63" s="1"/>
  <c r="V23" i="63"/>
  <c r="N23" i="63"/>
  <c r="L23" i="63"/>
  <c r="B23" i="63"/>
  <c r="X22" i="63"/>
  <c r="Z22" i="63" s="1"/>
  <c r="V22" i="63"/>
  <c r="L22" i="63"/>
  <c r="N22" i="63" s="1"/>
  <c r="B22" i="63"/>
  <c r="X21" i="63"/>
  <c r="Z21" i="63" s="1"/>
  <c r="V21" i="63"/>
  <c r="L21" i="63"/>
  <c r="N21" i="63" s="1"/>
  <c r="B21" i="63"/>
  <c r="X20" i="63"/>
  <c r="Z20" i="63" s="1"/>
  <c r="V20" i="63"/>
  <c r="L20" i="63"/>
  <c r="N20" i="63" s="1"/>
  <c r="B20" i="63"/>
  <c r="X19" i="63"/>
  <c r="V19" i="63"/>
  <c r="T19" i="63"/>
  <c r="Z19" i="63" s="1"/>
  <c r="P19" i="63"/>
  <c r="J19" i="63"/>
  <c r="H19" i="63"/>
  <c r="D19" i="63"/>
  <c r="L19" i="63" s="1"/>
  <c r="B19" i="63"/>
  <c r="T18" i="63"/>
  <c r="P18" i="63"/>
  <c r="H18" i="63"/>
  <c r="D18" i="63"/>
  <c r="L18" i="63" s="1"/>
  <c r="T14" i="63"/>
  <c r="Z14" i="63" s="1"/>
  <c r="P14" i="63"/>
  <c r="H14" i="63"/>
  <c r="N14" i="63" s="1"/>
  <c r="D14" i="63"/>
  <c r="Z12" i="63"/>
  <c r="T12" i="63"/>
  <c r="V100" i="63" s="1"/>
  <c r="P12" i="63"/>
  <c r="R97" i="63" s="1"/>
  <c r="H12" i="63"/>
  <c r="J92" i="63" s="1"/>
  <c r="D12" i="63"/>
  <c r="F70" i="63" s="1"/>
  <c r="D6" i="63"/>
  <c r="D4" i="63"/>
  <c r="V29" i="62"/>
  <c r="J29" i="62"/>
  <c r="V26" i="62"/>
  <c r="J26" i="62"/>
  <c r="Z24" i="62"/>
  <c r="X24" i="62"/>
  <c r="V24" i="62"/>
  <c r="N24" i="62"/>
  <c r="L24" i="62"/>
  <c r="R22" i="62"/>
  <c r="X20" i="62"/>
  <c r="T20" i="62"/>
  <c r="Z20" i="62" s="1"/>
  <c r="P20" i="62"/>
  <c r="H20" i="62"/>
  <c r="N20" i="62" s="1"/>
  <c r="D20" i="62"/>
  <c r="X18" i="62"/>
  <c r="T18" i="62"/>
  <c r="Z18" i="62" s="1"/>
  <c r="R18" i="62"/>
  <c r="P18" i="62"/>
  <c r="H18" i="62"/>
  <c r="N18" i="62" s="1"/>
  <c r="D18" i="62"/>
  <c r="X14" i="62"/>
  <c r="T14" i="62"/>
  <c r="Z14" i="62" s="1"/>
  <c r="P14" i="62"/>
  <c r="H14" i="62"/>
  <c r="N14" i="62" s="1"/>
  <c r="D14" i="62"/>
  <c r="Z12" i="62"/>
  <c r="X12" i="62"/>
  <c r="T12" i="62"/>
  <c r="V22" i="62" s="1"/>
  <c r="P12" i="62"/>
  <c r="R20" i="62" s="1"/>
  <c r="N12" i="62"/>
  <c r="H12" i="62"/>
  <c r="J22" i="62" s="1"/>
  <c r="D12" i="62"/>
  <c r="F22" i="62" s="1"/>
  <c r="D6" i="62"/>
  <c r="D4" i="62"/>
  <c r="Z62" i="61"/>
  <c r="X62" i="61"/>
  <c r="R62" i="61"/>
  <c r="N62" i="61"/>
  <c r="L62" i="61"/>
  <c r="J62" i="61"/>
  <c r="F60" i="61"/>
  <c r="T58" i="61"/>
  <c r="Z58" i="61" s="1"/>
  <c r="P58" i="61"/>
  <c r="L58" i="61"/>
  <c r="H58" i="61"/>
  <c r="N58" i="61" s="1"/>
  <c r="F58" i="61"/>
  <c r="D58" i="61"/>
  <c r="X56" i="61"/>
  <c r="Z56" i="61" s="1"/>
  <c r="N56" i="61"/>
  <c r="L56" i="61"/>
  <c r="J56" i="61"/>
  <c r="F56" i="61"/>
  <c r="B56" i="61"/>
  <c r="Z55" i="61"/>
  <c r="X55" i="61"/>
  <c r="T55" i="61"/>
  <c r="P55" i="61"/>
  <c r="H55" i="61"/>
  <c r="N55" i="61" s="1"/>
  <c r="F55" i="61"/>
  <c r="D55" i="61"/>
  <c r="B55" i="61"/>
  <c r="Z54" i="61"/>
  <c r="X54" i="61"/>
  <c r="N54" i="61"/>
  <c r="L54" i="61"/>
  <c r="B54" i="61"/>
  <c r="Z53" i="61"/>
  <c r="X53" i="61"/>
  <c r="V53" i="61"/>
  <c r="R53" i="61"/>
  <c r="N53" i="61"/>
  <c r="L53" i="61"/>
  <c r="B53" i="61"/>
  <c r="V52" i="61"/>
  <c r="T52" i="61"/>
  <c r="P52" i="61"/>
  <c r="N52" i="61"/>
  <c r="H52" i="61"/>
  <c r="D52" i="61"/>
  <c r="L52" i="61" s="1"/>
  <c r="B52" i="61"/>
  <c r="X51" i="61"/>
  <c r="Z51" i="61" s="1"/>
  <c r="V51" i="61"/>
  <c r="L51" i="61"/>
  <c r="N51" i="61" s="1"/>
  <c r="B51" i="61"/>
  <c r="T50" i="61"/>
  <c r="P50" i="61"/>
  <c r="X50" i="61" s="1"/>
  <c r="L50" i="61"/>
  <c r="J50" i="61"/>
  <c r="H50" i="61"/>
  <c r="N50" i="61" s="1"/>
  <c r="D50" i="61"/>
  <c r="B50" i="61"/>
  <c r="Z49" i="61"/>
  <c r="X49" i="61"/>
  <c r="N49" i="61"/>
  <c r="L49" i="61"/>
  <c r="J49" i="61"/>
  <c r="F49" i="61"/>
  <c r="B49" i="61"/>
  <c r="T48" i="61"/>
  <c r="P48" i="61"/>
  <c r="L48" i="61"/>
  <c r="H48" i="61"/>
  <c r="N48" i="61" s="1"/>
  <c r="F48" i="61"/>
  <c r="D48" i="61"/>
  <c r="B48" i="61"/>
  <c r="Z47" i="61"/>
  <c r="X47" i="61"/>
  <c r="L47" i="61"/>
  <c r="N47" i="61" s="1"/>
  <c r="J47" i="61"/>
  <c r="B47" i="61"/>
  <c r="T46" i="61"/>
  <c r="P46" i="61"/>
  <c r="X46" i="61" s="1"/>
  <c r="Z46" i="61" s="1"/>
  <c r="J46" i="61"/>
  <c r="H46" i="61"/>
  <c r="D46" i="61"/>
  <c r="B46" i="61"/>
  <c r="X45" i="61"/>
  <c r="Z45" i="61" s="1"/>
  <c r="N45" i="61"/>
  <c r="L45" i="61"/>
  <c r="F45" i="61"/>
  <c r="B45" i="61"/>
  <c r="X44" i="61"/>
  <c r="V44" i="61"/>
  <c r="T44" i="61"/>
  <c r="Z44" i="61" s="1"/>
  <c r="P44" i="61"/>
  <c r="H44" i="61"/>
  <c r="N44" i="61" s="1"/>
  <c r="F44" i="61"/>
  <c r="D44" i="61"/>
  <c r="L44" i="61" s="1"/>
  <c r="B44" i="61"/>
  <c r="Z43" i="61"/>
  <c r="X43" i="61"/>
  <c r="N43" i="61"/>
  <c r="L43" i="61"/>
  <c r="J43" i="61"/>
  <c r="B43" i="61"/>
  <c r="X42" i="61"/>
  <c r="T42" i="61"/>
  <c r="R42" i="61"/>
  <c r="P42" i="61"/>
  <c r="H42" i="61"/>
  <c r="D42" i="61"/>
  <c r="B42" i="61"/>
  <c r="Z41" i="61"/>
  <c r="X41" i="61"/>
  <c r="V41" i="61"/>
  <c r="R41" i="61"/>
  <c r="L41" i="61"/>
  <c r="N41" i="61" s="1"/>
  <c r="B41" i="61"/>
  <c r="V40" i="61"/>
  <c r="T40" i="61"/>
  <c r="P40" i="61"/>
  <c r="H40" i="61"/>
  <c r="D40" i="61"/>
  <c r="L40" i="61" s="1"/>
  <c r="N40" i="61" s="1"/>
  <c r="B40" i="61"/>
  <c r="Z39" i="61"/>
  <c r="X39" i="61"/>
  <c r="V39" i="61"/>
  <c r="N39" i="61"/>
  <c r="L39" i="61"/>
  <c r="B39" i="61"/>
  <c r="Z38" i="61"/>
  <c r="X38" i="61"/>
  <c r="N38" i="61"/>
  <c r="L38" i="61"/>
  <c r="F38" i="61"/>
  <c r="B38" i="61"/>
  <c r="X37" i="61"/>
  <c r="Z37" i="61" s="1"/>
  <c r="N37" i="61"/>
  <c r="L37" i="61"/>
  <c r="F37" i="61"/>
  <c r="B37" i="61"/>
  <c r="X36" i="61"/>
  <c r="Z36" i="61" s="1"/>
  <c r="V36" i="61"/>
  <c r="N36" i="61"/>
  <c r="L36" i="61"/>
  <c r="F36" i="61"/>
  <c r="B36" i="61"/>
  <c r="Z35" i="61"/>
  <c r="X35" i="61"/>
  <c r="V35" i="61"/>
  <c r="N35" i="61"/>
  <c r="L35" i="61"/>
  <c r="B35" i="61"/>
  <c r="Z34" i="61"/>
  <c r="X34" i="61"/>
  <c r="N34" i="61"/>
  <c r="L34" i="61"/>
  <c r="F34" i="61"/>
  <c r="B34" i="61"/>
  <c r="X33" i="61"/>
  <c r="Z33" i="61" s="1"/>
  <c r="N33" i="61"/>
  <c r="L33" i="61"/>
  <c r="F33" i="61"/>
  <c r="B33" i="61"/>
  <c r="Z32" i="61"/>
  <c r="X32" i="61"/>
  <c r="V32" i="61"/>
  <c r="N32" i="61"/>
  <c r="L32" i="61"/>
  <c r="F32" i="61"/>
  <c r="B32" i="61"/>
  <c r="Z31" i="61"/>
  <c r="X31" i="61"/>
  <c r="V31" i="61"/>
  <c r="N31" i="61"/>
  <c r="L31" i="61"/>
  <c r="B31" i="61"/>
  <c r="Z30" i="61"/>
  <c r="X30" i="61"/>
  <c r="N30" i="61"/>
  <c r="L30" i="61"/>
  <c r="F30" i="61"/>
  <c r="B30" i="61"/>
  <c r="X29" i="61"/>
  <c r="Z29" i="61" s="1"/>
  <c r="V29" i="61"/>
  <c r="T29" i="61"/>
  <c r="P29" i="61"/>
  <c r="J29" i="61"/>
  <c r="H29" i="61"/>
  <c r="F29" i="61"/>
  <c r="D29" i="61"/>
  <c r="L29" i="61" s="1"/>
  <c r="N29" i="61" s="1"/>
  <c r="B29" i="61"/>
  <c r="X28" i="61"/>
  <c r="Z28" i="61" s="1"/>
  <c r="L28" i="61"/>
  <c r="N28" i="61" s="1"/>
  <c r="J28" i="61"/>
  <c r="F28" i="61"/>
  <c r="B28" i="61"/>
  <c r="Z27" i="61"/>
  <c r="X27" i="61"/>
  <c r="N27" i="61"/>
  <c r="L27" i="61"/>
  <c r="J27" i="61"/>
  <c r="B27" i="61"/>
  <c r="X26" i="61"/>
  <c r="Z26" i="61" s="1"/>
  <c r="R26" i="61"/>
  <c r="N26" i="61"/>
  <c r="L26" i="61"/>
  <c r="J26" i="61"/>
  <c r="F26" i="61"/>
  <c r="B26" i="61"/>
  <c r="Z25" i="61"/>
  <c r="X25" i="61"/>
  <c r="R25" i="61"/>
  <c r="N25" i="61"/>
  <c r="L25" i="61"/>
  <c r="J25" i="61"/>
  <c r="F25" i="61"/>
  <c r="B25" i="61"/>
  <c r="Z24" i="61"/>
  <c r="X24" i="61"/>
  <c r="N24" i="61"/>
  <c r="L24" i="61"/>
  <c r="J24" i="61"/>
  <c r="F24" i="61"/>
  <c r="B24" i="61"/>
  <c r="X23" i="61"/>
  <c r="Z23" i="61" s="1"/>
  <c r="N23" i="61"/>
  <c r="L23" i="61"/>
  <c r="J23" i="61"/>
  <c r="B23" i="61"/>
  <c r="X22" i="61"/>
  <c r="Z22" i="61" s="1"/>
  <c r="R22" i="61"/>
  <c r="N22" i="61"/>
  <c r="L22" i="61"/>
  <c r="J22" i="61"/>
  <c r="F22" i="61"/>
  <c r="B22" i="61"/>
  <c r="Z21" i="61"/>
  <c r="X21" i="61"/>
  <c r="R21" i="61"/>
  <c r="N21" i="61"/>
  <c r="L21" i="61"/>
  <c r="J21" i="61"/>
  <c r="F21" i="61"/>
  <c r="B21" i="61"/>
  <c r="X20" i="61"/>
  <c r="Z20" i="61" s="1"/>
  <c r="L20" i="61"/>
  <c r="N20" i="61" s="1"/>
  <c r="J20" i="61"/>
  <c r="F20" i="61"/>
  <c r="B20" i="61"/>
  <c r="Z19" i="61"/>
  <c r="X19" i="61"/>
  <c r="T19" i="61"/>
  <c r="P19" i="61"/>
  <c r="J19" i="61"/>
  <c r="H19" i="61"/>
  <c r="F19" i="61"/>
  <c r="D19" i="61"/>
  <c r="B19" i="61"/>
  <c r="T18" i="61"/>
  <c r="P18" i="61"/>
  <c r="J18" i="61"/>
  <c r="H18" i="61"/>
  <c r="D18" i="61"/>
  <c r="L18" i="61" s="1"/>
  <c r="J16" i="61"/>
  <c r="D16" i="61"/>
  <c r="Z14" i="61"/>
  <c r="T14" i="61"/>
  <c r="T16" i="61" s="1"/>
  <c r="P14" i="61"/>
  <c r="P16" i="61" s="1"/>
  <c r="J14" i="61"/>
  <c r="H14" i="61"/>
  <c r="N14" i="61" s="1"/>
  <c r="D14" i="61"/>
  <c r="Z12" i="61"/>
  <c r="T12" i="61"/>
  <c r="V54" i="61" s="1"/>
  <c r="P12" i="61"/>
  <c r="R44" i="61" s="1"/>
  <c r="L12" i="61"/>
  <c r="H12" i="61"/>
  <c r="J67" i="61" s="1"/>
  <c r="D12" i="61"/>
  <c r="F51" i="61" s="1"/>
  <c r="D6" i="61"/>
  <c r="D4" i="61"/>
  <c r="V65" i="60"/>
  <c r="V62" i="60"/>
  <c r="Z60" i="60"/>
  <c r="X60" i="60"/>
  <c r="V60" i="60"/>
  <c r="N60" i="60"/>
  <c r="L60" i="60"/>
  <c r="V58" i="60"/>
  <c r="V56" i="60"/>
  <c r="T56" i="60"/>
  <c r="Z56" i="60" s="1"/>
  <c r="P56" i="60"/>
  <c r="X56" i="60" s="1"/>
  <c r="N56" i="60"/>
  <c r="H56" i="60"/>
  <c r="D56" i="60"/>
  <c r="L56" i="60" s="1"/>
  <c r="X54" i="60"/>
  <c r="Z54" i="60" s="1"/>
  <c r="V54" i="60"/>
  <c r="R54" i="60"/>
  <c r="L54" i="60"/>
  <c r="N54" i="60" s="1"/>
  <c r="J54" i="60"/>
  <c r="B54" i="60"/>
  <c r="V53" i="60"/>
  <c r="T53" i="60"/>
  <c r="P53" i="60"/>
  <c r="X53" i="60" s="1"/>
  <c r="Z53" i="60" s="1"/>
  <c r="J53" i="60"/>
  <c r="H53" i="60"/>
  <c r="D53" i="60"/>
  <c r="L53" i="60" s="1"/>
  <c r="N53" i="60" s="1"/>
  <c r="B53" i="60"/>
  <c r="X52" i="60"/>
  <c r="Z52" i="60" s="1"/>
  <c r="N52" i="60"/>
  <c r="L52" i="60"/>
  <c r="B52" i="60"/>
  <c r="Z51" i="60"/>
  <c r="X51" i="60"/>
  <c r="V51" i="60"/>
  <c r="N51" i="60"/>
  <c r="L51" i="60"/>
  <c r="B51" i="60"/>
  <c r="Z50" i="60"/>
  <c r="X50" i="60"/>
  <c r="V50" i="60"/>
  <c r="N50" i="60"/>
  <c r="L50" i="60"/>
  <c r="B50" i="60"/>
  <c r="V49" i="60"/>
  <c r="T49" i="60"/>
  <c r="P49" i="60"/>
  <c r="X49" i="60" s="1"/>
  <c r="Z49" i="60" s="1"/>
  <c r="N49" i="60"/>
  <c r="L49" i="60"/>
  <c r="H49" i="60"/>
  <c r="D49" i="60"/>
  <c r="B49" i="60"/>
  <c r="X48" i="60"/>
  <c r="Z48" i="60" s="1"/>
  <c r="N48" i="60"/>
  <c r="L48" i="60"/>
  <c r="B48" i="60"/>
  <c r="T47" i="60"/>
  <c r="P47" i="60"/>
  <c r="L47" i="60"/>
  <c r="N47" i="60" s="1"/>
  <c r="H47" i="60"/>
  <c r="D47" i="60"/>
  <c r="B47" i="60"/>
  <c r="Z46" i="60"/>
  <c r="X46" i="60"/>
  <c r="V46" i="60"/>
  <c r="N46" i="60"/>
  <c r="L46" i="60"/>
  <c r="J46" i="60"/>
  <c r="B46" i="60"/>
  <c r="Z45" i="60"/>
  <c r="X45" i="60"/>
  <c r="V45" i="60"/>
  <c r="L45" i="60"/>
  <c r="N45" i="60" s="1"/>
  <c r="J45" i="60"/>
  <c r="B45" i="60"/>
  <c r="T44" i="60"/>
  <c r="P44" i="60"/>
  <c r="X44" i="60" s="1"/>
  <c r="Z44" i="60" s="1"/>
  <c r="H44" i="60"/>
  <c r="D44" i="60"/>
  <c r="B44" i="60"/>
  <c r="X43" i="60"/>
  <c r="Z43" i="60" s="1"/>
  <c r="V43" i="60"/>
  <c r="N43" i="60"/>
  <c r="L43" i="60"/>
  <c r="B43" i="60"/>
  <c r="X42" i="60"/>
  <c r="V42" i="60"/>
  <c r="T42" i="60"/>
  <c r="P42" i="60"/>
  <c r="H42" i="60"/>
  <c r="D42" i="60"/>
  <c r="L42" i="60" s="1"/>
  <c r="B42" i="60"/>
  <c r="Z41" i="60"/>
  <c r="X41" i="60"/>
  <c r="N41" i="60"/>
  <c r="L41" i="60"/>
  <c r="J41" i="60"/>
  <c r="B41" i="60"/>
  <c r="T40" i="60"/>
  <c r="X40" i="60" s="1"/>
  <c r="Z40" i="60" s="1"/>
  <c r="P40" i="60"/>
  <c r="H40" i="60"/>
  <c r="D40" i="60"/>
  <c r="B40" i="60"/>
  <c r="Z39" i="60"/>
  <c r="X39" i="60"/>
  <c r="V39" i="60"/>
  <c r="N39" i="60"/>
  <c r="L39" i="60"/>
  <c r="B39" i="60"/>
  <c r="Z38" i="60"/>
  <c r="X38" i="60"/>
  <c r="V38" i="60"/>
  <c r="N38" i="60"/>
  <c r="L38" i="60"/>
  <c r="J38" i="60"/>
  <c r="B38" i="60"/>
  <c r="Z37" i="60"/>
  <c r="X37" i="60"/>
  <c r="V37" i="60"/>
  <c r="N37" i="60"/>
  <c r="L37" i="60"/>
  <c r="J37" i="60"/>
  <c r="B37" i="60"/>
  <c r="Z36" i="60"/>
  <c r="X36" i="60"/>
  <c r="V36" i="60"/>
  <c r="N36" i="60"/>
  <c r="L36" i="60"/>
  <c r="B36" i="60"/>
  <c r="Z35" i="60"/>
  <c r="X35" i="60"/>
  <c r="V35" i="60"/>
  <c r="R35" i="60"/>
  <c r="N35" i="60"/>
  <c r="L35" i="60"/>
  <c r="B35" i="60"/>
  <c r="Z34" i="60"/>
  <c r="X34" i="60"/>
  <c r="V34" i="60"/>
  <c r="N34" i="60"/>
  <c r="L34" i="60"/>
  <c r="B34" i="60"/>
  <c r="Z33" i="60"/>
  <c r="X33" i="60"/>
  <c r="V33" i="60"/>
  <c r="L33" i="60"/>
  <c r="N33" i="60" s="1"/>
  <c r="B33" i="60"/>
  <c r="Z32" i="60"/>
  <c r="X32" i="60"/>
  <c r="V32" i="60"/>
  <c r="N32" i="60"/>
  <c r="L32" i="60"/>
  <c r="B32" i="60"/>
  <c r="Z31" i="60"/>
  <c r="X31" i="60"/>
  <c r="V31" i="60"/>
  <c r="N31" i="60"/>
  <c r="L31" i="60"/>
  <c r="B31" i="60"/>
  <c r="Z30" i="60"/>
  <c r="X30" i="60"/>
  <c r="V30" i="60"/>
  <c r="N30" i="60"/>
  <c r="L30" i="60"/>
  <c r="J30" i="60"/>
  <c r="B30" i="60"/>
  <c r="V29" i="60"/>
  <c r="T29" i="60"/>
  <c r="P29" i="60"/>
  <c r="X29" i="60" s="1"/>
  <c r="Z29" i="60" s="1"/>
  <c r="H29" i="60"/>
  <c r="D29" i="60"/>
  <c r="B29" i="60"/>
  <c r="Z28" i="60"/>
  <c r="X28" i="60"/>
  <c r="N28" i="60"/>
  <c r="L28" i="60"/>
  <c r="B28" i="60"/>
  <c r="X27" i="60"/>
  <c r="Z27" i="60" s="1"/>
  <c r="V27" i="60"/>
  <c r="N27" i="60"/>
  <c r="L27" i="60"/>
  <c r="B27" i="60"/>
  <c r="X26" i="60"/>
  <c r="Z26" i="60" s="1"/>
  <c r="V26" i="60"/>
  <c r="L26" i="60"/>
  <c r="N26" i="60" s="1"/>
  <c r="B26" i="60"/>
  <c r="Z25" i="60"/>
  <c r="X25" i="60"/>
  <c r="V25" i="60"/>
  <c r="N25" i="60"/>
  <c r="L25" i="60"/>
  <c r="B25" i="60"/>
  <c r="Z24" i="60"/>
  <c r="X24" i="60"/>
  <c r="V24" i="60"/>
  <c r="N24" i="60"/>
  <c r="L24" i="60"/>
  <c r="B24" i="60"/>
  <c r="X23" i="60"/>
  <c r="Z23" i="60" s="1"/>
  <c r="V23" i="60"/>
  <c r="N23" i="60"/>
  <c r="L23" i="60"/>
  <c r="B23" i="60"/>
  <c r="X22" i="60"/>
  <c r="Z22" i="60" s="1"/>
  <c r="V22" i="60"/>
  <c r="L22" i="60"/>
  <c r="N22" i="60" s="1"/>
  <c r="B22" i="60"/>
  <c r="X21" i="60"/>
  <c r="Z21" i="60" s="1"/>
  <c r="V21" i="60"/>
  <c r="N21" i="60"/>
  <c r="L21" i="60"/>
  <c r="B21" i="60"/>
  <c r="X20" i="60"/>
  <c r="Z20" i="60" s="1"/>
  <c r="V20" i="60"/>
  <c r="N20" i="60"/>
  <c r="L20" i="60"/>
  <c r="B20" i="60"/>
  <c r="X19" i="60"/>
  <c r="V19" i="60"/>
  <c r="T19" i="60"/>
  <c r="Z19" i="60" s="1"/>
  <c r="P19" i="60"/>
  <c r="L19" i="60"/>
  <c r="N19" i="60" s="1"/>
  <c r="H19" i="60"/>
  <c r="D19" i="60"/>
  <c r="B19" i="60"/>
  <c r="T18" i="60"/>
  <c r="X18" i="60" s="1"/>
  <c r="Z18" i="60" s="1"/>
  <c r="P18" i="60"/>
  <c r="H18" i="60"/>
  <c r="D18" i="60"/>
  <c r="T14" i="60"/>
  <c r="P14" i="60"/>
  <c r="N14" i="60"/>
  <c r="L14" i="60"/>
  <c r="H14" i="60"/>
  <c r="H16" i="60" s="1"/>
  <c r="D14" i="60"/>
  <c r="Z12" i="60"/>
  <c r="T12" i="60"/>
  <c r="V44" i="60" s="1"/>
  <c r="P12" i="60"/>
  <c r="R47" i="60" s="1"/>
  <c r="H12" i="60"/>
  <c r="J34" i="60" s="1"/>
  <c r="D12" i="60"/>
  <c r="D6" i="60"/>
  <c r="D4" i="60"/>
  <c r="Z73" i="59"/>
  <c r="X73" i="59"/>
  <c r="N73" i="59"/>
  <c r="L73" i="59"/>
  <c r="Z69" i="59"/>
  <c r="T69" i="59"/>
  <c r="X69" i="59" s="1"/>
  <c r="P69" i="59"/>
  <c r="N69" i="59"/>
  <c r="L69" i="59"/>
  <c r="H69" i="59"/>
  <c r="D69" i="59"/>
  <c r="Z67" i="59"/>
  <c r="X67" i="59"/>
  <c r="N67" i="59"/>
  <c r="L67" i="59"/>
  <c r="B67" i="59"/>
  <c r="T66" i="59"/>
  <c r="P66" i="59"/>
  <c r="H66" i="59"/>
  <c r="D66" i="59"/>
  <c r="B66" i="59"/>
  <c r="Z65" i="59"/>
  <c r="X65" i="59"/>
  <c r="R65" i="59"/>
  <c r="N65" i="59"/>
  <c r="L65" i="59"/>
  <c r="B65" i="59"/>
  <c r="Z64" i="59"/>
  <c r="T64" i="59"/>
  <c r="P64" i="59"/>
  <c r="X64" i="59" s="1"/>
  <c r="N64" i="59"/>
  <c r="H64" i="59"/>
  <c r="D64" i="59"/>
  <c r="L64" i="59" s="1"/>
  <c r="B64" i="59"/>
  <c r="X63" i="59"/>
  <c r="Z63" i="59" s="1"/>
  <c r="L63" i="59"/>
  <c r="N63" i="59" s="1"/>
  <c r="B63" i="59"/>
  <c r="X62" i="59"/>
  <c r="Z62" i="59" s="1"/>
  <c r="N62" i="59"/>
  <c r="L62" i="59"/>
  <c r="J62" i="59"/>
  <c r="B62" i="59"/>
  <c r="X61" i="59"/>
  <c r="T61" i="59"/>
  <c r="Z61" i="59" s="1"/>
  <c r="P61" i="59"/>
  <c r="H61" i="59"/>
  <c r="D61" i="59"/>
  <c r="B61" i="59"/>
  <c r="X60" i="59"/>
  <c r="Z60" i="59" s="1"/>
  <c r="N60" i="59"/>
  <c r="L60" i="59"/>
  <c r="B60" i="59"/>
  <c r="X59" i="59"/>
  <c r="Z59" i="59" s="1"/>
  <c r="T59" i="59"/>
  <c r="P59" i="59"/>
  <c r="H59" i="59"/>
  <c r="N59" i="59" s="1"/>
  <c r="D59" i="59"/>
  <c r="L59" i="59" s="1"/>
  <c r="B59" i="59"/>
  <c r="Z58" i="59"/>
  <c r="X58" i="59"/>
  <c r="L58" i="59"/>
  <c r="N58" i="59" s="1"/>
  <c r="J58" i="59"/>
  <c r="B58" i="59"/>
  <c r="Z57" i="59"/>
  <c r="X57" i="59"/>
  <c r="N57" i="59"/>
  <c r="L57" i="59"/>
  <c r="B57" i="59"/>
  <c r="T56" i="59"/>
  <c r="P56" i="59"/>
  <c r="J56" i="59"/>
  <c r="H56" i="59"/>
  <c r="D56" i="59"/>
  <c r="L56" i="59" s="1"/>
  <c r="N56" i="59" s="1"/>
  <c r="B56" i="59"/>
  <c r="X55" i="59"/>
  <c r="Z55" i="59" s="1"/>
  <c r="R55" i="59"/>
  <c r="L55" i="59"/>
  <c r="N55" i="59" s="1"/>
  <c r="B55" i="59"/>
  <c r="Z54" i="59"/>
  <c r="X54" i="59"/>
  <c r="N54" i="59"/>
  <c r="L54" i="59"/>
  <c r="J54" i="59"/>
  <c r="B54" i="59"/>
  <c r="Z53" i="59"/>
  <c r="X53" i="59"/>
  <c r="V53" i="59"/>
  <c r="L53" i="59"/>
  <c r="N53" i="59" s="1"/>
  <c r="B53" i="59"/>
  <c r="V52" i="59"/>
  <c r="T52" i="59"/>
  <c r="P52" i="59"/>
  <c r="X52" i="59" s="1"/>
  <c r="Z52" i="59" s="1"/>
  <c r="H52" i="59"/>
  <c r="D52" i="59"/>
  <c r="B52" i="59"/>
  <c r="X51" i="59"/>
  <c r="Z51" i="59" s="1"/>
  <c r="N51" i="59"/>
  <c r="L51" i="59"/>
  <c r="B51" i="59"/>
  <c r="V50" i="59"/>
  <c r="T50" i="59"/>
  <c r="P50" i="59"/>
  <c r="X50" i="59" s="1"/>
  <c r="Z50" i="59" s="1"/>
  <c r="L50" i="59"/>
  <c r="N50" i="59" s="1"/>
  <c r="H50" i="59"/>
  <c r="D50" i="59"/>
  <c r="B50" i="59"/>
  <c r="X49" i="59"/>
  <c r="Z49" i="59" s="1"/>
  <c r="N49" i="59"/>
  <c r="L49" i="59"/>
  <c r="J49" i="59"/>
  <c r="B49" i="59"/>
  <c r="X48" i="59"/>
  <c r="Z48" i="59" s="1"/>
  <c r="T48" i="59"/>
  <c r="R48" i="59"/>
  <c r="P48" i="59"/>
  <c r="H48" i="59"/>
  <c r="N48" i="59" s="1"/>
  <c r="D48" i="59"/>
  <c r="B48" i="59"/>
  <c r="Z47" i="59"/>
  <c r="X47" i="59"/>
  <c r="R47" i="59"/>
  <c r="N47" i="59"/>
  <c r="L47" i="59"/>
  <c r="B47" i="59"/>
  <c r="T46" i="59"/>
  <c r="Z46" i="59" s="1"/>
  <c r="P46" i="59"/>
  <c r="N46" i="59"/>
  <c r="J46" i="59"/>
  <c r="H46" i="59"/>
  <c r="D46" i="59"/>
  <c r="L46" i="59" s="1"/>
  <c r="B46" i="59"/>
  <c r="X45" i="59"/>
  <c r="Z45" i="59" s="1"/>
  <c r="V45" i="59"/>
  <c r="N45" i="59"/>
  <c r="L45" i="59"/>
  <c r="B45" i="59"/>
  <c r="X44" i="59"/>
  <c r="Z44" i="59" s="1"/>
  <c r="L44" i="59"/>
  <c r="N44" i="59" s="1"/>
  <c r="B44" i="59"/>
  <c r="X43" i="59"/>
  <c r="T43" i="59"/>
  <c r="Z43" i="59" s="1"/>
  <c r="P43" i="59"/>
  <c r="H43" i="59"/>
  <c r="N43" i="59" s="1"/>
  <c r="D43" i="59"/>
  <c r="L43" i="59" s="1"/>
  <c r="B43" i="59"/>
  <c r="Z42" i="59"/>
  <c r="X42" i="59"/>
  <c r="N42" i="59"/>
  <c r="L42" i="59"/>
  <c r="B42" i="59"/>
  <c r="X41" i="59"/>
  <c r="T41" i="59"/>
  <c r="P41" i="59"/>
  <c r="N41" i="59"/>
  <c r="H41" i="59"/>
  <c r="D41" i="59"/>
  <c r="L41" i="59" s="1"/>
  <c r="B41" i="59"/>
  <c r="Z40" i="59"/>
  <c r="X40" i="59"/>
  <c r="V40" i="59"/>
  <c r="N40" i="59"/>
  <c r="L40" i="59"/>
  <c r="B40" i="59"/>
  <c r="Z39" i="59"/>
  <c r="X39" i="59"/>
  <c r="R39" i="59"/>
  <c r="N39" i="59"/>
  <c r="L39" i="59"/>
  <c r="B39" i="59"/>
  <c r="Z38" i="59"/>
  <c r="X38" i="59"/>
  <c r="N38" i="59"/>
  <c r="L38" i="59"/>
  <c r="J38" i="59"/>
  <c r="B38" i="59"/>
  <c r="Z37" i="59"/>
  <c r="X37" i="59"/>
  <c r="V37" i="59"/>
  <c r="N37" i="59"/>
  <c r="L37" i="59"/>
  <c r="J37" i="59"/>
  <c r="B37" i="59"/>
  <c r="Z36" i="59"/>
  <c r="X36" i="59"/>
  <c r="V36" i="59"/>
  <c r="N36" i="59"/>
  <c r="L36" i="59"/>
  <c r="B36" i="59"/>
  <c r="Z35" i="59"/>
  <c r="X35" i="59"/>
  <c r="R35" i="59"/>
  <c r="N35" i="59"/>
  <c r="L35" i="59"/>
  <c r="B35" i="59"/>
  <c r="Z34" i="59"/>
  <c r="X34" i="59"/>
  <c r="N34" i="59"/>
  <c r="L34" i="59"/>
  <c r="J34" i="59"/>
  <c r="B34" i="59"/>
  <c r="Z33" i="59"/>
  <c r="X33" i="59"/>
  <c r="V33" i="59"/>
  <c r="N33" i="59"/>
  <c r="L33" i="59"/>
  <c r="J33" i="59"/>
  <c r="B33" i="59"/>
  <c r="Z32" i="59"/>
  <c r="X32" i="59"/>
  <c r="V32" i="59"/>
  <c r="L32" i="59"/>
  <c r="N32" i="59" s="1"/>
  <c r="B32" i="59"/>
  <c r="Z31" i="59"/>
  <c r="X31" i="59"/>
  <c r="R31" i="59"/>
  <c r="N31" i="59"/>
  <c r="L31" i="59"/>
  <c r="B31" i="59"/>
  <c r="T30" i="59"/>
  <c r="Z30" i="59" s="1"/>
  <c r="P30" i="59"/>
  <c r="X30" i="59" s="1"/>
  <c r="J30" i="59"/>
  <c r="H30" i="59"/>
  <c r="D30" i="59"/>
  <c r="L30" i="59" s="1"/>
  <c r="N30" i="59" s="1"/>
  <c r="B30" i="59"/>
  <c r="X29" i="59"/>
  <c r="Z29" i="59" s="1"/>
  <c r="V29" i="59"/>
  <c r="L29" i="59"/>
  <c r="N29" i="59" s="1"/>
  <c r="F29" i="59"/>
  <c r="B29" i="59"/>
  <c r="X28" i="59"/>
  <c r="Z28" i="59" s="1"/>
  <c r="L28" i="59"/>
  <c r="N28" i="59" s="1"/>
  <c r="B28" i="59"/>
  <c r="X27" i="59"/>
  <c r="Z27" i="59" s="1"/>
  <c r="V27" i="59"/>
  <c r="N27" i="59"/>
  <c r="L27" i="59"/>
  <c r="B27" i="59"/>
  <c r="Z26" i="59"/>
  <c r="X26" i="59"/>
  <c r="V26" i="59"/>
  <c r="N26" i="59"/>
  <c r="L26" i="59"/>
  <c r="F26" i="59"/>
  <c r="B26" i="59"/>
  <c r="X25" i="59"/>
  <c r="Z25" i="59" s="1"/>
  <c r="V25" i="59"/>
  <c r="L25" i="59"/>
  <c r="N25" i="59" s="1"/>
  <c r="F25" i="59"/>
  <c r="B25" i="59"/>
  <c r="X24" i="59"/>
  <c r="Z24" i="59" s="1"/>
  <c r="L24" i="59"/>
  <c r="N24" i="59" s="1"/>
  <c r="B24" i="59"/>
  <c r="X23" i="59"/>
  <c r="Z23" i="59" s="1"/>
  <c r="V23" i="59"/>
  <c r="N23" i="59"/>
  <c r="L23" i="59"/>
  <c r="B23" i="59"/>
  <c r="Z22" i="59"/>
  <c r="X22" i="59"/>
  <c r="V22" i="59"/>
  <c r="N22" i="59"/>
  <c r="L22" i="59"/>
  <c r="F22" i="59"/>
  <c r="B22" i="59"/>
  <c r="X21" i="59"/>
  <c r="Z21" i="59" s="1"/>
  <c r="V21" i="59"/>
  <c r="L21" i="59"/>
  <c r="N21" i="59" s="1"/>
  <c r="F21" i="59"/>
  <c r="B21" i="59"/>
  <c r="X20" i="59"/>
  <c r="Z20" i="59" s="1"/>
  <c r="V20" i="59"/>
  <c r="L20" i="59"/>
  <c r="N20" i="59" s="1"/>
  <c r="B20" i="59"/>
  <c r="X19" i="59"/>
  <c r="V19" i="59"/>
  <c r="T19" i="59"/>
  <c r="Z19" i="59" s="1"/>
  <c r="P19" i="59"/>
  <c r="J19" i="59"/>
  <c r="H19" i="59"/>
  <c r="D19" i="59"/>
  <c r="L19" i="59" s="1"/>
  <c r="B19" i="59"/>
  <c r="T18" i="59"/>
  <c r="P18" i="59"/>
  <c r="H18" i="59"/>
  <c r="F18" i="59"/>
  <c r="D18" i="59"/>
  <c r="F16" i="59"/>
  <c r="T14" i="59"/>
  <c r="Z14" i="59" s="1"/>
  <c r="P14" i="59"/>
  <c r="N14" i="59"/>
  <c r="L14" i="59"/>
  <c r="H14" i="59"/>
  <c r="F14" i="59"/>
  <c r="D14" i="59"/>
  <c r="Z12" i="59"/>
  <c r="T12" i="59"/>
  <c r="V64" i="59" s="1"/>
  <c r="P12" i="59"/>
  <c r="R61" i="59" s="1"/>
  <c r="H12" i="59"/>
  <c r="J53" i="59" s="1"/>
  <c r="D12" i="59"/>
  <c r="F61" i="59" s="1"/>
  <c r="D6" i="59"/>
  <c r="D4" i="59"/>
  <c r="Z78" i="58"/>
  <c r="X78" i="58"/>
  <c r="N78" i="58"/>
  <c r="L78" i="58"/>
  <c r="Z74" i="58"/>
  <c r="X74" i="58"/>
  <c r="T74" i="58"/>
  <c r="R74" i="58"/>
  <c r="P74" i="58"/>
  <c r="H74" i="58"/>
  <c r="N74" i="58" s="1"/>
  <c r="D74" i="58"/>
  <c r="Z72" i="58"/>
  <c r="X72" i="58"/>
  <c r="N72" i="58"/>
  <c r="L72" i="58"/>
  <c r="B72" i="58"/>
  <c r="Z71" i="58"/>
  <c r="T71" i="58"/>
  <c r="X71" i="58" s="1"/>
  <c r="P71" i="58"/>
  <c r="L71" i="58"/>
  <c r="H71" i="58"/>
  <c r="N71" i="58" s="1"/>
  <c r="D71" i="58"/>
  <c r="B71" i="58"/>
  <c r="Z70" i="58"/>
  <c r="X70" i="58"/>
  <c r="L70" i="58"/>
  <c r="N70" i="58" s="1"/>
  <c r="J70" i="58"/>
  <c r="B70" i="58"/>
  <c r="V69" i="58"/>
  <c r="T69" i="58"/>
  <c r="P69" i="58"/>
  <c r="X69" i="58" s="1"/>
  <c r="Z69" i="58" s="1"/>
  <c r="H69" i="58"/>
  <c r="D69" i="58"/>
  <c r="B69" i="58"/>
  <c r="X68" i="58"/>
  <c r="Z68" i="58" s="1"/>
  <c r="L68" i="58"/>
  <c r="N68" i="58" s="1"/>
  <c r="B68" i="58"/>
  <c r="X67" i="58"/>
  <c r="T67" i="58"/>
  <c r="Z67" i="58" s="1"/>
  <c r="P67" i="58"/>
  <c r="H67" i="58"/>
  <c r="N67" i="58" s="1"/>
  <c r="D67" i="58"/>
  <c r="L67" i="58" s="1"/>
  <c r="B67" i="58"/>
  <c r="Z66" i="58"/>
  <c r="X66" i="58"/>
  <c r="N66" i="58"/>
  <c r="L66" i="58"/>
  <c r="B66" i="58"/>
  <c r="X65" i="58"/>
  <c r="Z65" i="58" s="1"/>
  <c r="N65" i="58"/>
  <c r="L65" i="58"/>
  <c r="J65" i="58"/>
  <c r="B65" i="58"/>
  <c r="X64" i="58"/>
  <c r="Z64" i="58" s="1"/>
  <c r="N64" i="58"/>
  <c r="L64" i="58"/>
  <c r="B64" i="58"/>
  <c r="T63" i="58"/>
  <c r="P63" i="58"/>
  <c r="X63" i="58" s="1"/>
  <c r="Z63" i="58" s="1"/>
  <c r="L63" i="58"/>
  <c r="H63" i="58"/>
  <c r="N63" i="58" s="1"/>
  <c r="D63" i="58"/>
  <c r="B63" i="58"/>
  <c r="Z62" i="58"/>
  <c r="X62" i="58"/>
  <c r="N62" i="58"/>
  <c r="L62" i="58"/>
  <c r="J62" i="58"/>
  <c r="B62" i="58"/>
  <c r="V61" i="58"/>
  <c r="T61" i="58"/>
  <c r="P61" i="58"/>
  <c r="X61" i="58" s="1"/>
  <c r="Z61" i="58" s="1"/>
  <c r="H61" i="58"/>
  <c r="D61" i="58"/>
  <c r="B61" i="58"/>
  <c r="Z60" i="58"/>
  <c r="X60" i="58"/>
  <c r="N60" i="58"/>
  <c r="L60" i="58"/>
  <c r="B60" i="58"/>
  <c r="X59" i="58"/>
  <c r="Z59" i="58" s="1"/>
  <c r="N59" i="58"/>
  <c r="L59" i="58"/>
  <c r="B59" i="58"/>
  <c r="V58" i="58"/>
  <c r="T58" i="58"/>
  <c r="P58" i="58"/>
  <c r="X58" i="58" s="1"/>
  <c r="Z58" i="58" s="1"/>
  <c r="L58" i="58"/>
  <c r="N58" i="58" s="1"/>
  <c r="H58" i="58"/>
  <c r="D58" i="58"/>
  <c r="B58" i="58"/>
  <c r="X57" i="58"/>
  <c r="Z57" i="58" s="1"/>
  <c r="N57" i="58"/>
  <c r="L57" i="58"/>
  <c r="J57" i="58"/>
  <c r="B57" i="58"/>
  <c r="X56" i="58"/>
  <c r="Z56" i="58" s="1"/>
  <c r="N56" i="58"/>
  <c r="L56" i="58"/>
  <c r="B56" i="58"/>
  <c r="Z55" i="58"/>
  <c r="X55" i="58"/>
  <c r="N55" i="58"/>
  <c r="L55" i="58"/>
  <c r="F55" i="58"/>
  <c r="B55" i="58"/>
  <c r="T54" i="58"/>
  <c r="P54" i="58"/>
  <c r="L54" i="58"/>
  <c r="N54" i="58" s="1"/>
  <c r="H54" i="58"/>
  <c r="F54" i="58"/>
  <c r="D54" i="58"/>
  <c r="B54" i="58"/>
  <c r="Z53" i="58"/>
  <c r="X53" i="58"/>
  <c r="V53" i="58"/>
  <c r="L53" i="58"/>
  <c r="N53" i="58" s="1"/>
  <c r="B53" i="58"/>
  <c r="Z52" i="58"/>
  <c r="X52" i="58"/>
  <c r="V52" i="58"/>
  <c r="N52" i="58"/>
  <c r="L52" i="58"/>
  <c r="B52" i="58"/>
  <c r="T51" i="58"/>
  <c r="P51" i="58"/>
  <c r="J51" i="58"/>
  <c r="H51" i="58"/>
  <c r="D51" i="58"/>
  <c r="L51" i="58" s="1"/>
  <c r="N51" i="58" s="1"/>
  <c r="B51" i="58"/>
  <c r="Z50" i="58"/>
  <c r="X50" i="58"/>
  <c r="V50" i="58"/>
  <c r="N50" i="58"/>
  <c r="L50" i="58"/>
  <c r="F50" i="58"/>
  <c r="B50" i="58"/>
  <c r="V49" i="58"/>
  <c r="T49" i="58"/>
  <c r="P49" i="58"/>
  <c r="X49" i="58" s="1"/>
  <c r="L49" i="58"/>
  <c r="H49" i="58"/>
  <c r="N49" i="58" s="1"/>
  <c r="F49" i="58"/>
  <c r="D49" i="58"/>
  <c r="B49" i="58"/>
  <c r="X48" i="58"/>
  <c r="Z48" i="58" s="1"/>
  <c r="N48" i="58"/>
  <c r="L48" i="58"/>
  <c r="J48" i="58"/>
  <c r="B48" i="58"/>
  <c r="T47" i="58"/>
  <c r="P47" i="58"/>
  <c r="X47" i="58" s="1"/>
  <c r="Z47" i="58" s="1"/>
  <c r="L47" i="58"/>
  <c r="H47" i="58"/>
  <c r="D47" i="58"/>
  <c r="B47" i="58"/>
  <c r="Z46" i="58"/>
  <c r="X46" i="58"/>
  <c r="N46" i="58"/>
  <c r="L46" i="58"/>
  <c r="J46" i="58"/>
  <c r="B46" i="58"/>
  <c r="V45" i="58"/>
  <c r="T45" i="58"/>
  <c r="P45" i="58"/>
  <c r="X45" i="58" s="1"/>
  <c r="Z45" i="58" s="1"/>
  <c r="H45" i="58"/>
  <c r="D45" i="58"/>
  <c r="L45" i="58" s="1"/>
  <c r="B45" i="58"/>
  <c r="X44" i="58"/>
  <c r="Z44" i="58" s="1"/>
  <c r="N44" i="58"/>
  <c r="L44" i="58"/>
  <c r="B44" i="58"/>
  <c r="X43" i="58"/>
  <c r="T43" i="58"/>
  <c r="Z43" i="58" s="1"/>
  <c r="P43" i="58"/>
  <c r="H43" i="58"/>
  <c r="N43" i="58" s="1"/>
  <c r="D43" i="58"/>
  <c r="L43" i="58" s="1"/>
  <c r="B43" i="58"/>
  <c r="Z42" i="58"/>
  <c r="X42" i="58"/>
  <c r="N42" i="58"/>
  <c r="L42" i="58"/>
  <c r="B42" i="58"/>
  <c r="X41" i="58"/>
  <c r="T41" i="58"/>
  <c r="Z41" i="58" s="1"/>
  <c r="P41" i="58"/>
  <c r="H41" i="58"/>
  <c r="D41" i="58"/>
  <c r="L41" i="58" s="1"/>
  <c r="N41" i="58" s="1"/>
  <c r="B41" i="58"/>
  <c r="Z40" i="58"/>
  <c r="X40" i="58"/>
  <c r="V40" i="58"/>
  <c r="N40" i="58"/>
  <c r="L40" i="58"/>
  <c r="B40" i="58"/>
  <c r="Z39" i="58"/>
  <c r="X39" i="58"/>
  <c r="N39" i="58"/>
  <c r="L39" i="58"/>
  <c r="B39" i="58"/>
  <c r="Z38" i="58"/>
  <c r="X38" i="58"/>
  <c r="N38" i="58"/>
  <c r="L38" i="58"/>
  <c r="J38" i="58"/>
  <c r="B38" i="58"/>
  <c r="Z37" i="58"/>
  <c r="X37" i="58"/>
  <c r="V37" i="58"/>
  <c r="N37" i="58"/>
  <c r="L37" i="58"/>
  <c r="B37" i="58"/>
  <c r="Z36" i="58"/>
  <c r="X36" i="58"/>
  <c r="V36" i="58"/>
  <c r="N36" i="58"/>
  <c r="L36" i="58"/>
  <c r="B36" i="58"/>
  <c r="Z35" i="58"/>
  <c r="X35" i="58"/>
  <c r="L35" i="58"/>
  <c r="N35" i="58" s="1"/>
  <c r="B35" i="58"/>
  <c r="Z34" i="58"/>
  <c r="X34" i="58"/>
  <c r="L34" i="58"/>
  <c r="N34" i="58" s="1"/>
  <c r="J34" i="58"/>
  <c r="B34" i="58"/>
  <c r="Z33" i="58"/>
  <c r="X33" i="58"/>
  <c r="V33" i="58"/>
  <c r="N33" i="58"/>
  <c r="L33" i="58"/>
  <c r="B33" i="58"/>
  <c r="Z32" i="58"/>
  <c r="X32" i="58"/>
  <c r="V32" i="58"/>
  <c r="N32" i="58"/>
  <c r="L32" i="58"/>
  <c r="B32" i="58"/>
  <c r="Z31" i="58"/>
  <c r="X31" i="58"/>
  <c r="L31" i="58"/>
  <c r="N31" i="58" s="1"/>
  <c r="B31" i="58"/>
  <c r="V30" i="58"/>
  <c r="T30" i="58"/>
  <c r="Z30" i="58" s="1"/>
  <c r="P30" i="58"/>
  <c r="X30" i="58" s="1"/>
  <c r="J30" i="58"/>
  <c r="H30" i="58"/>
  <c r="D30" i="58"/>
  <c r="L30" i="58" s="1"/>
  <c r="N30" i="58" s="1"/>
  <c r="B30" i="58"/>
  <c r="X29" i="58"/>
  <c r="Z29" i="58" s="1"/>
  <c r="V29" i="58"/>
  <c r="L29" i="58"/>
  <c r="N29" i="58" s="1"/>
  <c r="F29" i="58"/>
  <c r="B29" i="58"/>
  <c r="X28" i="58"/>
  <c r="Z28" i="58" s="1"/>
  <c r="L28" i="58"/>
  <c r="N28" i="58" s="1"/>
  <c r="B28" i="58"/>
  <c r="X27" i="58"/>
  <c r="Z27" i="58" s="1"/>
  <c r="V27" i="58"/>
  <c r="N27" i="58"/>
  <c r="L27" i="58"/>
  <c r="B27" i="58"/>
  <c r="Z26" i="58"/>
  <c r="X26" i="58"/>
  <c r="V26" i="58"/>
  <c r="N26" i="58"/>
  <c r="L26" i="58"/>
  <c r="F26" i="58"/>
  <c r="B26" i="58"/>
  <c r="Z25" i="58"/>
  <c r="X25" i="58"/>
  <c r="V25" i="58"/>
  <c r="N25" i="58"/>
  <c r="L25" i="58"/>
  <c r="F25" i="58"/>
  <c r="B25" i="58"/>
  <c r="X24" i="58"/>
  <c r="Z24" i="58" s="1"/>
  <c r="L24" i="58"/>
  <c r="N24" i="58" s="1"/>
  <c r="B24" i="58"/>
  <c r="X23" i="58"/>
  <c r="Z23" i="58" s="1"/>
  <c r="V23" i="58"/>
  <c r="N23" i="58"/>
  <c r="L23" i="58"/>
  <c r="B23" i="58"/>
  <c r="X22" i="58"/>
  <c r="Z22" i="58" s="1"/>
  <c r="V22" i="58"/>
  <c r="N22" i="58"/>
  <c r="L22" i="58"/>
  <c r="F22" i="58"/>
  <c r="B22" i="58"/>
  <c r="X21" i="58"/>
  <c r="Z21" i="58" s="1"/>
  <c r="V21" i="58"/>
  <c r="L21" i="58"/>
  <c r="N21" i="58" s="1"/>
  <c r="F21" i="58"/>
  <c r="B21" i="58"/>
  <c r="X20" i="58"/>
  <c r="Z20" i="58" s="1"/>
  <c r="L20" i="58"/>
  <c r="N20" i="58" s="1"/>
  <c r="B20" i="58"/>
  <c r="X19" i="58"/>
  <c r="V19" i="58"/>
  <c r="T19" i="58"/>
  <c r="Z19" i="58" s="1"/>
  <c r="P19" i="58"/>
  <c r="J19" i="58"/>
  <c r="H19" i="58"/>
  <c r="N19" i="58" s="1"/>
  <c r="D19" i="58"/>
  <c r="L19" i="58" s="1"/>
  <c r="B19" i="58"/>
  <c r="T18" i="58"/>
  <c r="P18" i="58"/>
  <c r="H18" i="58"/>
  <c r="F18" i="58"/>
  <c r="D18" i="58"/>
  <c r="F16" i="58"/>
  <c r="T14" i="58"/>
  <c r="P14" i="58"/>
  <c r="L14" i="58"/>
  <c r="H14" i="58"/>
  <c r="N14" i="58" s="1"/>
  <c r="F14" i="58"/>
  <c r="D14" i="58"/>
  <c r="Z12" i="58"/>
  <c r="T12" i="58"/>
  <c r="V83" i="58" s="1"/>
  <c r="P12" i="58"/>
  <c r="R39" i="58" s="1"/>
  <c r="H12" i="58"/>
  <c r="J72" i="58" s="1"/>
  <c r="D12" i="58"/>
  <c r="F72" i="58" s="1"/>
  <c r="D6" i="58"/>
  <c r="D4" i="58"/>
  <c r="Z75" i="57"/>
  <c r="X75" i="57"/>
  <c r="N75" i="57"/>
  <c r="L75" i="57"/>
  <c r="Z71" i="57"/>
  <c r="P71" i="57"/>
  <c r="X71" i="57" s="1"/>
  <c r="N71" i="57"/>
  <c r="D71" i="57"/>
  <c r="L71" i="57" s="1"/>
  <c r="B71" i="57"/>
  <c r="Z70" i="57"/>
  <c r="P70" i="57"/>
  <c r="X70" i="57" s="1"/>
  <c r="N70" i="57"/>
  <c r="D70" i="57"/>
  <c r="L70" i="57" s="1"/>
  <c r="B70" i="57"/>
  <c r="Z69" i="57"/>
  <c r="X69" i="57"/>
  <c r="P69" i="57"/>
  <c r="N69" i="57"/>
  <c r="L69" i="57"/>
  <c r="D69" i="57"/>
  <c r="D68" i="57" s="1"/>
  <c r="B69" i="57"/>
  <c r="Z68" i="57"/>
  <c r="T68" i="57"/>
  <c r="L68" i="57"/>
  <c r="H68" i="57"/>
  <c r="N68" i="57" s="1"/>
  <c r="Z66" i="57"/>
  <c r="X66" i="57"/>
  <c r="N66" i="57"/>
  <c r="L66" i="57"/>
  <c r="B66" i="57"/>
  <c r="T65" i="57"/>
  <c r="P65" i="57"/>
  <c r="L65" i="57"/>
  <c r="H65" i="57"/>
  <c r="N65" i="57" s="1"/>
  <c r="D65" i="57"/>
  <c r="B65" i="57"/>
  <c r="Z64" i="57"/>
  <c r="X64" i="57"/>
  <c r="V64" i="57"/>
  <c r="L64" i="57"/>
  <c r="N64" i="57" s="1"/>
  <c r="B64" i="57"/>
  <c r="T63" i="57"/>
  <c r="P63" i="57"/>
  <c r="X63" i="57" s="1"/>
  <c r="Z63" i="57" s="1"/>
  <c r="H63" i="57"/>
  <c r="N63" i="57" s="1"/>
  <c r="D63" i="57"/>
  <c r="L63" i="57" s="1"/>
  <c r="B63" i="57"/>
  <c r="X62" i="57"/>
  <c r="Z62" i="57" s="1"/>
  <c r="N62" i="57"/>
  <c r="L62" i="57"/>
  <c r="B62" i="57"/>
  <c r="X61" i="57"/>
  <c r="V61" i="57"/>
  <c r="T61" i="57"/>
  <c r="Z61" i="57" s="1"/>
  <c r="P61" i="57"/>
  <c r="L61" i="57"/>
  <c r="H61" i="57"/>
  <c r="N61" i="57" s="1"/>
  <c r="D61" i="57"/>
  <c r="B61" i="57"/>
  <c r="X60" i="57"/>
  <c r="Z60" i="57" s="1"/>
  <c r="N60" i="57"/>
  <c r="L60" i="57"/>
  <c r="J60" i="57"/>
  <c r="B60" i="57"/>
  <c r="Z59" i="57"/>
  <c r="X59" i="57"/>
  <c r="N59" i="57"/>
  <c r="L59" i="57"/>
  <c r="B59" i="57"/>
  <c r="Z58" i="57"/>
  <c r="X58" i="57"/>
  <c r="N58" i="57"/>
  <c r="L58" i="57"/>
  <c r="B58" i="57"/>
  <c r="T57" i="57"/>
  <c r="P57" i="57"/>
  <c r="L57" i="57"/>
  <c r="H57" i="57"/>
  <c r="N57" i="57" s="1"/>
  <c r="D57" i="57"/>
  <c r="B57" i="57"/>
  <c r="Z56" i="57"/>
  <c r="X56" i="57"/>
  <c r="V56" i="57"/>
  <c r="L56" i="57"/>
  <c r="N56" i="57" s="1"/>
  <c r="B56" i="57"/>
  <c r="Z55" i="57"/>
  <c r="T55" i="57"/>
  <c r="P55" i="57"/>
  <c r="X55" i="57" s="1"/>
  <c r="H55" i="57"/>
  <c r="N55" i="57" s="1"/>
  <c r="D55" i="57"/>
  <c r="L55" i="57" s="1"/>
  <c r="B55" i="57"/>
  <c r="X54" i="57"/>
  <c r="Z54" i="57" s="1"/>
  <c r="N54" i="57"/>
  <c r="L54" i="57"/>
  <c r="B54" i="57"/>
  <c r="X53" i="57"/>
  <c r="Z53" i="57" s="1"/>
  <c r="V53" i="57"/>
  <c r="N53" i="57"/>
  <c r="L53" i="57"/>
  <c r="B53" i="57"/>
  <c r="T52" i="57"/>
  <c r="P52" i="57"/>
  <c r="X52" i="57" s="1"/>
  <c r="Z52" i="57" s="1"/>
  <c r="L52" i="57"/>
  <c r="N52" i="57" s="1"/>
  <c r="H52" i="57"/>
  <c r="D52" i="57"/>
  <c r="B52" i="57"/>
  <c r="X51" i="57"/>
  <c r="Z51" i="57" s="1"/>
  <c r="N51" i="57"/>
  <c r="L51" i="57"/>
  <c r="B51" i="57"/>
  <c r="Z50" i="57"/>
  <c r="T50" i="57"/>
  <c r="X50" i="57" s="1"/>
  <c r="P50" i="57"/>
  <c r="L50" i="57"/>
  <c r="H50" i="57"/>
  <c r="D50" i="57"/>
  <c r="B50" i="57"/>
  <c r="X49" i="57"/>
  <c r="Z49" i="57" s="1"/>
  <c r="L49" i="57"/>
  <c r="N49" i="57" s="1"/>
  <c r="J49" i="57"/>
  <c r="B49" i="57"/>
  <c r="V48" i="57"/>
  <c r="T48" i="57"/>
  <c r="Z48" i="57" s="1"/>
  <c r="P48" i="57"/>
  <c r="X48" i="57" s="1"/>
  <c r="H48" i="57"/>
  <c r="D48" i="57"/>
  <c r="B48" i="57"/>
  <c r="X47" i="57"/>
  <c r="Z47" i="57" s="1"/>
  <c r="L47" i="57"/>
  <c r="N47" i="57" s="1"/>
  <c r="B47" i="57"/>
  <c r="Z46" i="57"/>
  <c r="X46" i="57"/>
  <c r="N46" i="57"/>
  <c r="L46" i="57"/>
  <c r="B46" i="57"/>
  <c r="X45" i="57"/>
  <c r="V45" i="57"/>
  <c r="T45" i="57"/>
  <c r="Z45" i="57" s="1"/>
  <c r="P45" i="57"/>
  <c r="L45" i="57"/>
  <c r="H45" i="57"/>
  <c r="N45" i="57" s="1"/>
  <c r="D45" i="57"/>
  <c r="B45" i="57"/>
  <c r="X44" i="57"/>
  <c r="Z44" i="57" s="1"/>
  <c r="N44" i="57"/>
  <c r="L44" i="57"/>
  <c r="J44" i="57"/>
  <c r="B44" i="57"/>
  <c r="X43" i="57"/>
  <c r="T43" i="57"/>
  <c r="Z43" i="57" s="1"/>
  <c r="P43" i="57"/>
  <c r="H43" i="57"/>
  <c r="D43" i="57"/>
  <c r="B43" i="57"/>
  <c r="Z42" i="57"/>
  <c r="X42" i="57"/>
  <c r="L42" i="57"/>
  <c r="N42" i="57" s="1"/>
  <c r="B42" i="57"/>
  <c r="T41" i="57"/>
  <c r="Z41" i="57" s="1"/>
  <c r="P41" i="57"/>
  <c r="X41" i="57" s="1"/>
  <c r="J41" i="57"/>
  <c r="H41" i="57"/>
  <c r="D41" i="57"/>
  <c r="L41" i="57" s="1"/>
  <c r="N41" i="57" s="1"/>
  <c r="B41" i="57"/>
  <c r="Z40" i="57"/>
  <c r="X40" i="57"/>
  <c r="N40" i="57"/>
  <c r="L40" i="57"/>
  <c r="B40" i="57"/>
  <c r="Z39" i="57"/>
  <c r="X39" i="57"/>
  <c r="N39" i="57"/>
  <c r="L39" i="57"/>
  <c r="B39" i="57"/>
  <c r="X38" i="57"/>
  <c r="Z38" i="57" s="1"/>
  <c r="N38" i="57"/>
  <c r="L38" i="57"/>
  <c r="B38" i="57"/>
  <c r="Z37" i="57"/>
  <c r="X37" i="57"/>
  <c r="V37" i="57"/>
  <c r="N37" i="57"/>
  <c r="L37" i="57"/>
  <c r="B37" i="57"/>
  <c r="Z36" i="57"/>
  <c r="X36" i="57"/>
  <c r="N36" i="57"/>
  <c r="L36" i="57"/>
  <c r="B36" i="57"/>
  <c r="Z35" i="57"/>
  <c r="X35" i="57"/>
  <c r="N35" i="57"/>
  <c r="L35" i="57"/>
  <c r="B35" i="57"/>
  <c r="Z34" i="57"/>
  <c r="X34" i="57"/>
  <c r="N34" i="57"/>
  <c r="L34" i="57"/>
  <c r="B34" i="57"/>
  <c r="Z33" i="57"/>
  <c r="X33" i="57"/>
  <c r="V33" i="57"/>
  <c r="N33" i="57"/>
  <c r="L33" i="57"/>
  <c r="B33" i="57"/>
  <c r="Z32" i="57"/>
  <c r="X32" i="57"/>
  <c r="L32" i="57"/>
  <c r="N32" i="57" s="1"/>
  <c r="B32" i="57"/>
  <c r="X31" i="57"/>
  <c r="Z31" i="57" s="1"/>
  <c r="L31" i="57"/>
  <c r="N31" i="57" s="1"/>
  <c r="B31" i="57"/>
  <c r="X30" i="57"/>
  <c r="T30" i="57"/>
  <c r="Z30" i="57" s="1"/>
  <c r="P30" i="57"/>
  <c r="J30" i="57"/>
  <c r="H30" i="57"/>
  <c r="D30" i="57"/>
  <c r="L30" i="57" s="1"/>
  <c r="N30" i="57" s="1"/>
  <c r="B30" i="57"/>
  <c r="Z29" i="57"/>
  <c r="X29" i="57"/>
  <c r="N29" i="57"/>
  <c r="L29" i="57"/>
  <c r="B29" i="57"/>
  <c r="X28" i="57"/>
  <c r="Z28" i="57" s="1"/>
  <c r="N28" i="57"/>
  <c r="L28" i="57"/>
  <c r="J28" i="57"/>
  <c r="B28" i="57"/>
  <c r="X27" i="57"/>
  <c r="Z27" i="57" s="1"/>
  <c r="N27" i="57"/>
  <c r="L27" i="57"/>
  <c r="J27" i="57"/>
  <c r="B27" i="57"/>
  <c r="Z26" i="57"/>
  <c r="X26" i="57"/>
  <c r="N26" i="57"/>
  <c r="L26" i="57"/>
  <c r="J26" i="57"/>
  <c r="B26" i="57"/>
  <c r="Z25" i="57"/>
  <c r="X25" i="57"/>
  <c r="N25" i="57"/>
  <c r="L25" i="57"/>
  <c r="B25" i="57"/>
  <c r="X24" i="57"/>
  <c r="Z24" i="57" s="1"/>
  <c r="N24" i="57"/>
  <c r="L24" i="57"/>
  <c r="J24" i="57"/>
  <c r="B24" i="57"/>
  <c r="X23" i="57"/>
  <c r="Z23" i="57" s="1"/>
  <c r="N23" i="57"/>
  <c r="L23" i="57"/>
  <c r="J23" i="57"/>
  <c r="B23" i="57"/>
  <c r="Z22" i="57"/>
  <c r="X22" i="57"/>
  <c r="N22" i="57"/>
  <c r="L22" i="57"/>
  <c r="J22" i="57"/>
  <c r="B22" i="57"/>
  <c r="Z21" i="57"/>
  <c r="X21" i="57"/>
  <c r="N21" i="57"/>
  <c r="L21" i="57"/>
  <c r="B21" i="57"/>
  <c r="X20" i="57"/>
  <c r="T20" i="57"/>
  <c r="Z20" i="57" s="1"/>
  <c r="P20" i="57"/>
  <c r="N20" i="57"/>
  <c r="L20" i="57"/>
  <c r="J20" i="57"/>
  <c r="H20" i="57"/>
  <c r="D20" i="57"/>
  <c r="B20" i="57"/>
  <c r="T19" i="57"/>
  <c r="P19" i="57"/>
  <c r="X19" i="57" s="1"/>
  <c r="Z19" i="57" s="1"/>
  <c r="H19" i="57"/>
  <c r="D19" i="57"/>
  <c r="L19" i="57" s="1"/>
  <c r="P17" i="57"/>
  <c r="Z15" i="57"/>
  <c r="T15" i="57"/>
  <c r="P15" i="57"/>
  <c r="X15" i="57" s="1"/>
  <c r="H15" i="57"/>
  <c r="N15" i="57" s="1"/>
  <c r="D15" i="57"/>
  <c r="L15" i="57" s="1"/>
  <c r="Z13" i="57"/>
  <c r="P13" i="57"/>
  <c r="P12" i="57" s="1"/>
  <c r="R42" i="57" s="1"/>
  <c r="N13" i="57"/>
  <c r="D13" i="57"/>
  <c r="B13" i="57"/>
  <c r="T12" i="57"/>
  <c r="V80" i="57" s="1"/>
  <c r="N12" i="57"/>
  <c r="H12" i="57"/>
  <c r="J70" i="57" s="1"/>
  <c r="D6" i="57"/>
  <c r="D4" i="57"/>
  <c r="Z80" i="56"/>
  <c r="X80" i="56"/>
  <c r="N80" i="56"/>
  <c r="L80" i="56"/>
  <c r="X76" i="56"/>
  <c r="T76" i="56"/>
  <c r="Z76" i="56" s="1"/>
  <c r="R76" i="56"/>
  <c r="P76" i="56"/>
  <c r="N76" i="56"/>
  <c r="H76" i="56"/>
  <c r="D76" i="56"/>
  <c r="L76" i="56" s="1"/>
  <c r="X74" i="56"/>
  <c r="Z74" i="56" s="1"/>
  <c r="N74" i="56"/>
  <c r="L74" i="56"/>
  <c r="B74" i="56"/>
  <c r="X73" i="56"/>
  <c r="V73" i="56"/>
  <c r="T73" i="56"/>
  <c r="Z73" i="56" s="1"/>
  <c r="P73" i="56"/>
  <c r="L73" i="56"/>
  <c r="H73" i="56"/>
  <c r="N73" i="56" s="1"/>
  <c r="D73" i="56"/>
  <c r="B73" i="56"/>
  <c r="X72" i="56"/>
  <c r="Z72" i="56" s="1"/>
  <c r="N72" i="56"/>
  <c r="L72" i="56"/>
  <c r="J72" i="56"/>
  <c r="B72" i="56"/>
  <c r="X71" i="56"/>
  <c r="T71" i="56"/>
  <c r="Z71" i="56" s="1"/>
  <c r="R71" i="56"/>
  <c r="P71" i="56"/>
  <c r="H71" i="56"/>
  <c r="D71" i="56"/>
  <c r="B71" i="56"/>
  <c r="Z70" i="56"/>
  <c r="X70" i="56"/>
  <c r="L70" i="56"/>
  <c r="N70" i="56" s="1"/>
  <c r="B70" i="56"/>
  <c r="T69" i="56"/>
  <c r="Z69" i="56" s="1"/>
  <c r="P69" i="56"/>
  <c r="X69" i="56" s="1"/>
  <c r="H69" i="56"/>
  <c r="D69" i="56"/>
  <c r="L69" i="56" s="1"/>
  <c r="N69" i="56" s="1"/>
  <c r="B69" i="56"/>
  <c r="Z68" i="56"/>
  <c r="X68" i="56"/>
  <c r="N68" i="56"/>
  <c r="L68" i="56"/>
  <c r="B68" i="56"/>
  <c r="X67" i="56"/>
  <c r="Z67" i="56" s="1"/>
  <c r="N67" i="56"/>
  <c r="L67" i="56"/>
  <c r="B67" i="56"/>
  <c r="X66" i="56"/>
  <c r="Z66" i="56" s="1"/>
  <c r="N66" i="56"/>
  <c r="L66" i="56"/>
  <c r="B66" i="56"/>
  <c r="X65" i="56"/>
  <c r="Z65" i="56" s="1"/>
  <c r="V65" i="56"/>
  <c r="T65" i="56"/>
  <c r="P65" i="56"/>
  <c r="L65" i="56"/>
  <c r="H65" i="56"/>
  <c r="N65" i="56" s="1"/>
  <c r="D65" i="56"/>
  <c r="B65" i="56"/>
  <c r="X64" i="56"/>
  <c r="Z64" i="56" s="1"/>
  <c r="N64" i="56"/>
  <c r="L64" i="56"/>
  <c r="J64" i="56"/>
  <c r="B64" i="56"/>
  <c r="X63" i="56"/>
  <c r="T63" i="56"/>
  <c r="Z63" i="56" s="1"/>
  <c r="P63" i="56"/>
  <c r="H63" i="56"/>
  <c r="D63" i="56"/>
  <c r="B63" i="56"/>
  <c r="Z62" i="56"/>
  <c r="X62" i="56"/>
  <c r="L62" i="56"/>
  <c r="N62" i="56" s="1"/>
  <c r="B62" i="56"/>
  <c r="T61" i="56"/>
  <c r="Z61" i="56" s="1"/>
  <c r="P61" i="56"/>
  <c r="X61" i="56" s="1"/>
  <c r="H61" i="56"/>
  <c r="D61" i="56"/>
  <c r="L61" i="56" s="1"/>
  <c r="N61" i="56" s="1"/>
  <c r="B61" i="56"/>
  <c r="Z60" i="56"/>
  <c r="X60" i="56"/>
  <c r="N60" i="56"/>
  <c r="L60" i="56"/>
  <c r="B60" i="56"/>
  <c r="X59" i="56"/>
  <c r="Z59" i="56" s="1"/>
  <c r="N59" i="56"/>
  <c r="L59" i="56"/>
  <c r="B59" i="56"/>
  <c r="X58" i="56"/>
  <c r="Z58" i="56" s="1"/>
  <c r="N58" i="56"/>
  <c r="L58" i="56"/>
  <c r="B58" i="56"/>
  <c r="V57" i="56"/>
  <c r="T57" i="56"/>
  <c r="P57" i="56"/>
  <c r="X57" i="56" s="1"/>
  <c r="Z57" i="56" s="1"/>
  <c r="L57" i="56"/>
  <c r="H57" i="56"/>
  <c r="N57" i="56" s="1"/>
  <c r="D57" i="56"/>
  <c r="B57" i="56"/>
  <c r="X56" i="56"/>
  <c r="Z56" i="56" s="1"/>
  <c r="N56" i="56"/>
  <c r="L56" i="56"/>
  <c r="J56" i="56"/>
  <c r="B56" i="56"/>
  <c r="X55" i="56"/>
  <c r="T55" i="56"/>
  <c r="Z55" i="56" s="1"/>
  <c r="P55" i="56"/>
  <c r="H55" i="56"/>
  <c r="D55" i="56"/>
  <c r="B55" i="56"/>
  <c r="Z54" i="56"/>
  <c r="X54" i="56"/>
  <c r="R54" i="56"/>
  <c r="N54" i="56"/>
  <c r="L54" i="56"/>
  <c r="B54" i="56"/>
  <c r="T53" i="56"/>
  <c r="Z53" i="56" s="1"/>
  <c r="P53" i="56"/>
  <c r="X53" i="56" s="1"/>
  <c r="N53" i="56"/>
  <c r="H53" i="56"/>
  <c r="D53" i="56"/>
  <c r="L53" i="56" s="1"/>
  <c r="B53" i="56"/>
  <c r="Z52" i="56"/>
  <c r="X52" i="56"/>
  <c r="L52" i="56"/>
  <c r="N52" i="56" s="1"/>
  <c r="B52" i="56"/>
  <c r="X51" i="56"/>
  <c r="T51" i="56"/>
  <c r="Z51" i="56" s="1"/>
  <c r="P51" i="56"/>
  <c r="J51" i="56"/>
  <c r="H51" i="56"/>
  <c r="D51" i="56"/>
  <c r="L51" i="56" s="1"/>
  <c r="N51" i="56" s="1"/>
  <c r="B51" i="56"/>
  <c r="Z50" i="56"/>
  <c r="X50" i="56"/>
  <c r="N50" i="56"/>
  <c r="L50" i="56"/>
  <c r="B50" i="56"/>
  <c r="T49" i="56"/>
  <c r="P49" i="56"/>
  <c r="L49" i="56"/>
  <c r="H49" i="56"/>
  <c r="N49" i="56" s="1"/>
  <c r="D49" i="56"/>
  <c r="B49" i="56"/>
  <c r="Z48" i="56"/>
  <c r="X48" i="56"/>
  <c r="V48" i="56"/>
  <c r="N48" i="56"/>
  <c r="L48" i="56"/>
  <c r="J48" i="56"/>
  <c r="B48" i="56"/>
  <c r="T47" i="56"/>
  <c r="P47" i="56"/>
  <c r="X47" i="56" s="1"/>
  <c r="Z47" i="56" s="1"/>
  <c r="H47" i="56"/>
  <c r="N47" i="56" s="1"/>
  <c r="D47" i="56"/>
  <c r="L47" i="56" s="1"/>
  <c r="B47" i="56"/>
  <c r="X46" i="56"/>
  <c r="Z46" i="56" s="1"/>
  <c r="N46" i="56"/>
  <c r="L46" i="56"/>
  <c r="B46" i="56"/>
  <c r="X45" i="56"/>
  <c r="V45" i="56"/>
  <c r="T45" i="56"/>
  <c r="Z45" i="56" s="1"/>
  <c r="P45" i="56"/>
  <c r="L45" i="56"/>
  <c r="H45" i="56"/>
  <c r="N45" i="56" s="1"/>
  <c r="D45" i="56"/>
  <c r="B45" i="56"/>
  <c r="X44" i="56"/>
  <c r="Z44" i="56" s="1"/>
  <c r="N44" i="56"/>
  <c r="L44" i="56"/>
  <c r="J44" i="56"/>
  <c r="B44" i="56"/>
  <c r="X43" i="56"/>
  <c r="T43" i="56"/>
  <c r="Z43" i="56" s="1"/>
  <c r="R43" i="56"/>
  <c r="P43" i="56"/>
  <c r="H43" i="56"/>
  <c r="D43" i="56"/>
  <c r="B43" i="56"/>
  <c r="Z42" i="56"/>
  <c r="X42" i="56"/>
  <c r="R42" i="56"/>
  <c r="L42" i="56"/>
  <c r="N42" i="56" s="1"/>
  <c r="B42" i="56"/>
  <c r="T41" i="56"/>
  <c r="Z41" i="56" s="1"/>
  <c r="P41" i="56"/>
  <c r="X41" i="56" s="1"/>
  <c r="H41" i="56"/>
  <c r="D41" i="56"/>
  <c r="L41" i="56" s="1"/>
  <c r="N41" i="56" s="1"/>
  <c r="B41" i="56"/>
  <c r="Z40" i="56"/>
  <c r="X40" i="56"/>
  <c r="V40" i="56"/>
  <c r="N40" i="56"/>
  <c r="L40" i="56"/>
  <c r="B40" i="56"/>
  <c r="Z39" i="56"/>
  <c r="X39" i="56"/>
  <c r="N39" i="56"/>
  <c r="L39" i="56"/>
  <c r="B39" i="56"/>
  <c r="X38" i="56"/>
  <c r="Z38" i="56" s="1"/>
  <c r="N38" i="56"/>
  <c r="L38" i="56"/>
  <c r="B38" i="56"/>
  <c r="X37" i="56"/>
  <c r="Z37" i="56" s="1"/>
  <c r="L37" i="56"/>
  <c r="N37" i="56" s="1"/>
  <c r="B37" i="56"/>
  <c r="Z36" i="56"/>
  <c r="X36" i="56"/>
  <c r="V36" i="56"/>
  <c r="N36" i="56"/>
  <c r="L36" i="56"/>
  <c r="B36" i="56"/>
  <c r="Z35" i="56"/>
  <c r="X35" i="56"/>
  <c r="N35" i="56"/>
  <c r="L35" i="56"/>
  <c r="B35" i="56"/>
  <c r="Z34" i="56"/>
  <c r="X34" i="56"/>
  <c r="N34" i="56"/>
  <c r="L34" i="56"/>
  <c r="B34" i="56"/>
  <c r="Z33" i="56"/>
  <c r="X33" i="56"/>
  <c r="V33" i="56"/>
  <c r="N33" i="56"/>
  <c r="L33" i="56"/>
  <c r="B33" i="56"/>
  <c r="Z32" i="56"/>
  <c r="X32" i="56"/>
  <c r="L32" i="56"/>
  <c r="N32" i="56" s="1"/>
  <c r="B32" i="56"/>
  <c r="X31" i="56"/>
  <c r="Z31" i="56" s="1"/>
  <c r="L31" i="56"/>
  <c r="N31" i="56" s="1"/>
  <c r="B31" i="56"/>
  <c r="X30" i="56"/>
  <c r="Z30" i="56" s="1"/>
  <c r="T30" i="56"/>
  <c r="R30" i="56"/>
  <c r="P30" i="56"/>
  <c r="J30" i="56"/>
  <c r="H30" i="56"/>
  <c r="D30" i="56"/>
  <c r="L30" i="56" s="1"/>
  <c r="N30" i="56" s="1"/>
  <c r="B30" i="56"/>
  <c r="X29" i="56"/>
  <c r="Z29" i="56" s="1"/>
  <c r="L29" i="56"/>
  <c r="N29" i="56" s="1"/>
  <c r="B29" i="56"/>
  <c r="X28" i="56"/>
  <c r="Z28" i="56" s="1"/>
  <c r="N28" i="56"/>
  <c r="L28" i="56"/>
  <c r="J28" i="56"/>
  <c r="B28" i="56"/>
  <c r="X27" i="56"/>
  <c r="Z27" i="56" s="1"/>
  <c r="N27" i="56"/>
  <c r="L27" i="56"/>
  <c r="B27" i="56"/>
  <c r="Z26" i="56"/>
  <c r="X26" i="56"/>
  <c r="N26" i="56"/>
  <c r="L26" i="56"/>
  <c r="J26" i="56"/>
  <c r="B26" i="56"/>
  <c r="X25" i="56"/>
  <c r="Z25" i="56" s="1"/>
  <c r="R25" i="56"/>
  <c r="L25" i="56"/>
  <c r="N25" i="56" s="1"/>
  <c r="B25" i="56"/>
  <c r="X24" i="56"/>
  <c r="Z24" i="56" s="1"/>
  <c r="N24" i="56"/>
  <c r="L24" i="56"/>
  <c r="J24" i="56"/>
  <c r="B24" i="56"/>
  <c r="X23" i="56"/>
  <c r="Z23" i="56" s="1"/>
  <c r="N23" i="56"/>
  <c r="L23" i="56"/>
  <c r="B23" i="56"/>
  <c r="Z22" i="56"/>
  <c r="X22" i="56"/>
  <c r="N22" i="56"/>
  <c r="L22" i="56"/>
  <c r="J22" i="56"/>
  <c r="B22" i="56"/>
  <c r="X21" i="56"/>
  <c r="Z21" i="56" s="1"/>
  <c r="R21" i="56"/>
  <c r="L21" i="56"/>
  <c r="N21" i="56" s="1"/>
  <c r="B21" i="56"/>
  <c r="X20" i="56"/>
  <c r="Z20" i="56" s="1"/>
  <c r="T20" i="56"/>
  <c r="P20" i="56"/>
  <c r="N20" i="56"/>
  <c r="L20" i="56"/>
  <c r="J20" i="56"/>
  <c r="H20" i="56"/>
  <c r="D20" i="56"/>
  <c r="B20" i="56"/>
  <c r="T19" i="56"/>
  <c r="P19" i="56"/>
  <c r="H19" i="56"/>
  <c r="D19" i="56"/>
  <c r="T17" i="56"/>
  <c r="T78" i="56" s="1"/>
  <c r="P17" i="56"/>
  <c r="H17" i="56"/>
  <c r="Z15" i="56"/>
  <c r="T15" i="56"/>
  <c r="P15" i="56"/>
  <c r="X15" i="56" s="1"/>
  <c r="H15" i="56"/>
  <c r="N15" i="56" s="1"/>
  <c r="D15" i="56"/>
  <c r="L15" i="56" s="1"/>
  <c r="Z13" i="56"/>
  <c r="P13" i="56"/>
  <c r="P12" i="56" s="1"/>
  <c r="R62" i="56" s="1"/>
  <c r="N13" i="56"/>
  <c r="D13" i="56"/>
  <c r="B13" i="56"/>
  <c r="T12" i="56"/>
  <c r="V32" i="56" s="1"/>
  <c r="N12" i="56"/>
  <c r="H12" i="56"/>
  <c r="J69" i="56" s="1"/>
  <c r="D6" i="56"/>
  <c r="D4" i="56"/>
  <c r="R40" i="55"/>
  <c r="F40" i="55"/>
  <c r="F37" i="55"/>
  <c r="Z35" i="55"/>
  <c r="X35" i="55"/>
  <c r="N35" i="55"/>
  <c r="L35" i="55"/>
  <c r="F35" i="55"/>
  <c r="V33" i="55"/>
  <c r="F33" i="55"/>
  <c r="Z31" i="55"/>
  <c r="V31" i="55"/>
  <c r="T31" i="55"/>
  <c r="R31" i="55"/>
  <c r="P31" i="55"/>
  <c r="X31" i="55" s="1"/>
  <c r="N31" i="55"/>
  <c r="H31" i="55"/>
  <c r="F31" i="55"/>
  <c r="D31" i="55"/>
  <c r="L31" i="55" s="1"/>
  <c r="X29" i="55"/>
  <c r="Z29" i="55" s="1"/>
  <c r="V29" i="55"/>
  <c r="N29" i="55"/>
  <c r="L29" i="55"/>
  <c r="B29" i="55"/>
  <c r="X28" i="55"/>
  <c r="Z28" i="55" s="1"/>
  <c r="V28" i="55"/>
  <c r="L28" i="55"/>
  <c r="N28" i="55" s="1"/>
  <c r="F28" i="55"/>
  <c r="B28" i="55"/>
  <c r="V27" i="55"/>
  <c r="T27" i="55"/>
  <c r="R27" i="55"/>
  <c r="P27" i="55"/>
  <c r="X27" i="55" s="1"/>
  <c r="Z27" i="55" s="1"/>
  <c r="H27" i="55"/>
  <c r="F27" i="55"/>
  <c r="D27" i="55"/>
  <c r="L27" i="55" s="1"/>
  <c r="N27" i="55" s="1"/>
  <c r="B27" i="55"/>
  <c r="X26" i="55"/>
  <c r="Z26" i="55" s="1"/>
  <c r="N26" i="55"/>
  <c r="L26" i="55"/>
  <c r="F26" i="55"/>
  <c r="B26" i="55"/>
  <c r="Z25" i="55"/>
  <c r="X25" i="55"/>
  <c r="T25" i="55"/>
  <c r="P25" i="55"/>
  <c r="N25" i="55"/>
  <c r="L25" i="55"/>
  <c r="H25" i="55"/>
  <c r="F25" i="55"/>
  <c r="D25" i="55"/>
  <c r="B25" i="55"/>
  <c r="Z24" i="55"/>
  <c r="X24" i="55"/>
  <c r="L24" i="55"/>
  <c r="N24" i="55" s="1"/>
  <c r="B24" i="55"/>
  <c r="Z23" i="55"/>
  <c r="V23" i="55"/>
  <c r="T23" i="55"/>
  <c r="X23" i="55" s="1"/>
  <c r="P23" i="55"/>
  <c r="H23" i="55"/>
  <c r="D23" i="55"/>
  <c r="B23" i="55"/>
  <c r="X22" i="55"/>
  <c r="Z22" i="55" s="1"/>
  <c r="L22" i="55"/>
  <c r="N22" i="55" s="1"/>
  <c r="F22" i="55"/>
  <c r="B22" i="55"/>
  <c r="V21" i="55"/>
  <c r="T21" i="55"/>
  <c r="Z21" i="55" s="1"/>
  <c r="R21" i="55"/>
  <c r="P21" i="55"/>
  <c r="X21" i="55" s="1"/>
  <c r="H21" i="55"/>
  <c r="F21" i="55"/>
  <c r="D21" i="55"/>
  <c r="L21" i="55" s="1"/>
  <c r="N21" i="55" s="1"/>
  <c r="B21" i="55"/>
  <c r="X20" i="55"/>
  <c r="Z20" i="55" s="1"/>
  <c r="R20" i="55"/>
  <c r="N20" i="55"/>
  <c r="L20" i="55"/>
  <c r="F20" i="55"/>
  <c r="B20" i="55"/>
  <c r="X19" i="55"/>
  <c r="Z19" i="55" s="1"/>
  <c r="T19" i="55"/>
  <c r="R19" i="55"/>
  <c r="P19" i="55"/>
  <c r="N19" i="55"/>
  <c r="L19" i="55"/>
  <c r="H19" i="55"/>
  <c r="F19" i="55"/>
  <c r="D19" i="55"/>
  <c r="B19" i="55"/>
  <c r="T18" i="55"/>
  <c r="P18" i="55"/>
  <c r="X18" i="55" s="1"/>
  <c r="H18" i="55"/>
  <c r="D18" i="55"/>
  <c r="H16" i="55"/>
  <c r="T14" i="55"/>
  <c r="Z14" i="55" s="1"/>
  <c r="P14" i="55"/>
  <c r="X14" i="55" s="1"/>
  <c r="H14" i="55"/>
  <c r="N14" i="55" s="1"/>
  <c r="D14" i="55"/>
  <c r="L14" i="55" s="1"/>
  <c r="Z12" i="55"/>
  <c r="T12" i="55"/>
  <c r="V18" i="55" s="1"/>
  <c r="P12" i="55"/>
  <c r="R25" i="55" s="1"/>
  <c r="H12" i="55"/>
  <c r="D12" i="55"/>
  <c r="F29" i="55" s="1"/>
  <c r="D6" i="55"/>
  <c r="D4" i="55"/>
  <c r="V31" i="54"/>
  <c r="J31" i="54"/>
  <c r="X29" i="54"/>
  <c r="Z29" i="54" s="1"/>
  <c r="V29" i="54"/>
  <c r="T29" i="54"/>
  <c r="R29" i="54"/>
  <c r="P29" i="54"/>
  <c r="J29" i="54"/>
  <c r="H29" i="54"/>
  <c r="D29" i="54"/>
  <c r="L29" i="54" s="1"/>
  <c r="T28" i="54"/>
  <c r="P28" i="54"/>
  <c r="X28" i="54" s="1"/>
  <c r="Z28" i="54" s="1"/>
  <c r="H28" i="54"/>
  <c r="D28" i="54"/>
  <c r="L28" i="54" s="1"/>
  <c r="V26" i="54"/>
  <c r="R26" i="54"/>
  <c r="J26" i="54"/>
  <c r="Z24" i="54"/>
  <c r="X24" i="54"/>
  <c r="V24" i="54"/>
  <c r="N24" i="54"/>
  <c r="L24" i="54"/>
  <c r="J24" i="54"/>
  <c r="R22" i="54"/>
  <c r="F22" i="54"/>
  <c r="T20" i="54"/>
  <c r="Z20" i="54" s="1"/>
  <c r="R20" i="54"/>
  <c r="P20" i="54"/>
  <c r="X20" i="54" s="1"/>
  <c r="J20" i="54"/>
  <c r="H20" i="54"/>
  <c r="N20" i="54" s="1"/>
  <c r="F20" i="54"/>
  <c r="D20" i="54"/>
  <c r="L20" i="54" s="1"/>
  <c r="Z18" i="54"/>
  <c r="T18" i="54"/>
  <c r="P18" i="54"/>
  <c r="X18" i="54" s="1"/>
  <c r="H18" i="54"/>
  <c r="N18" i="54" s="1"/>
  <c r="F18" i="54"/>
  <c r="D18" i="54"/>
  <c r="L18" i="54" s="1"/>
  <c r="F16" i="54"/>
  <c r="Z14" i="54"/>
  <c r="T14" i="54"/>
  <c r="T16" i="54" s="1"/>
  <c r="Z16" i="54" s="1"/>
  <c r="P14" i="54"/>
  <c r="X14" i="54" s="1"/>
  <c r="H14" i="54"/>
  <c r="H16" i="54" s="1"/>
  <c r="F14" i="54"/>
  <c r="D14" i="54"/>
  <c r="L14" i="54" s="1"/>
  <c r="Z12" i="54"/>
  <c r="X12" i="54"/>
  <c r="T12" i="54"/>
  <c r="P12" i="54"/>
  <c r="R28" i="54" s="1"/>
  <c r="L12" i="54"/>
  <c r="H12" i="54"/>
  <c r="J28" i="54" s="1"/>
  <c r="D12" i="54"/>
  <c r="F24" i="54" s="1"/>
  <c r="D6" i="54"/>
  <c r="D4" i="54"/>
  <c r="Z103" i="51"/>
  <c r="X103" i="51"/>
  <c r="L103" i="51"/>
  <c r="N103" i="51" s="1"/>
  <c r="P99" i="51"/>
  <c r="X99" i="51" s="1"/>
  <c r="Z99" i="51" s="1"/>
  <c r="D99" i="51"/>
  <c r="L99" i="51" s="1"/>
  <c r="N99" i="51" s="1"/>
  <c r="B99" i="51"/>
  <c r="Z98" i="51"/>
  <c r="P98" i="51"/>
  <c r="X98" i="51" s="1"/>
  <c r="N98" i="51"/>
  <c r="L98" i="51"/>
  <c r="D98" i="51"/>
  <c r="B98" i="51"/>
  <c r="T97" i="51"/>
  <c r="H97" i="51"/>
  <c r="D97" i="51"/>
  <c r="L97" i="51" s="1"/>
  <c r="N97" i="51" s="1"/>
  <c r="Z95" i="51"/>
  <c r="X95" i="51"/>
  <c r="L95" i="51"/>
  <c r="N95" i="51" s="1"/>
  <c r="J95" i="51"/>
  <c r="B95" i="51"/>
  <c r="V94" i="51"/>
  <c r="T94" i="51"/>
  <c r="Z94" i="51" s="1"/>
  <c r="P94" i="51"/>
  <c r="X94" i="51" s="1"/>
  <c r="H94" i="51"/>
  <c r="D94" i="51"/>
  <c r="B94" i="51"/>
  <c r="X93" i="51"/>
  <c r="Z93" i="51" s="1"/>
  <c r="L93" i="51"/>
  <c r="N93" i="51" s="1"/>
  <c r="B93" i="51"/>
  <c r="T92" i="51"/>
  <c r="P92" i="51"/>
  <c r="X92" i="51" s="1"/>
  <c r="Z92" i="51" s="1"/>
  <c r="H92" i="51"/>
  <c r="N92" i="51" s="1"/>
  <c r="D92" i="51"/>
  <c r="L92" i="51" s="1"/>
  <c r="B92" i="51"/>
  <c r="X91" i="51"/>
  <c r="Z91" i="51" s="1"/>
  <c r="N91" i="51"/>
  <c r="L91" i="51"/>
  <c r="B91" i="51"/>
  <c r="X90" i="51"/>
  <c r="Z90" i="51" s="1"/>
  <c r="N90" i="51"/>
  <c r="L90" i="51"/>
  <c r="J90" i="51"/>
  <c r="B90" i="51"/>
  <c r="Z89" i="51"/>
  <c r="X89" i="51"/>
  <c r="N89" i="51"/>
  <c r="L89" i="51"/>
  <c r="B89" i="51"/>
  <c r="Z88" i="51"/>
  <c r="X88" i="51"/>
  <c r="T88" i="51"/>
  <c r="P88" i="51"/>
  <c r="L88" i="51"/>
  <c r="N88" i="51" s="1"/>
  <c r="H88" i="51"/>
  <c r="D88" i="51"/>
  <c r="B88" i="51"/>
  <c r="Z87" i="51"/>
  <c r="X87" i="51"/>
  <c r="N87" i="51"/>
  <c r="L87" i="51"/>
  <c r="J87" i="51"/>
  <c r="B87" i="51"/>
  <c r="V86" i="51"/>
  <c r="T86" i="51"/>
  <c r="Z86" i="51" s="1"/>
  <c r="P86" i="51"/>
  <c r="X86" i="51" s="1"/>
  <c r="H86" i="51"/>
  <c r="D86" i="51"/>
  <c r="B86" i="51"/>
  <c r="X85" i="51"/>
  <c r="Z85" i="51" s="1"/>
  <c r="L85" i="51"/>
  <c r="N85" i="51" s="1"/>
  <c r="B85" i="51"/>
  <c r="T84" i="51"/>
  <c r="P84" i="51"/>
  <c r="X84" i="51" s="1"/>
  <c r="Z84" i="51" s="1"/>
  <c r="H84" i="51"/>
  <c r="D84" i="51"/>
  <c r="L84" i="51" s="1"/>
  <c r="B84" i="51"/>
  <c r="X83" i="51"/>
  <c r="Z83" i="51" s="1"/>
  <c r="N83" i="51"/>
  <c r="L83" i="51"/>
  <c r="B83" i="51"/>
  <c r="X82" i="51"/>
  <c r="Z82" i="51" s="1"/>
  <c r="T82" i="51"/>
  <c r="P82" i="51"/>
  <c r="N82" i="51"/>
  <c r="L82" i="51"/>
  <c r="H82" i="51"/>
  <c r="D82" i="51"/>
  <c r="B82" i="51"/>
  <c r="Z81" i="51"/>
  <c r="X81" i="51"/>
  <c r="N81" i="51"/>
  <c r="L81" i="51"/>
  <c r="B81" i="51"/>
  <c r="Z80" i="51"/>
  <c r="X80" i="51"/>
  <c r="N80" i="51"/>
  <c r="L80" i="51"/>
  <c r="B80" i="51"/>
  <c r="T79" i="51"/>
  <c r="Z79" i="51" s="1"/>
  <c r="P79" i="51"/>
  <c r="X79" i="51" s="1"/>
  <c r="H79" i="51"/>
  <c r="D79" i="51"/>
  <c r="L79" i="51" s="1"/>
  <c r="N79" i="51" s="1"/>
  <c r="B79" i="51"/>
  <c r="X78" i="51"/>
  <c r="Z78" i="51" s="1"/>
  <c r="L78" i="51"/>
  <c r="N78" i="51" s="1"/>
  <c r="B78" i="51"/>
  <c r="X77" i="51"/>
  <c r="Z77" i="51" s="1"/>
  <c r="T77" i="51"/>
  <c r="P77" i="51"/>
  <c r="J77" i="51"/>
  <c r="H77" i="51"/>
  <c r="D77" i="51"/>
  <c r="B77" i="51"/>
  <c r="Z76" i="51"/>
  <c r="X76" i="51"/>
  <c r="N76" i="51"/>
  <c r="L76" i="51"/>
  <c r="B76" i="51"/>
  <c r="T75" i="51"/>
  <c r="P75" i="51"/>
  <c r="H75" i="51"/>
  <c r="D75" i="51"/>
  <c r="L75" i="51" s="1"/>
  <c r="B75" i="51"/>
  <c r="Z74" i="51"/>
  <c r="X74" i="51"/>
  <c r="V74" i="51"/>
  <c r="L74" i="51"/>
  <c r="N74" i="51" s="1"/>
  <c r="B74" i="51"/>
  <c r="T73" i="51"/>
  <c r="P73" i="51"/>
  <c r="X73" i="51" s="1"/>
  <c r="Z73" i="51" s="1"/>
  <c r="H73" i="51"/>
  <c r="N73" i="51" s="1"/>
  <c r="D73" i="51"/>
  <c r="L73" i="51" s="1"/>
  <c r="B73" i="51"/>
  <c r="Z72" i="51"/>
  <c r="X72" i="51"/>
  <c r="N72" i="51"/>
  <c r="L72" i="51"/>
  <c r="B72" i="51"/>
  <c r="V71" i="51"/>
  <c r="T71" i="51"/>
  <c r="P71" i="51"/>
  <c r="L71" i="51"/>
  <c r="N71" i="51" s="1"/>
  <c r="H71" i="51"/>
  <c r="D71" i="51"/>
  <c r="B71" i="51"/>
  <c r="Z70" i="51"/>
  <c r="X70" i="51"/>
  <c r="N70" i="51"/>
  <c r="L70" i="51"/>
  <c r="J70" i="51"/>
  <c r="B70" i="51"/>
  <c r="Z69" i="51"/>
  <c r="X69" i="51"/>
  <c r="N69" i="51"/>
  <c r="L69" i="51"/>
  <c r="B69" i="51"/>
  <c r="Z68" i="51"/>
  <c r="X68" i="51"/>
  <c r="N68" i="51"/>
  <c r="L68" i="51"/>
  <c r="B68" i="51"/>
  <c r="X67" i="51"/>
  <c r="Z67" i="51" s="1"/>
  <c r="N67" i="51"/>
  <c r="L67" i="51"/>
  <c r="B67" i="51"/>
  <c r="Z66" i="51"/>
  <c r="X66" i="51"/>
  <c r="N66" i="51"/>
  <c r="L66" i="51"/>
  <c r="J66" i="51"/>
  <c r="B66" i="51"/>
  <c r="Z65" i="51"/>
  <c r="X65" i="51"/>
  <c r="N65" i="51"/>
  <c r="L65" i="51"/>
  <c r="B65" i="51"/>
  <c r="Z64" i="51"/>
  <c r="X64" i="51"/>
  <c r="N64" i="51"/>
  <c r="L64" i="51"/>
  <c r="B64" i="51"/>
  <c r="Z63" i="51"/>
  <c r="X63" i="51"/>
  <c r="N63" i="51"/>
  <c r="L63" i="51"/>
  <c r="B63" i="51"/>
  <c r="X62" i="51"/>
  <c r="Z62" i="51" s="1"/>
  <c r="L62" i="51"/>
  <c r="N62" i="51" s="1"/>
  <c r="J62" i="51"/>
  <c r="B62" i="51"/>
  <c r="Z61" i="51"/>
  <c r="X61" i="51"/>
  <c r="N61" i="51"/>
  <c r="L61" i="51"/>
  <c r="B61" i="51"/>
  <c r="T60" i="51"/>
  <c r="P60" i="51"/>
  <c r="X60" i="51" s="1"/>
  <c r="Z60" i="51" s="1"/>
  <c r="L60" i="51"/>
  <c r="N60" i="51" s="1"/>
  <c r="H60" i="51"/>
  <c r="D60" i="51"/>
  <c r="B60" i="51"/>
  <c r="Z59" i="51"/>
  <c r="X59" i="51"/>
  <c r="N59" i="51"/>
  <c r="L59" i="51"/>
  <c r="J59" i="51"/>
  <c r="B59" i="51"/>
  <c r="X58" i="51"/>
  <c r="Z58" i="51" s="1"/>
  <c r="V58" i="51"/>
  <c r="L58" i="51"/>
  <c r="N58" i="51" s="1"/>
  <c r="B58" i="51"/>
  <c r="Z57" i="51"/>
  <c r="X57" i="51"/>
  <c r="L57" i="51"/>
  <c r="N57" i="51" s="1"/>
  <c r="B57" i="51"/>
  <c r="Z56" i="51"/>
  <c r="X56" i="51"/>
  <c r="N56" i="51"/>
  <c r="L56" i="51"/>
  <c r="B56" i="51"/>
  <c r="Z55" i="51"/>
  <c r="X55" i="51"/>
  <c r="N55" i="51"/>
  <c r="L55" i="51"/>
  <c r="J55" i="51"/>
  <c r="B55" i="51"/>
  <c r="X54" i="51"/>
  <c r="Z54" i="51" s="1"/>
  <c r="V54" i="51"/>
  <c r="L54" i="51"/>
  <c r="N54" i="51" s="1"/>
  <c r="B54" i="51"/>
  <c r="Z53" i="51"/>
  <c r="X53" i="51"/>
  <c r="L53" i="51"/>
  <c r="N53" i="51" s="1"/>
  <c r="B53" i="51"/>
  <c r="Z52" i="51"/>
  <c r="X52" i="51"/>
  <c r="N52" i="51"/>
  <c r="L52" i="51"/>
  <c r="B52" i="51"/>
  <c r="Z51" i="51"/>
  <c r="X51" i="51"/>
  <c r="N51" i="51"/>
  <c r="L51" i="51"/>
  <c r="J51" i="51"/>
  <c r="B51" i="51"/>
  <c r="X50" i="51"/>
  <c r="Z50" i="51" s="1"/>
  <c r="V50" i="51"/>
  <c r="L50" i="51"/>
  <c r="N50" i="51" s="1"/>
  <c r="B50" i="51"/>
  <c r="T49" i="51"/>
  <c r="P49" i="51"/>
  <c r="X49" i="51" s="1"/>
  <c r="Z49" i="51" s="1"/>
  <c r="H49" i="51"/>
  <c r="D49" i="51"/>
  <c r="L49" i="51" s="1"/>
  <c r="B49" i="51"/>
  <c r="T48" i="51"/>
  <c r="P48" i="51"/>
  <c r="X48" i="51" s="1"/>
  <c r="Z48" i="51" s="1"/>
  <c r="H48" i="51"/>
  <c r="D48" i="51"/>
  <c r="L48" i="51" s="1"/>
  <c r="Z44" i="51"/>
  <c r="X44" i="51"/>
  <c r="N44" i="51"/>
  <c r="L44" i="51"/>
  <c r="B44" i="51"/>
  <c r="Z43" i="51"/>
  <c r="X43" i="51"/>
  <c r="V43" i="51"/>
  <c r="N43" i="51"/>
  <c r="L43" i="51"/>
  <c r="B43" i="51"/>
  <c r="Z42" i="51"/>
  <c r="X42" i="51"/>
  <c r="N42" i="51"/>
  <c r="L42" i="51"/>
  <c r="B42" i="51"/>
  <c r="Z41" i="51"/>
  <c r="X41" i="51"/>
  <c r="N41" i="51"/>
  <c r="L41" i="51"/>
  <c r="B41" i="51"/>
  <c r="Z40" i="51"/>
  <c r="X40" i="51"/>
  <c r="N40" i="51"/>
  <c r="L40" i="51"/>
  <c r="B40" i="51"/>
  <c r="Z39" i="51"/>
  <c r="X39" i="51"/>
  <c r="V39" i="51"/>
  <c r="N39" i="51"/>
  <c r="L39" i="51"/>
  <c r="B39" i="51"/>
  <c r="Z38" i="51"/>
  <c r="X38" i="51"/>
  <c r="N38" i="51"/>
  <c r="L38" i="51"/>
  <c r="B38" i="51"/>
  <c r="Z37" i="51"/>
  <c r="X37" i="51"/>
  <c r="N37" i="51"/>
  <c r="L37" i="51"/>
  <c r="B37" i="51"/>
  <c r="Z36" i="51"/>
  <c r="X36" i="51"/>
  <c r="N36" i="51"/>
  <c r="L36" i="51"/>
  <c r="B36" i="51"/>
  <c r="Z35" i="51"/>
  <c r="X35" i="51"/>
  <c r="V35" i="51"/>
  <c r="N35" i="51"/>
  <c r="L35" i="51"/>
  <c r="B35" i="51"/>
  <c r="Z34" i="51"/>
  <c r="X34" i="51"/>
  <c r="N34" i="51"/>
  <c r="L34" i="51"/>
  <c r="B34" i="51"/>
  <c r="X33" i="51"/>
  <c r="Z33" i="51" s="1"/>
  <c r="L33" i="51"/>
  <c r="N33" i="51" s="1"/>
  <c r="B33" i="51"/>
  <c r="T32" i="51"/>
  <c r="P32" i="51"/>
  <c r="X32" i="51" s="1"/>
  <c r="Z32" i="51" s="1"/>
  <c r="H32" i="51"/>
  <c r="N32" i="51" s="1"/>
  <c r="D32" i="51"/>
  <c r="L32" i="51" s="1"/>
  <c r="Z30" i="51"/>
  <c r="X30" i="51"/>
  <c r="P30" i="51"/>
  <c r="N30" i="51"/>
  <c r="L30" i="51"/>
  <c r="D30" i="51"/>
  <c r="B30" i="51"/>
  <c r="Z29" i="51"/>
  <c r="X29" i="51"/>
  <c r="P29" i="51"/>
  <c r="N29" i="51"/>
  <c r="L29" i="51"/>
  <c r="D29" i="51"/>
  <c r="B29" i="51"/>
  <c r="Z28" i="51"/>
  <c r="P28" i="51"/>
  <c r="X28" i="51" s="1"/>
  <c r="N28" i="51"/>
  <c r="D28" i="51"/>
  <c r="L28" i="51" s="1"/>
  <c r="B28" i="51"/>
  <c r="Z27" i="51"/>
  <c r="P27" i="51"/>
  <c r="X27" i="51" s="1"/>
  <c r="N27" i="51"/>
  <c r="L27" i="51"/>
  <c r="D27" i="51"/>
  <c r="B27" i="51"/>
  <c r="Z26" i="51"/>
  <c r="X26" i="51"/>
  <c r="P26" i="51"/>
  <c r="N26" i="51"/>
  <c r="L26" i="51"/>
  <c r="D26" i="51"/>
  <c r="B26" i="51"/>
  <c r="Z25" i="51"/>
  <c r="X25" i="51"/>
  <c r="P25" i="51"/>
  <c r="N25" i="51"/>
  <c r="D25" i="51"/>
  <c r="L25" i="51" s="1"/>
  <c r="B25" i="51"/>
  <c r="Z24" i="51"/>
  <c r="P24" i="51"/>
  <c r="X24" i="51" s="1"/>
  <c r="N24" i="51"/>
  <c r="D24" i="51"/>
  <c r="L24" i="51" s="1"/>
  <c r="B24" i="51"/>
  <c r="Z23" i="51"/>
  <c r="P23" i="51"/>
  <c r="X23" i="51" s="1"/>
  <c r="N23" i="51"/>
  <c r="L23" i="51"/>
  <c r="D23" i="51"/>
  <c r="B23" i="51"/>
  <c r="Z22" i="51"/>
  <c r="X22" i="51"/>
  <c r="P22" i="51"/>
  <c r="N22" i="51"/>
  <c r="L22" i="51"/>
  <c r="D22" i="51"/>
  <c r="B22" i="51"/>
  <c r="Z21" i="51"/>
  <c r="X21" i="51"/>
  <c r="P21" i="51"/>
  <c r="N21" i="51"/>
  <c r="D21" i="51"/>
  <c r="L21" i="51" s="1"/>
  <c r="B21" i="51"/>
  <c r="Z20" i="51"/>
  <c r="X20" i="51"/>
  <c r="P20" i="51"/>
  <c r="N20" i="51"/>
  <c r="D20" i="51"/>
  <c r="L20" i="51" s="1"/>
  <c r="B20" i="51"/>
  <c r="P19" i="51"/>
  <c r="X19" i="51" s="1"/>
  <c r="Z19" i="51" s="1"/>
  <c r="N19" i="51"/>
  <c r="L19" i="51"/>
  <c r="D19" i="51"/>
  <c r="B19" i="51"/>
  <c r="Z18" i="51"/>
  <c r="X18" i="51"/>
  <c r="P18" i="51"/>
  <c r="N18" i="51"/>
  <c r="L18" i="51"/>
  <c r="D18" i="51"/>
  <c r="B18" i="51"/>
  <c r="Z17" i="51"/>
  <c r="X17" i="51"/>
  <c r="P17" i="51"/>
  <c r="N17" i="51"/>
  <c r="L17" i="51"/>
  <c r="D17" i="51"/>
  <c r="B17" i="51"/>
  <c r="Z16" i="51"/>
  <c r="P16" i="51"/>
  <c r="X16" i="51" s="1"/>
  <c r="N16" i="51"/>
  <c r="D16" i="51"/>
  <c r="L16" i="51" s="1"/>
  <c r="B16" i="51"/>
  <c r="Z15" i="51"/>
  <c r="P15" i="51"/>
  <c r="N15" i="51"/>
  <c r="L15" i="51"/>
  <c r="D15" i="51"/>
  <c r="B15" i="51"/>
  <c r="Z14" i="51"/>
  <c r="X14" i="51"/>
  <c r="P14" i="51"/>
  <c r="N14" i="51"/>
  <c r="L14" i="51"/>
  <c r="D14" i="51"/>
  <c r="B14" i="51"/>
  <c r="Z13" i="51"/>
  <c r="X13" i="51"/>
  <c r="P13" i="51"/>
  <c r="D13" i="51"/>
  <c r="B13" i="51"/>
  <c r="T12" i="51"/>
  <c r="V88" i="51" s="1"/>
  <c r="H12" i="51"/>
  <c r="J82" i="51" s="1"/>
  <c r="D4" i="51"/>
  <c r="Z73" i="48"/>
  <c r="X73" i="48"/>
  <c r="N73" i="48"/>
  <c r="L73" i="48"/>
  <c r="J73" i="48"/>
  <c r="P69" i="48"/>
  <c r="X69" i="48" s="1"/>
  <c r="Z69" i="48" s="1"/>
  <c r="D69" i="48"/>
  <c r="L69" i="48" s="1"/>
  <c r="N69" i="48" s="1"/>
  <c r="B69" i="48"/>
  <c r="T68" i="48"/>
  <c r="P68" i="48"/>
  <c r="X68" i="48" s="1"/>
  <c r="Z68" i="48" s="1"/>
  <c r="H68" i="48"/>
  <c r="D68" i="48"/>
  <c r="L68" i="48" s="1"/>
  <c r="Z66" i="48"/>
  <c r="X66" i="48"/>
  <c r="N66" i="48"/>
  <c r="L66" i="48"/>
  <c r="B66" i="48"/>
  <c r="V65" i="48"/>
  <c r="T65" i="48"/>
  <c r="Z65" i="48" s="1"/>
  <c r="P65" i="48"/>
  <c r="X65" i="48" s="1"/>
  <c r="L65" i="48"/>
  <c r="N65" i="48" s="1"/>
  <c r="H65" i="48"/>
  <c r="D65" i="48"/>
  <c r="B65" i="48"/>
  <c r="Z64" i="48"/>
  <c r="X64" i="48"/>
  <c r="N64" i="48"/>
  <c r="L64" i="48"/>
  <c r="B64" i="48"/>
  <c r="X63" i="48"/>
  <c r="Z63" i="48" s="1"/>
  <c r="N63" i="48"/>
  <c r="L63" i="48"/>
  <c r="B63" i="48"/>
  <c r="T62" i="48"/>
  <c r="P62" i="48"/>
  <c r="X62" i="48" s="1"/>
  <c r="Z62" i="48" s="1"/>
  <c r="L62" i="48"/>
  <c r="H62" i="48"/>
  <c r="D62" i="48"/>
  <c r="B62" i="48"/>
  <c r="Z61" i="48"/>
  <c r="X61" i="48"/>
  <c r="N61" i="48"/>
  <c r="L61" i="48"/>
  <c r="J61" i="48"/>
  <c r="B61" i="48"/>
  <c r="Z60" i="48"/>
  <c r="X60" i="48"/>
  <c r="V60" i="48"/>
  <c r="N60" i="48"/>
  <c r="L60" i="48"/>
  <c r="B60" i="48"/>
  <c r="Z59" i="48"/>
  <c r="X59" i="48"/>
  <c r="L59" i="48"/>
  <c r="N59" i="48" s="1"/>
  <c r="B59" i="48"/>
  <c r="Z58" i="48"/>
  <c r="X58" i="48"/>
  <c r="R58" i="48"/>
  <c r="N58" i="48"/>
  <c r="L58" i="48"/>
  <c r="B58" i="48"/>
  <c r="T57" i="48"/>
  <c r="Z57" i="48" s="1"/>
  <c r="P57" i="48"/>
  <c r="X57" i="48" s="1"/>
  <c r="N57" i="48"/>
  <c r="H57" i="48"/>
  <c r="D57" i="48"/>
  <c r="L57" i="48" s="1"/>
  <c r="B57" i="48"/>
  <c r="Z56" i="48"/>
  <c r="X56" i="48"/>
  <c r="L56" i="48"/>
  <c r="N56" i="48" s="1"/>
  <c r="B56" i="48"/>
  <c r="X55" i="48"/>
  <c r="Z55" i="48" s="1"/>
  <c r="T55" i="48"/>
  <c r="P55" i="48"/>
  <c r="H55" i="48"/>
  <c r="N55" i="48" s="1"/>
  <c r="D55" i="48"/>
  <c r="L55" i="48" s="1"/>
  <c r="B55" i="48"/>
  <c r="Z54" i="48"/>
  <c r="X54" i="48"/>
  <c r="N54" i="48"/>
  <c r="L54" i="48"/>
  <c r="B54" i="48"/>
  <c r="T53" i="48"/>
  <c r="P53" i="48"/>
  <c r="H53" i="48"/>
  <c r="D53" i="48"/>
  <c r="L53" i="48" s="1"/>
  <c r="B53" i="48"/>
  <c r="Z52" i="48"/>
  <c r="X52" i="48"/>
  <c r="N52" i="48"/>
  <c r="L52" i="48"/>
  <c r="B52" i="48"/>
  <c r="Z51" i="48"/>
  <c r="T51" i="48"/>
  <c r="P51" i="48"/>
  <c r="X51" i="48" s="1"/>
  <c r="H51" i="48"/>
  <c r="N51" i="48" s="1"/>
  <c r="D51" i="48"/>
  <c r="L51" i="48" s="1"/>
  <c r="B51" i="48"/>
  <c r="Z50" i="48"/>
  <c r="X50" i="48"/>
  <c r="N50" i="48"/>
  <c r="L50" i="48"/>
  <c r="B50" i="48"/>
  <c r="Z49" i="48"/>
  <c r="X49" i="48"/>
  <c r="V49" i="48"/>
  <c r="N49" i="48"/>
  <c r="L49" i="48"/>
  <c r="B49" i="48"/>
  <c r="T48" i="48"/>
  <c r="Z48" i="48" s="1"/>
  <c r="P48" i="48"/>
  <c r="X48" i="48" s="1"/>
  <c r="H48" i="48"/>
  <c r="D48" i="48"/>
  <c r="L48" i="48" s="1"/>
  <c r="N48" i="48" s="1"/>
  <c r="B48" i="48"/>
  <c r="X47" i="48"/>
  <c r="Z47" i="48" s="1"/>
  <c r="N47" i="48"/>
  <c r="L47" i="48"/>
  <c r="B47" i="48"/>
  <c r="Z46" i="48"/>
  <c r="X46" i="48"/>
  <c r="T46" i="48"/>
  <c r="P46" i="48"/>
  <c r="L46" i="48"/>
  <c r="H46" i="48"/>
  <c r="N46" i="48" s="1"/>
  <c r="D46" i="48"/>
  <c r="B46" i="48"/>
  <c r="Z45" i="48"/>
  <c r="X45" i="48"/>
  <c r="N45" i="48"/>
  <c r="L45" i="48"/>
  <c r="J45" i="48"/>
  <c r="B45" i="48"/>
  <c r="V44" i="48"/>
  <c r="T44" i="48"/>
  <c r="P44" i="48"/>
  <c r="H44" i="48"/>
  <c r="D44" i="48"/>
  <c r="B44" i="48"/>
  <c r="X43" i="48"/>
  <c r="Z43" i="48" s="1"/>
  <c r="L43" i="48"/>
  <c r="N43" i="48" s="1"/>
  <c r="B43" i="48"/>
  <c r="T42" i="48"/>
  <c r="P42" i="48"/>
  <c r="X42" i="48" s="1"/>
  <c r="Z42" i="48" s="1"/>
  <c r="H42" i="48"/>
  <c r="N42" i="48" s="1"/>
  <c r="D42" i="48"/>
  <c r="L42" i="48" s="1"/>
  <c r="B42" i="48"/>
  <c r="Z41" i="48"/>
  <c r="X41" i="48"/>
  <c r="N41" i="48"/>
  <c r="L41" i="48"/>
  <c r="B41" i="48"/>
  <c r="Z40" i="48"/>
  <c r="X40" i="48"/>
  <c r="N40" i="48"/>
  <c r="L40" i="48"/>
  <c r="J40" i="48"/>
  <c r="B40" i="48"/>
  <c r="X39" i="48"/>
  <c r="Z39" i="48" s="1"/>
  <c r="N39" i="48"/>
  <c r="L39" i="48"/>
  <c r="B39" i="48"/>
  <c r="Z38" i="48"/>
  <c r="X38" i="48"/>
  <c r="N38" i="48"/>
  <c r="L38" i="48"/>
  <c r="B38" i="48"/>
  <c r="Z37" i="48"/>
  <c r="X37" i="48"/>
  <c r="R37" i="48"/>
  <c r="N37" i="48"/>
  <c r="L37" i="48"/>
  <c r="B37" i="48"/>
  <c r="Z36" i="48"/>
  <c r="X36" i="48"/>
  <c r="N36" i="48"/>
  <c r="L36" i="48"/>
  <c r="J36" i="48"/>
  <c r="B36" i="48"/>
  <c r="X35" i="48"/>
  <c r="Z35" i="48" s="1"/>
  <c r="N35" i="48"/>
  <c r="L35" i="48"/>
  <c r="B35" i="48"/>
  <c r="Z34" i="48"/>
  <c r="X34" i="48"/>
  <c r="N34" i="48"/>
  <c r="L34" i="48"/>
  <c r="B34" i="48"/>
  <c r="X33" i="48"/>
  <c r="Z33" i="48" s="1"/>
  <c r="N33" i="48"/>
  <c r="L33" i="48"/>
  <c r="B33" i="48"/>
  <c r="X32" i="48"/>
  <c r="Z32" i="48" s="1"/>
  <c r="L32" i="48"/>
  <c r="N32" i="48" s="1"/>
  <c r="J32" i="48"/>
  <c r="B32" i="48"/>
  <c r="T31" i="48"/>
  <c r="P31" i="48"/>
  <c r="X31" i="48" s="1"/>
  <c r="H31" i="48"/>
  <c r="D31" i="48"/>
  <c r="L31" i="48" s="1"/>
  <c r="B31" i="48"/>
  <c r="Z30" i="48"/>
  <c r="X30" i="48"/>
  <c r="R30" i="48"/>
  <c r="N30" i="48"/>
  <c r="L30" i="48"/>
  <c r="B30" i="48"/>
  <c r="Z29" i="48"/>
  <c r="X29" i="48"/>
  <c r="N29" i="48"/>
  <c r="L29" i="48"/>
  <c r="J29" i="48"/>
  <c r="B29" i="48"/>
  <c r="X28" i="48"/>
  <c r="Z28" i="48" s="1"/>
  <c r="V28" i="48"/>
  <c r="N28" i="48"/>
  <c r="L28" i="48"/>
  <c r="B28" i="48"/>
  <c r="Z27" i="48"/>
  <c r="X27" i="48"/>
  <c r="N27" i="48"/>
  <c r="L27" i="48"/>
  <c r="B27" i="48"/>
  <c r="Z26" i="48"/>
  <c r="X26" i="48"/>
  <c r="N26" i="48"/>
  <c r="L26" i="48"/>
  <c r="B26" i="48"/>
  <c r="Z25" i="48"/>
  <c r="X25" i="48"/>
  <c r="N25" i="48"/>
  <c r="L25" i="48"/>
  <c r="J25" i="48"/>
  <c r="B25" i="48"/>
  <c r="X24" i="48"/>
  <c r="Z24" i="48" s="1"/>
  <c r="N24" i="48"/>
  <c r="L24" i="48"/>
  <c r="B24" i="48"/>
  <c r="Z23" i="48"/>
  <c r="X23" i="48"/>
  <c r="L23" i="48"/>
  <c r="N23" i="48" s="1"/>
  <c r="B23" i="48"/>
  <c r="Z22" i="48"/>
  <c r="X22" i="48"/>
  <c r="N22" i="48"/>
  <c r="L22" i="48"/>
  <c r="B22" i="48"/>
  <c r="Z21" i="48"/>
  <c r="X21" i="48"/>
  <c r="N21" i="48"/>
  <c r="L21" i="48"/>
  <c r="J21" i="48"/>
  <c r="B21" i="48"/>
  <c r="X20" i="48"/>
  <c r="V20" i="48"/>
  <c r="T20" i="48"/>
  <c r="Z20" i="48" s="1"/>
  <c r="P20" i="48"/>
  <c r="H20" i="48"/>
  <c r="D20" i="48"/>
  <c r="B20" i="48"/>
  <c r="T19" i="48"/>
  <c r="P19" i="48"/>
  <c r="H19" i="48"/>
  <c r="J19" i="48" s="1"/>
  <c r="D19" i="48"/>
  <c r="T15" i="48"/>
  <c r="Z15" i="48" s="1"/>
  <c r="P15" i="48"/>
  <c r="X15" i="48" s="1"/>
  <c r="J15" i="48"/>
  <c r="H15" i="48"/>
  <c r="N15" i="48" s="1"/>
  <c r="D15" i="48"/>
  <c r="L15" i="48" s="1"/>
  <c r="X13" i="48"/>
  <c r="Z13" i="48" s="1"/>
  <c r="P13" i="48"/>
  <c r="P12" i="48" s="1"/>
  <c r="R42" i="48" s="1"/>
  <c r="D13" i="48"/>
  <c r="B13" i="48"/>
  <c r="T12" i="48"/>
  <c r="V52" i="48" s="1"/>
  <c r="H12" i="48"/>
  <c r="D4" i="48"/>
  <c r="Z103" i="45"/>
  <c r="X103" i="45"/>
  <c r="L103" i="45"/>
  <c r="N103" i="45" s="1"/>
  <c r="J103" i="45"/>
  <c r="T99" i="45"/>
  <c r="Z99" i="45" s="1"/>
  <c r="P99" i="45"/>
  <c r="H99" i="45"/>
  <c r="D99" i="45"/>
  <c r="X97" i="45"/>
  <c r="Z97" i="45" s="1"/>
  <c r="N97" i="45"/>
  <c r="L97" i="45"/>
  <c r="B97" i="45"/>
  <c r="X96" i="45"/>
  <c r="Z96" i="45" s="1"/>
  <c r="T96" i="45"/>
  <c r="P96" i="45"/>
  <c r="H96" i="45"/>
  <c r="L96" i="45" s="1"/>
  <c r="N96" i="45" s="1"/>
  <c r="D96" i="45"/>
  <c r="B96" i="45"/>
  <c r="Z95" i="45"/>
  <c r="X95" i="45"/>
  <c r="L95" i="45"/>
  <c r="N95" i="45" s="1"/>
  <c r="B95" i="45"/>
  <c r="T94" i="45"/>
  <c r="P94" i="45"/>
  <c r="X94" i="45" s="1"/>
  <c r="H94" i="45"/>
  <c r="D94" i="45"/>
  <c r="L94" i="45" s="1"/>
  <c r="N94" i="45" s="1"/>
  <c r="B94" i="45"/>
  <c r="X93" i="45"/>
  <c r="Z93" i="45" s="1"/>
  <c r="V93" i="45"/>
  <c r="L93" i="45"/>
  <c r="N93" i="45" s="1"/>
  <c r="B93" i="45"/>
  <c r="X92" i="45"/>
  <c r="Z92" i="45" s="1"/>
  <c r="N92" i="45"/>
  <c r="L92" i="45"/>
  <c r="B92" i="45"/>
  <c r="X91" i="45"/>
  <c r="T91" i="45"/>
  <c r="Z91" i="45" s="1"/>
  <c r="P91" i="45"/>
  <c r="L91" i="45"/>
  <c r="J91" i="45"/>
  <c r="H91" i="45"/>
  <c r="N91" i="45" s="1"/>
  <c r="D91" i="45"/>
  <c r="B91" i="45"/>
  <c r="Z90" i="45"/>
  <c r="X90" i="45"/>
  <c r="N90" i="45"/>
  <c r="L90" i="45"/>
  <c r="J90" i="45"/>
  <c r="B90" i="45"/>
  <c r="X89" i="45"/>
  <c r="Z89" i="45" s="1"/>
  <c r="N89" i="45"/>
  <c r="L89" i="45"/>
  <c r="B89" i="45"/>
  <c r="Z88" i="45"/>
  <c r="X88" i="45"/>
  <c r="N88" i="45"/>
  <c r="L88" i="45"/>
  <c r="B88" i="45"/>
  <c r="Z87" i="45"/>
  <c r="X87" i="45"/>
  <c r="N87" i="45"/>
  <c r="L87" i="45"/>
  <c r="B87" i="45"/>
  <c r="Z86" i="45"/>
  <c r="X86" i="45"/>
  <c r="N86" i="45"/>
  <c r="L86" i="45"/>
  <c r="J86" i="45"/>
  <c r="B86" i="45"/>
  <c r="X85" i="45"/>
  <c r="Z85" i="45" s="1"/>
  <c r="N85" i="45"/>
  <c r="L85" i="45"/>
  <c r="B85" i="45"/>
  <c r="X84" i="45"/>
  <c r="Z84" i="45" s="1"/>
  <c r="N84" i="45"/>
  <c r="L84" i="45"/>
  <c r="B84" i="45"/>
  <c r="Z83" i="45"/>
  <c r="X83" i="45"/>
  <c r="N83" i="45"/>
  <c r="L83" i="45"/>
  <c r="B83" i="45"/>
  <c r="Z82" i="45"/>
  <c r="X82" i="45"/>
  <c r="N82" i="45"/>
  <c r="L82" i="45"/>
  <c r="J82" i="45"/>
  <c r="B82" i="45"/>
  <c r="X81" i="45"/>
  <c r="Z81" i="45" s="1"/>
  <c r="L81" i="45"/>
  <c r="N81" i="45" s="1"/>
  <c r="B81" i="45"/>
  <c r="Z80" i="45"/>
  <c r="X80" i="45"/>
  <c r="T80" i="45"/>
  <c r="P80" i="45"/>
  <c r="H80" i="45"/>
  <c r="L80" i="45" s="1"/>
  <c r="N80" i="45" s="1"/>
  <c r="D80" i="45"/>
  <c r="B80" i="45"/>
  <c r="Z79" i="45"/>
  <c r="X79" i="45"/>
  <c r="N79" i="45"/>
  <c r="L79" i="45"/>
  <c r="B79" i="45"/>
  <c r="V78" i="45"/>
  <c r="T78" i="45"/>
  <c r="Z78" i="45" s="1"/>
  <c r="P78" i="45"/>
  <c r="X78" i="45" s="1"/>
  <c r="N78" i="45"/>
  <c r="H78" i="45"/>
  <c r="D78" i="45"/>
  <c r="L78" i="45" s="1"/>
  <c r="B78" i="45"/>
  <c r="X77" i="45"/>
  <c r="Z77" i="45" s="1"/>
  <c r="V77" i="45"/>
  <c r="L77" i="45"/>
  <c r="N77" i="45" s="1"/>
  <c r="B77" i="45"/>
  <c r="X76" i="45"/>
  <c r="Z76" i="45" s="1"/>
  <c r="N76" i="45"/>
  <c r="L76" i="45"/>
  <c r="B76" i="45"/>
  <c r="X75" i="45"/>
  <c r="Z75" i="45" s="1"/>
  <c r="N75" i="45"/>
  <c r="L75" i="45"/>
  <c r="B75" i="45"/>
  <c r="Z74" i="45"/>
  <c r="X74" i="45"/>
  <c r="N74" i="45"/>
  <c r="L74" i="45"/>
  <c r="B74" i="45"/>
  <c r="X73" i="45"/>
  <c r="V73" i="45"/>
  <c r="T73" i="45"/>
  <c r="Z73" i="45" s="1"/>
  <c r="P73" i="45"/>
  <c r="L73" i="45"/>
  <c r="H73" i="45"/>
  <c r="N73" i="45" s="1"/>
  <c r="D73" i="45"/>
  <c r="B73" i="45"/>
  <c r="X72" i="45"/>
  <c r="Z72" i="45" s="1"/>
  <c r="N72" i="45"/>
  <c r="L72" i="45"/>
  <c r="B72" i="45"/>
  <c r="Z71" i="45"/>
  <c r="X71" i="45"/>
  <c r="N71" i="45"/>
  <c r="L71" i="45"/>
  <c r="B71" i="45"/>
  <c r="Z70" i="45"/>
  <c r="X70" i="45"/>
  <c r="N70" i="45"/>
  <c r="L70" i="45"/>
  <c r="J70" i="45"/>
  <c r="B70" i="45"/>
  <c r="X69" i="45"/>
  <c r="Z69" i="45" s="1"/>
  <c r="L69" i="45"/>
  <c r="N69" i="45" s="1"/>
  <c r="B69" i="45"/>
  <c r="X68" i="45"/>
  <c r="Z68" i="45" s="1"/>
  <c r="T68" i="45"/>
  <c r="P68" i="45"/>
  <c r="H68" i="45"/>
  <c r="L68" i="45" s="1"/>
  <c r="N68" i="45" s="1"/>
  <c r="D68" i="45"/>
  <c r="B68" i="45"/>
  <c r="Z67" i="45"/>
  <c r="X67" i="45"/>
  <c r="L67" i="45"/>
  <c r="N67" i="45" s="1"/>
  <c r="B67" i="45"/>
  <c r="V66" i="45"/>
  <c r="T66" i="45"/>
  <c r="P66" i="45"/>
  <c r="X66" i="45" s="1"/>
  <c r="H66" i="45"/>
  <c r="D66" i="45"/>
  <c r="L66" i="45" s="1"/>
  <c r="N66" i="45" s="1"/>
  <c r="B66" i="45"/>
  <c r="X65" i="45"/>
  <c r="Z65" i="45" s="1"/>
  <c r="V65" i="45"/>
  <c r="L65" i="45"/>
  <c r="N65" i="45" s="1"/>
  <c r="B65" i="45"/>
  <c r="T64" i="45"/>
  <c r="P64" i="45"/>
  <c r="X64" i="45" s="1"/>
  <c r="Z64" i="45" s="1"/>
  <c r="H64" i="45"/>
  <c r="D64" i="45"/>
  <c r="L64" i="45" s="1"/>
  <c r="N64" i="45" s="1"/>
  <c r="B64" i="45"/>
  <c r="Z63" i="45"/>
  <c r="X63" i="45"/>
  <c r="N63" i="45"/>
  <c r="L63" i="45"/>
  <c r="B63" i="45"/>
  <c r="T62" i="45"/>
  <c r="X62" i="45" s="1"/>
  <c r="Z62" i="45" s="1"/>
  <c r="P62" i="45"/>
  <c r="N62" i="45"/>
  <c r="L62" i="45"/>
  <c r="H62" i="45"/>
  <c r="D62" i="45"/>
  <c r="B62" i="45"/>
  <c r="X61" i="45"/>
  <c r="Z61" i="45" s="1"/>
  <c r="L61" i="45"/>
  <c r="N61" i="45" s="1"/>
  <c r="J61" i="45"/>
  <c r="B61" i="45"/>
  <c r="T60" i="45"/>
  <c r="P60" i="45"/>
  <c r="X60" i="45" s="1"/>
  <c r="Z60" i="45" s="1"/>
  <c r="J60" i="45"/>
  <c r="H60" i="45"/>
  <c r="D60" i="45"/>
  <c r="B60" i="45"/>
  <c r="X59" i="45"/>
  <c r="Z59" i="45" s="1"/>
  <c r="N59" i="45"/>
  <c r="L59" i="45"/>
  <c r="B59" i="45"/>
  <c r="T58" i="45"/>
  <c r="P58" i="45"/>
  <c r="X58" i="45" s="1"/>
  <c r="Z58" i="45" s="1"/>
  <c r="H58" i="45"/>
  <c r="D58" i="45"/>
  <c r="L58" i="45" s="1"/>
  <c r="N58" i="45" s="1"/>
  <c r="B58" i="45"/>
  <c r="X57" i="45"/>
  <c r="Z57" i="45" s="1"/>
  <c r="L57" i="45"/>
  <c r="N57" i="45" s="1"/>
  <c r="B57" i="45"/>
  <c r="Z56" i="45"/>
  <c r="X56" i="45"/>
  <c r="T56" i="45"/>
  <c r="P56" i="45"/>
  <c r="H56" i="45"/>
  <c r="L56" i="45" s="1"/>
  <c r="N56" i="45" s="1"/>
  <c r="D56" i="45"/>
  <c r="B56" i="45"/>
  <c r="Z55" i="45"/>
  <c r="X55" i="45"/>
  <c r="L55" i="45"/>
  <c r="N55" i="45" s="1"/>
  <c r="B55" i="45"/>
  <c r="T54" i="45"/>
  <c r="P54" i="45"/>
  <c r="J54" i="45"/>
  <c r="H54" i="45"/>
  <c r="D54" i="45"/>
  <c r="L54" i="45" s="1"/>
  <c r="N54" i="45" s="1"/>
  <c r="B54" i="45"/>
  <c r="X53" i="45"/>
  <c r="Z53" i="45" s="1"/>
  <c r="V53" i="45"/>
  <c r="L53" i="45"/>
  <c r="N53" i="45" s="1"/>
  <c r="B53" i="45"/>
  <c r="T52" i="45"/>
  <c r="P52" i="45"/>
  <c r="X52" i="45" s="1"/>
  <c r="Z52" i="45" s="1"/>
  <c r="H52" i="45"/>
  <c r="D52" i="45"/>
  <c r="L52" i="45" s="1"/>
  <c r="N52" i="45" s="1"/>
  <c r="B52" i="45"/>
  <c r="Z51" i="45"/>
  <c r="X51" i="45"/>
  <c r="N51" i="45"/>
  <c r="L51" i="45"/>
  <c r="B51" i="45"/>
  <c r="T50" i="45"/>
  <c r="X50" i="45" s="1"/>
  <c r="Z50" i="45" s="1"/>
  <c r="P50" i="45"/>
  <c r="N50" i="45"/>
  <c r="L50" i="45"/>
  <c r="H50" i="45"/>
  <c r="D50" i="45"/>
  <c r="B50" i="45"/>
  <c r="Z49" i="45"/>
  <c r="X49" i="45"/>
  <c r="L49" i="45"/>
  <c r="N49" i="45" s="1"/>
  <c r="J49" i="45"/>
  <c r="B49" i="45"/>
  <c r="T48" i="45"/>
  <c r="P48" i="45"/>
  <c r="X48" i="45" s="1"/>
  <c r="Z48" i="45" s="1"/>
  <c r="J48" i="45"/>
  <c r="H48" i="45"/>
  <c r="D48" i="45"/>
  <c r="L48" i="45" s="1"/>
  <c r="B48" i="45"/>
  <c r="Z47" i="45"/>
  <c r="X47" i="45"/>
  <c r="N47" i="45"/>
  <c r="L47" i="45"/>
  <c r="B47" i="45"/>
  <c r="Z46" i="45"/>
  <c r="X46" i="45"/>
  <c r="N46" i="45"/>
  <c r="L46" i="45"/>
  <c r="B46" i="45"/>
  <c r="X45" i="45"/>
  <c r="Z45" i="45" s="1"/>
  <c r="V45" i="45"/>
  <c r="L45" i="45"/>
  <c r="N45" i="45" s="1"/>
  <c r="B45" i="45"/>
  <c r="X44" i="45"/>
  <c r="Z44" i="45" s="1"/>
  <c r="N44" i="45"/>
  <c r="L44" i="45"/>
  <c r="B44" i="45"/>
  <c r="Z43" i="45"/>
  <c r="X43" i="45"/>
  <c r="N43" i="45"/>
  <c r="L43" i="45"/>
  <c r="B43" i="45"/>
  <c r="Z42" i="45"/>
  <c r="X42" i="45"/>
  <c r="N42" i="45"/>
  <c r="L42" i="45"/>
  <c r="B42" i="45"/>
  <c r="X41" i="45"/>
  <c r="Z41" i="45" s="1"/>
  <c r="V41" i="45"/>
  <c r="L41" i="45"/>
  <c r="N41" i="45" s="1"/>
  <c r="B41" i="45"/>
  <c r="Z40" i="45"/>
  <c r="X40" i="45"/>
  <c r="N40" i="45"/>
  <c r="L40" i="45"/>
  <c r="B40" i="45"/>
  <c r="X39" i="45"/>
  <c r="Z39" i="45" s="1"/>
  <c r="N39" i="45"/>
  <c r="L39" i="45"/>
  <c r="B39" i="45"/>
  <c r="Z38" i="45"/>
  <c r="X38" i="45"/>
  <c r="N38" i="45"/>
  <c r="L38" i="45"/>
  <c r="B38" i="45"/>
  <c r="X37" i="45"/>
  <c r="V37" i="45"/>
  <c r="T37" i="45"/>
  <c r="P37" i="45"/>
  <c r="L37" i="45"/>
  <c r="H37" i="45"/>
  <c r="N37" i="45" s="1"/>
  <c r="D37" i="45"/>
  <c r="B37" i="45"/>
  <c r="X36" i="45"/>
  <c r="Z36" i="45" s="1"/>
  <c r="N36" i="45"/>
  <c r="L36" i="45"/>
  <c r="J36" i="45"/>
  <c r="B36" i="45"/>
  <c r="Z35" i="45"/>
  <c r="X35" i="45"/>
  <c r="N35" i="45"/>
  <c r="L35" i="45"/>
  <c r="B35" i="45"/>
  <c r="Z34" i="45"/>
  <c r="X34" i="45"/>
  <c r="N34" i="45"/>
  <c r="L34" i="45"/>
  <c r="J34" i="45"/>
  <c r="B34" i="45"/>
  <c r="Z33" i="45"/>
  <c r="X33" i="45"/>
  <c r="N33" i="45"/>
  <c r="L33" i="45"/>
  <c r="B33" i="45"/>
  <c r="Z32" i="45"/>
  <c r="X32" i="45"/>
  <c r="N32" i="45"/>
  <c r="L32" i="45"/>
  <c r="J32" i="45"/>
  <c r="B32" i="45"/>
  <c r="Z31" i="45"/>
  <c r="X31" i="45"/>
  <c r="N31" i="45"/>
  <c r="L31" i="45"/>
  <c r="B31" i="45"/>
  <c r="Z30" i="45"/>
  <c r="X30" i="45"/>
  <c r="N30" i="45"/>
  <c r="L30" i="45"/>
  <c r="J30" i="45"/>
  <c r="B30" i="45"/>
  <c r="X29" i="45"/>
  <c r="Z29" i="45" s="1"/>
  <c r="N29" i="45"/>
  <c r="L29" i="45"/>
  <c r="B29" i="45"/>
  <c r="Z28" i="45"/>
  <c r="X28" i="45"/>
  <c r="N28" i="45"/>
  <c r="L28" i="45"/>
  <c r="J28" i="45"/>
  <c r="B28" i="45"/>
  <c r="Z27" i="45"/>
  <c r="X27" i="45"/>
  <c r="N27" i="45"/>
  <c r="L27" i="45"/>
  <c r="B27" i="45"/>
  <c r="Z26" i="45"/>
  <c r="X26" i="45"/>
  <c r="T26" i="45"/>
  <c r="P26" i="45"/>
  <c r="N26" i="45"/>
  <c r="L26" i="45"/>
  <c r="H26" i="45"/>
  <c r="D26" i="45"/>
  <c r="B26" i="45"/>
  <c r="T25" i="45"/>
  <c r="P25" i="45"/>
  <c r="X25" i="45" s="1"/>
  <c r="H25" i="45"/>
  <c r="D25" i="45"/>
  <c r="H23" i="45"/>
  <c r="Z21" i="45"/>
  <c r="X21" i="45"/>
  <c r="N21" i="45"/>
  <c r="L21" i="45"/>
  <c r="J21" i="45"/>
  <c r="B21" i="45"/>
  <c r="Z20" i="45"/>
  <c r="X20" i="45"/>
  <c r="V20" i="45"/>
  <c r="N20" i="45"/>
  <c r="L20" i="45"/>
  <c r="J20" i="45"/>
  <c r="B20" i="45"/>
  <c r="Z19" i="45"/>
  <c r="X19" i="45"/>
  <c r="L19" i="45"/>
  <c r="N19" i="45" s="1"/>
  <c r="B19" i="45"/>
  <c r="T18" i="45"/>
  <c r="P18" i="45"/>
  <c r="J18" i="45"/>
  <c r="H18" i="45"/>
  <c r="D18" i="45"/>
  <c r="L18" i="45" s="1"/>
  <c r="N18" i="45" s="1"/>
  <c r="Z16" i="45"/>
  <c r="P16" i="45"/>
  <c r="X16" i="45" s="1"/>
  <c r="N16" i="45"/>
  <c r="L16" i="45"/>
  <c r="D16" i="45"/>
  <c r="B16" i="45"/>
  <c r="Z15" i="45"/>
  <c r="X15" i="45"/>
  <c r="P15" i="45"/>
  <c r="N15" i="45"/>
  <c r="D15" i="45"/>
  <c r="L15" i="45" s="1"/>
  <c r="B15" i="45"/>
  <c r="Z14" i="45"/>
  <c r="X14" i="45"/>
  <c r="P14" i="45"/>
  <c r="L14" i="45"/>
  <c r="N14" i="45" s="1"/>
  <c r="D14" i="45"/>
  <c r="B14" i="45"/>
  <c r="Z13" i="45"/>
  <c r="X13" i="45"/>
  <c r="P13" i="45"/>
  <c r="N13" i="45"/>
  <c r="D13" i="45"/>
  <c r="B13" i="45"/>
  <c r="T12" i="45"/>
  <c r="V95" i="45" s="1"/>
  <c r="H12" i="45"/>
  <c r="D4" i="45"/>
  <c r="Z122" i="42"/>
  <c r="X122" i="42"/>
  <c r="L122" i="42"/>
  <c r="N122" i="42" s="1"/>
  <c r="Z118" i="42"/>
  <c r="P118" i="42"/>
  <c r="X118" i="42" s="1"/>
  <c r="N118" i="42"/>
  <c r="D118" i="42"/>
  <c r="L118" i="42" s="1"/>
  <c r="B118" i="42"/>
  <c r="P117" i="42"/>
  <c r="N117" i="42"/>
  <c r="L117" i="42"/>
  <c r="D117" i="42"/>
  <c r="B117" i="42"/>
  <c r="X116" i="42"/>
  <c r="Z116" i="42" s="1"/>
  <c r="P116" i="42"/>
  <c r="L116" i="42"/>
  <c r="N116" i="42" s="1"/>
  <c r="D116" i="42"/>
  <c r="B116" i="42"/>
  <c r="P115" i="42"/>
  <c r="X115" i="42" s="1"/>
  <c r="Z115" i="42" s="1"/>
  <c r="L115" i="42"/>
  <c r="N115" i="42" s="1"/>
  <c r="J115" i="42"/>
  <c r="D115" i="42"/>
  <c r="B115" i="42"/>
  <c r="T114" i="42"/>
  <c r="J114" i="42"/>
  <c r="H114" i="42"/>
  <c r="X112" i="42"/>
  <c r="Z112" i="42" s="1"/>
  <c r="L112" i="42"/>
  <c r="N112" i="42" s="1"/>
  <c r="B112" i="42"/>
  <c r="T111" i="42"/>
  <c r="P111" i="42"/>
  <c r="X111" i="42" s="1"/>
  <c r="Z111" i="42" s="1"/>
  <c r="H111" i="42"/>
  <c r="F111" i="42"/>
  <c r="D111" i="42"/>
  <c r="L111" i="42" s="1"/>
  <c r="N111" i="42" s="1"/>
  <c r="B111" i="42"/>
  <c r="Z110" i="42"/>
  <c r="X110" i="42"/>
  <c r="N110" i="42"/>
  <c r="L110" i="42"/>
  <c r="B110" i="42"/>
  <c r="Z109" i="42"/>
  <c r="X109" i="42"/>
  <c r="N109" i="42"/>
  <c r="L109" i="42"/>
  <c r="B109" i="42"/>
  <c r="Z108" i="42"/>
  <c r="X108" i="42"/>
  <c r="N108" i="42"/>
  <c r="L108" i="42"/>
  <c r="B108" i="42"/>
  <c r="Z107" i="42"/>
  <c r="X107" i="42"/>
  <c r="T107" i="42"/>
  <c r="P107" i="42"/>
  <c r="N107" i="42"/>
  <c r="L107" i="42"/>
  <c r="H107" i="42"/>
  <c r="D107" i="42"/>
  <c r="B107" i="42"/>
  <c r="Z106" i="42"/>
  <c r="X106" i="42"/>
  <c r="N106" i="42"/>
  <c r="L106" i="42"/>
  <c r="J106" i="42"/>
  <c r="B106" i="42"/>
  <c r="Z105" i="42"/>
  <c r="T105" i="42"/>
  <c r="P105" i="42"/>
  <c r="X105" i="42" s="1"/>
  <c r="J105" i="42"/>
  <c r="H105" i="42"/>
  <c r="N105" i="42" s="1"/>
  <c r="D105" i="42"/>
  <c r="L105" i="42" s="1"/>
  <c r="B105" i="42"/>
  <c r="X104" i="42"/>
  <c r="Z104" i="42" s="1"/>
  <c r="L104" i="42"/>
  <c r="N104" i="42" s="1"/>
  <c r="B104" i="42"/>
  <c r="Z103" i="42"/>
  <c r="X103" i="42"/>
  <c r="N103" i="42"/>
  <c r="L103" i="42"/>
  <c r="B103" i="42"/>
  <c r="X102" i="42"/>
  <c r="T102" i="42"/>
  <c r="Z102" i="42" s="1"/>
  <c r="P102" i="42"/>
  <c r="L102" i="42"/>
  <c r="H102" i="42"/>
  <c r="N102" i="42" s="1"/>
  <c r="D102" i="42"/>
  <c r="B102" i="42"/>
  <c r="Z101" i="42"/>
  <c r="X101" i="42"/>
  <c r="N101" i="42"/>
  <c r="L101" i="42"/>
  <c r="B101" i="42"/>
  <c r="X100" i="42"/>
  <c r="Z100" i="42" s="1"/>
  <c r="N100" i="42"/>
  <c r="L100" i="42"/>
  <c r="B100" i="42"/>
  <c r="Z99" i="42"/>
  <c r="X99" i="42"/>
  <c r="N99" i="42"/>
  <c r="L99" i="42"/>
  <c r="J99" i="42"/>
  <c r="B99" i="42"/>
  <c r="Z98" i="42"/>
  <c r="X98" i="42"/>
  <c r="N98" i="42"/>
  <c r="L98" i="42"/>
  <c r="B98" i="42"/>
  <c r="Z97" i="42"/>
  <c r="X97" i="42"/>
  <c r="N97" i="42"/>
  <c r="L97" i="42"/>
  <c r="B97" i="42"/>
  <c r="X96" i="42"/>
  <c r="Z96" i="42" s="1"/>
  <c r="N96" i="42"/>
  <c r="L96" i="42"/>
  <c r="B96" i="42"/>
  <c r="Z95" i="42"/>
  <c r="X95" i="42"/>
  <c r="N95" i="42"/>
  <c r="L95" i="42"/>
  <c r="J95" i="42"/>
  <c r="F95" i="42"/>
  <c r="B95" i="42"/>
  <c r="X94" i="42"/>
  <c r="Z94" i="42" s="1"/>
  <c r="N94" i="42"/>
  <c r="L94" i="42"/>
  <c r="B94" i="42"/>
  <c r="Z93" i="42"/>
  <c r="X93" i="42"/>
  <c r="N93" i="42"/>
  <c r="L93" i="42"/>
  <c r="B93" i="42"/>
  <c r="Z92" i="42"/>
  <c r="X92" i="42"/>
  <c r="N92" i="42"/>
  <c r="L92" i="42"/>
  <c r="B92" i="42"/>
  <c r="Z91" i="42"/>
  <c r="X91" i="42"/>
  <c r="N91" i="42"/>
  <c r="L91" i="42"/>
  <c r="J91" i="42"/>
  <c r="B91" i="42"/>
  <c r="T90" i="42"/>
  <c r="P90" i="42"/>
  <c r="H90" i="42"/>
  <c r="D90" i="42"/>
  <c r="B90" i="42"/>
  <c r="Z89" i="42"/>
  <c r="X89" i="42"/>
  <c r="N89" i="42"/>
  <c r="L89" i="42"/>
  <c r="B89" i="42"/>
  <c r="Z88" i="42"/>
  <c r="X88" i="42"/>
  <c r="N88" i="42"/>
  <c r="L88" i="42"/>
  <c r="B88" i="42"/>
  <c r="T87" i="42"/>
  <c r="P87" i="42"/>
  <c r="J87" i="42"/>
  <c r="H87" i="42"/>
  <c r="D87" i="42"/>
  <c r="L87" i="42" s="1"/>
  <c r="N87" i="42" s="1"/>
  <c r="B87" i="42"/>
  <c r="Z86" i="42"/>
  <c r="X86" i="42"/>
  <c r="V86" i="42"/>
  <c r="N86" i="42"/>
  <c r="L86" i="42"/>
  <c r="B86" i="42"/>
  <c r="Z85" i="42"/>
  <c r="X85" i="42"/>
  <c r="N85" i="42"/>
  <c r="L85" i="42"/>
  <c r="B85" i="42"/>
  <c r="X84" i="42"/>
  <c r="Z84" i="42" s="1"/>
  <c r="L84" i="42"/>
  <c r="N84" i="42" s="1"/>
  <c r="B84" i="42"/>
  <c r="Z83" i="42"/>
  <c r="X83" i="42"/>
  <c r="N83" i="42"/>
  <c r="L83" i="42"/>
  <c r="B83" i="42"/>
  <c r="X82" i="42"/>
  <c r="Z82" i="42" s="1"/>
  <c r="L82" i="42"/>
  <c r="N82" i="42" s="1"/>
  <c r="F82" i="42"/>
  <c r="B82" i="42"/>
  <c r="T81" i="42"/>
  <c r="P81" i="42"/>
  <c r="X81" i="42" s="1"/>
  <c r="Z81" i="42" s="1"/>
  <c r="H81" i="42"/>
  <c r="D81" i="42"/>
  <c r="L81" i="42" s="1"/>
  <c r="N81" i="42" s="1"/>
  <c r="B81" i="42"/>
  <c r="Z80" i="42"/>
  <c r="X80" i="42"/>
  <c r="N80" i="42"/>
  <c r="L80" i="42"/>
  <c r="B80" i="42"/>
  <c r="Z79" i="42"/>
  <c r="X79" i="42"/>
  <c r="N79" i="42"/>
  <c r="L79" i="42"/>
  <c r="J79" i="42"/>
  <c r="B79" i="42"/>
  <c r="T78" i="42"/>
  <c r="P78" i="42"/>
  <c r="H78" i="42"/>
  <c r="F78" i="42"/>
  <c r="D78" i="42"/>
  <c r="B78" i="42"/>
  <c r="Z77" i="42"/>
  <c r="X77" i="42"/>
  <c r="V77" i="42"/>
  <c r="N77" i="42"/>
  <c r="L77" i="42"/>
  <c r="B77" i="42"/>
  <c r="Z76" i="42"/>
  <c r="X76" i="42"/>
  <c r="N76" i="42"/>
  <c r="L76" i="42"/>
  <c r="B76" i="42"/>
  <c r="Z75" i="42"/>
  <c r="X75" i="42"/>
  <c r="N75" i="42"/>
  <c r="L75" i="42"/>
  <c r="B75" i="42"/>
  <c r="Z74" i="42"/>
  <c r="X74" i="42"/>
  <c r="N74" i="42"/>
  <c r="L74" i="42"/>
  <c r="J74" i="42"/>
  <c r="B74" i="42"/>
  <c r="V73" i="42"/>
  <c r="T73" i="42"/>
  <c r="P73" i="42"/>
  <c r="X73" i="42" s="1"/>
  <c r="Z73" i="42" s="1"/>
  <c r="J73" i="42"/>
  <c r="H73" i="42"/>
  <c r="D73" i="42"/>
  <c r="L73" i="42" s="1"/>
  <c r="B73" i="42"/>
  <c r="X72" i="42"/>
  <c r="Z72" i="42" s="1"/>
  <c r="L72" i="42"/>
  <c r="N72" i="42" s="1"/>
  <c r="F72" i="42"/>
  <c r="B72" i="42"/>
  <c r="T71" i="42"/>
  <c r="P71" i="42"/>
  <c r="X71" i="42" s="1"/>
  <c r="Z71" i="42" s="1"/>
  <c r="H71" i="42"/>
  <c r="D71" i="42"/>
  <c r="L71" i="42" s="1"/>
  <c r="N71" i="42" s="1"/>
  <c r="B71" i="42"/>
  <c r="X70" i="42"/>
  <c r="Z70" i="42" s="1"/>
  <c r="L70" i="42"/>
  <c r="N70" i="42" s="1"/>
  <c r="B70" i="42"/>
  <c r="Z69" i="42"/>
  <c r="X69" i="42"/>
  <c r="T69" i="42"/>
  <c r="P69" i="42"/>
  <c r="N69" i="42"/>
  <c r="L69" i="42"/>
  <c r="H69" i="42"/>
  <c r="D69" i="42"/>
  <c r="B69" i="42"/>
  <c r="Z68" i="42"/>
  <c r="X68" i="42"/>
  <c r="L68" i="42"/>
  <c r="N68" i="42" s="1"/>
  <c r="B68" i="42"/>
  <c r="T67" i="42"/>
  <c r="P67" i="42"/>
  <c r="J67" i="42"/>
  <c r="H67" i="42"/>
  <c r="D67" i="42"/>
  <c r="L67" i="42" s="1"/>
  <c r="N67" i="42" s="1"/>
  <c r="B67" i="42"/>
  <c r="X66" i="42"/>
  <c r="Z66" i="42" s="1"/>
  <c r="V66" i="42"/>
  <c r="N66" i="42"/>
  <c r="L66" i="42"/>
  <c r="B66" i="42"/>
  <c r="T65" i="42"/>
  <c r="P65" i="42"/>
  <c r="X65" i="42" s="1"/>
  <c r="Z65" i="42" s="1"/>
  <c r="N65" i="42"/>
  <c r="H65" i="42"/>
  <c r="F65" i="42"/>
  <c r="D65" i="42"/>
  <c r="L65" i="42" s="1"/>
  <c r="B65" i="42"/>
  <c r="Z64" i="42"/>
  <c r="X64" i="42"/>
  <c r="N64" i="42"/>
  <c r="L64" i="42"/>
  <c r="B64" i="42"/>
  <c r="Z63" i="42"/>
  <c r="X63" i="42"/>
  <c r="T63" i="42"/>
  <c r="P63" i="42"/>
  <c r="N63" i="42"/>
  <c r="L63" i="42"/>
  <c r="H63" i="42"/>
  <c r="D63" i="42"/>
  <c r="B63" i="42"/>
  <c r="X62" i="42"/>
  <c r="Z62" i="42" s="1"/>
  <c r="L62" i="42"/>
  <c r="N62" i="42" s="1"/>
  <c r="J62" i="42"/>
  <c r="B62" i="42"/>
  <c r="V61" i="42"/>
  <c r="T61" i="42"/>
  <c r="P61" i="42"/>
  <c r="X61" i="42" s="1"/>
  <c r="Z61" i="42" s="1"/>
  <c r="H61" i="42"/>
  <c r="D61" i="42"/>
  <c r="B61" i="42"/>
  <c r="X60" i="42"/>
  <c r="Z60" i="42" s="1"/>
  <c r="N60" i="42"/>
  <c r="L60" i="42"/>
  <c r="B60" i="42"/>
  <c r="T59" i="42"/>
  <c r="P59" i="42"/>
  <c r="X59" i="42" s="1"/>
  <c r="Z59" i="42" s="1"/>
  <c r="N59" i="42"/>
  <c r="H59" i="42"/>
  <c r="D59" i="42"/>
  <c r="B59" i="42"/>
  <c r="X58" i="42"/>
  <c r="Z58" i="42" s="1"/>
  <c r="L58" i="42"/>
  <c r="N58" i="42" s="1"/>
  <c r="B58" i="42"/>
  <c r="Z57" i="42"/>
  <c r="X57" i="42"/>
  <c r="N57" i="42"/>
  <c r="L57" i="42"/>
  <c r="J57" i="42"/>
  <c r="B57" i="42"/>
  <c r="Z56" i="42"/>
  <c r="X56" i="42"/>
  <c r="N56" i="42"/>
  <c r="L56" i="42"/>
  <c r="B56" i="42"/>
  <c r="Z55" i="42"/>
  <c r="X55" i="42"/>
  <c r="T55" i="42"/>
  <c r="P55" i="42"/>
  <c r="N55" i="42"/>
  <c r="L55" i="42"/>
  <c r="H55" i="42"/>
  <c r="D55" i="42"/>
  <c r="B55" i="42"/>
  <c r="X54" i="42"/>
  <c r="Z54" i="42" s="1"/>
  <c r="L54" i="42"/>
  <c r="N54" i="42" s="1"/>
  <c r="J54" i="42"/>
  <c r="B54" i="42"/>
  <c r="T53" i="42"/>
  <c r="X53" i="42" s="1"/>
  <c r="Z53" i="42" s="1"/>
  <c r="P53" i="42"/>
  <c r="J53" i="42"/>
  <c r="H53" i="42"/>
  <c r="D53" i="42"/>
  <c r="L53" i="42" s="1"/>
  <c r="B53" i="42"/>
  <c r="X52" i="42"/>
  <c r="Z52" i="42" s="1"/>
  <c r="L52" i="42"/>
  <c r="N52" i="42" s="1"/>
  <c r="B52" i="42"/>
  <c r="T51" i="42"/>
  <c r="P51" i="42"/>
  <c r="X51" i="42" s="1"/>
  <c r="Z51" i="42" s="1"/>
  <c r="H51" i="42"/>
  <c r="F51" i="42"/>
  <c r="D51" i="42"/>
  <c r="L51" i="42" s="1"/>
  <c r="N51" i="42" s="1"/>
  <c r="B51" i="42"/>
  <c r="X50" i="42"/>
  <c r="Z50" i="42" s="1"/>
  <c r="L50" i="42"/>
  <c r="N50" i="42" s="1"/>
  <c r="B50" i="42"/>
  <c r="Z49" i="42"/>
  <c r="X49" i="42"/>
  <c r="T49" i="42"/>
  <c r="P49" i="42"/>
  <c r="H49" i="42"/>
  <c r="D49" i="42"/>
  <c r="L49" i="42" s="1"/>
  <c r="N49" i="42" s="1"/>
  <c r="B49" i="42"/>
  <c r="Z48" i="42"/>
  <c r="X48" i="42"/>
  <c r="N48" i="42"/>
  <c r="L48" i="42"/>
  <c r="B48" i="42"/>
  <c r="Z47" i="42"/>
  <c r="X47" i="42"/>
  <c r="V47" i="42"/>
  <c r="N47" i="42"/>
  <c r="L47" i="42"/>
  <c r="B47" i="42"/>
  <c r="X46" i="42"/>
  <c r="Z46" i="42" s="1"/>
  <c r="L46" i="42"/>
  <c r="N46" i="42" s="1"/>
  <c r="J46" i="42"/>
  <c r="B46" i="42"/>
  <c r="Z45" i="42"/>
  <c r="X45" i="42"/>
  <c r="N45" i="42"/>
  <c r="L45" i="42"/>
  <c r="B45" i="42"/>
  <c r="Z44" i="42"/>
  <c r="X44" i="42"/>
  <c r="N44" i="42"/>
  <c r="L44" i="42"/>
  <c r="B44" i="42"/>
  <c r="Z43" i="42"/>
  <c r="X43" i="42"/>
  <c r="V43" i="42"/>
  <c r="N43" i="42"/>
  <c r="L43" i="42"/>
  <c r="B43" i="42"/>
  <c r="X42" i="42"/>
  <c r="Z42" i="42" s="1"/>
  <c r="L42" i="42"/>
  <c r="N42" i="42" s="1"/>
  <c r="J42" i="42"/>
  <c r="B42" i="42"/>
  <c r="Z41" i="42"/>
  <c r="X41" i="42"/>
  <c r="V41" i="42"/>
  <c r="N41" i="42"/>
  <c r="L41" i="42"/>
  <c r="B41" i="42"/>
  <c r="Z40" i="42"/>
  <c r="X40" i="42"/>
  <c r="L40" i="42"/>
  <c r="N40" i="42" s="1"/>
  <c r="B40" i="42"/>
  <c r="Z39" i="42"/>
  <c r="X39" i="42"/>
  <c r="V39" i="42"/>
  <c r="N39" i="42"/>
  <c r="L39" i="42"/>
  <c r="B39" i="42"/>
  <c r="T38" i="42"/>
  <c r="Z38" i="42" s="1"/>
  <c r="P38" i="42"/>
  <c r="X38" i="42" s="1"/>
  <c r="H38" i="42"/>
  <c r="D38" i="42"/>
  <c r="L38" i="42" s="1"/>
  <c r="N38" i="42" s="1"/>
  <c r="B38" i="42"/>
  <c r="Z37" i="42"/>
  <c r="X37" i="42"/>
  <c r="L37" i="42"/>
  <c r="N37" i="42" s="1"/>
  <c r="B37" i="42"/>
  <c r="X36" i="42"/>
  <c r="Z36" i="42" s="1"/>
  <c r="L36" i="42"/>
  <c r="N36" i="42" s="1"/>
  <c r="B36" i="42"/>
  <c r="Z35" i="42"/>
  <c r="X35" i="42"/>
  <c r="N35" i="42"/>
  <c r="L35" i="42"/>
  <c r="B35" i="42"/>
  <c r="Z34" i="42"/>
  <c r="X34" i="42"/>
  <c r="V34" i="42"/>
  <c r="N34" i="42"/>
  <c r="L34" i="42"/>
  <c r="B34" i="42"/>
  <c r="Z33" i="42"/>
  <c r="X33" i="42"/>
  <c r="N33" i="42"/>
  <c r="L33" i="42"/>
  <c r="B33" i="42"/>
  <c r="X32" i="42"/>
  <c r="Z32" i="42" s="1"/>
  <c r="L32" i="42"/>
  <c r="N32" i="42" s="1"/>
  <c r="B32" i="42"/>
  <c r="Z31" i="42"/>
  <c r="X31" i="42"/>
  <c r="N31" i="42"/>
  <c r="L31" i="42"/>
  <c r="B31" i="42"/>
  <c r="X30" i="42"/>
  <c r="Z30" i="42" s="1"/>
  <c r="L30" i="42"/>
  <c r="N30" i="42" s="1"/>
  <c r="B30" i="42"/>
  <c r="Z29" i="42"/>
  <c r="X29" i="42"/>
  <c r="N29" i="42"/>
  <c r="L29" i="42"/>
  <c r="B29" i="42"/>
  <c r="X28" i="42"/>
  <c r="T28" i="42"/>
  <c r="Z28" i="42" s="1"/>
  <c r="P28" i="42"/>
  <c r="L28" i="42"/>
  <c r="J28" i="42"/>
  <c r="H28" i="42"/>
  <c r="N28" i="42" s="1"/>
  <c r="D28" i="42"/>
  <c r="B28" i="42"/>
  <c r="T27" i="42"/>
  <c r="P27" i="42"/>
  <c r="X27" i="42" s="1"/>
  <c r="Z27" i="42" s="1"/>
  <c r="H27" i="42"/>
  <c r="D27" i="42"/>
  <c r="L27" i="42" s="1"/>
  <c r="Z23" i="42"/>
  <c r="X23" i="42"/>
  <c r="N23" i="42"/>
  <c r="L23" i="42"/>
  <c r="J23" i="42"/>
  <c r="F23" i="42"/>
  <c r="B23" i="42"/>
  <c r="Z22" i="42"/>
  <c r="X22" i="42"/>
  <c r="N22" i="42"/>
  <c r="L22" i="42"/>
  <c r="B22" i="42"/>
  <c r="X21" i="42"/>
  <c r="Z21" i="42" s="1"/>
  <c r="L21" i="42"/>
  <c r="N21" i="42" s="1"/>
  <c r="J21" i="42"/>
  <c r="B21" i="42"/>
  <c r="V20" i="42"/>
  <c r="T20" i="42"/>
  <c r="P20" i="42"/>
  <c r="H20" i="42"/>
  <c r="D20" i="42"/>
  <c r="Z18" i="42"/>
  <c r="P18" i="42"/>
  <c r="X18" i="42" s="1"/>
  <c r="N18" i="42"/>
  <c r="L18" i="42"/>
  <c r="D18" i="42"/>
  <c r="B18" i="42"/>
  <c r="P17" i="42"/>
  <c r="D17" i="42"/>
  <c r="L17" i="42" s="1"/>
  <c r="N17" i="42" s="1"/>
  <c r="B17" i="42"/>
  <c r="Z16" i="42"/>
  <c r="P16" i="42"/>
  <c r="X16" i="42" s="1"/>
  <c r="N16" i="42"/>
  <c r="L16" i="42"/>
  <c r="D16" i="42"/>
  <c r="B16" i="42"/>
  <c r="Z15" i="42"/>
  <c r="P15" i="42"/>
  <c r="X15" i="42" s="1"/>
  <c r="N15" i="42"/>
  <c r="D15" i="42"/>
  <c r="L15" i="42" s="1"/>
  <c r="B15" i="42"/>
  <c r="Z14" i="42"/>
  <c r="P14" i="42"/>
  <c r="X14" i="42" s="1"/>
  <c r="N14" i="42"/>
  <c r="L14" i="42"/>
  <c r="D14" i="42"/>
  <c r="B14" i="42"/>
  <c r="X13" i="42"/>
  <c r="Z13" i="42" s="1"/>
  <c r="P13" i="42"/>
  <c r="L13" i="42"/>
  <c r="N13" i="42" s="1"/>
  <c r="D13" i="42"/>
  <c r="D12" i="42" s="1"/>
  <c r="B13" i="42"/>
  <c r="T12" i="42"/>
  <c r="V89" i="42" s="1"/>
  <c r="H12" i="42"/>
  <c r="J117" i="42" s="1"/>
  <c r="D4" i="42"/>
  <c r="Z126" i="39"/>
  <c r="X126" i="39"/>
  <c r="L126" i="39"/>
  <c r="N126" i="39" s="1"/>
  <c r="Z122" i="39"/>
  <c r="P122" i="39"/>
  <c r="X122" i="39" s="1"/>
  <c r="N122" i="39"/>
  <c r="J122" i="39"/>
  <c r="D122" i="39"/>
  <c r="B122" i="39"/>
  <c r="Z121" i="39"/>
  <c r="X121" i="39"/>
  <c r="P121" i="39"/>
  <c r="N121" i="39"/>
  <c r="L121" i="39"/>
  <c r="D121" i="39"/>
  <c r="B121" i="39"/>
  <c r="X120" i="39"/>
  <c r="Z120" i="39" s="1"/>
  <c r="P120" i="39"/>
  <c r="P118" i="39" s="1"/>
  <c r="X118" i="39" s="1"/>
  <c r="D120" i="39"/>
  <c r="L120" i="39" s="1"/>
  <c r="N120" i="39" s="1"/>
  <c r="B120" i="39"/>
  <c r="Z119" i="39"/>
  <c r="X119" i="39"/>
  <c r="V119" i="39"/>
  <c r="P119" i="39"/>
  <c r="N119" i="39"/>
  <c r="L119" i="39"/>
  <c r="D119" i="39"/>
  <c r="B119" i="39"/>
  <c r="T118" i="39"/>
  <c r="H118" i="39"/>
  <c r="X116" i="39"/>
  <c r="Z116" i="39" s="1"/>
  <c r="N116" i="39"/>
  <c r="L116" i="39"/>
  <c r="B116" i="39"/>
  <c r="T115" i="39"/>
  <c r="P115" i="39"/>
  <c r="X115" i="39" s="1"/>
  <c r="Z115" i="39" s="1"/>
  <c r="N115" i="39"/>
  <c r="L115" i="39"/>
  <c r="H115" i="39"/>
  <c r="D115" i="39"/>
  <c r="B115" i="39"/>
  <c r="Z114" i="39"/>
  <c r="X114" i="39"/>
  <c r="N114" i="39"/>
  <c r="L114" i="39"/>
  <c r="B114" i="39"/>
  <c r="Z113" i="39"/>
  <c r="X113" i="39"/>
  <c r="N113" i="39"/>
  <c r="L113" i="39"/>
  <c r="J113" i="39"/>
  <c r="B113" i="39"/>
  <c r="Z112" i="39"/>
  <c r="X112" i="39"/>
  <c r="N112" i="39"/>
  <c r="L112" i="39"/>
  <c r="B112" i="39"/>
  <c r="Z111" i="39"/>
  <c r="X111" i="39"/>
  <c r="V111" i="39"/>
  <c r="T111" i="39"/>
  <c r="P111" i="39"/>
  <c r="N111" i="39"/>
  <c r="L111" i="39"/>
  <c r="H111" i="39"/>
  <c r="D111" i="39"/>
  <c r="B111" i="39"/>
  <c r="X110" i="39"/>
  <c r="Z110" i="39" s="1"/>
  <c r="N110" i="39"/>
  <c r="L110" i="39"/>
  <c r="B110" i="39"/>
  <c r="V109" i="39"/>
  <c r="T109" i="39"/>
  <c r="P109" i="39"/>
  <c r="X109" i="39" s="1"/>
  <c r="Z109" i="39" s="1"/>
  <c r="H109" i="39"/>
  <c r="D109" i="39"/>
  <c r="B109" i="39"/>
  <c r="X108" i="39"/>
  <c r="Z108" i="39" s="1"/>
  <c r="N108" i="39"/>
  <c r="L108" i="39"/>
  <c r="B108" i="39"/>
  <c r="Z107" i="39"/>
  <c r="X107" i="39"/>
  <c r="V107" i="39"/>
  <c r="N107" i="39"/>
  <c r="L107" i="39"/>
  <c r="J107" i="39"/>
  <c r="B107" i="39"/>
  <c r="T106" i="39"/>
  <c r="Z106" i="39" s="1"/>
  <c r="P106" i="39"/>
  <c r="X106" i="39" s="1"/>
  <c r="H106" i="39"/>
  <c r="D106" i="39"/>
  <c r="B106" i="39"/>
  <c r="X105" i="39"/>
  <c r="Z105" i="39" s="1"/>
  <c r="N105" i="39"/>
  <c r="L105" i="39"/>
  <c r="J105" i="39"/>
  <c r="B105" i="39"/>
  <c r="Z104" i="39"/>
  <c r="X104" i="39"/>
  <c r="N104" i="39"/>
  <c r="L104" i="39"/>
  <c r="B104" i="39"/>
  <c r="Z103" i="39"/>
  <c r="X103" i="39"/>
  <c r="V103" i="39"/>
  <c r="N103" i="39"/>
  <c r="L103" i="39"/>
  <c r="B103" i="39"/>
  <c r="Z102" i="39"/>
  <c r="X102" i="39"/>
  <c r="N102" i="39"/>
  <c r="L102" i="39"/>
  <c r="B102" i="39"/>
  <c r="Z101" i="39"/>
  <c r="X101" i="39"/>
  <c r="N101" i="39"/>
  <c r="L101" i="39"/>
  <c r="J101" i="39"/>
  <c r="B101" i="39"/>
  <c r="Z100" i="39"/>
  <c r="X100" i="39"/>
  <c r="N100" i="39"/>
  <c r="L100" i="39"/>
  <c r="B100" i="39"/>
  <c r="Z99" i="39"/>
  <c r="X99" i="39"/>
  <c r="V99" i="39"/>
  <c r="L99" i="39"/>
  <c r="N99" i="39" s="1"/>
  <c r="B99" i="39"/>
  <c r="X98" i="39"/>
  <c r="Z98" i="39" s="1"/>
  <c r="N98" i="39"/>
  <c r="L98" i="39"/>
  <c r="B98" i="39"/>
  <c r="X97" i="39"/>
  <c r="Z97" i="39" s="1"/>
  <c r="N97" i="39"/>
  <c r="L97" i="39"/>
  <c r="J97" i="39"/>
  <c r="B97" i="39"/>
  <c r="Z96" i="39"/>
  <c r="X96" i="39"/>
  <c r="N96" i="39"/>
  <c r="L96" i="39"/>
  <c r="B96" i="39"/>
  <c r="Z95" i="39"/>
  <c r="X95" i="39"/>
  <c r="V95" i="39"/>
  <c r="L95" i="39"/>
  <c r="N95" i="39" s="1"/>
  <c r="B95" i="39"/>
  <c r="T94" i="39"/>
  <c r="P94" i="39"/>
  <c r="H94" i="39"/>
  <c r="D94" i="39"/>
  <c r="L94" i="39" s="1"/>
  <c r="N94" i="39" s="1"/>
  <c r="B94" i="39"/>
  <c r="Z93" i="39"/>
  <c r="X93" i="39"/>
  <c r="V93" i="39"/>
  <c r="N93" i="39"/>
  <c r="L93" i="39"/>
  <c r="B93" i="39"/>
  <c r="Z92" i="39"/>
  <c r="X92" i="39"/>
  <c r="N92" i="39"/>
  <c r="L92" i="39"/>
  <c r="J92" i="39"/>
  <c r="B92" i="39"/>
  <c r="T91" i="39"/>
  <c r="P91" i="39"/>
  <c r="J91" i="39"/>
  <c r="H91" i="39"/>
  <c r="D91" i="39"/>
  <c r="L91" i="39" s="1"/>
  <c r="N91" i="39" s="1"/>
  <c r="B91" i="39"/>
  <c r="Z90" i="39"/>
  <c r="X90" i="39"/>
  <c r="L90" i="39"/>
  <c r="N90" i="39" s="1"/>
  <c r="B90" i="39"/>
  <c r="Z89" i="39"/>
  <c r="X89" i="39"/>
  <c r="L89" i="39"/>
  <c r="N89" i="39" s="1"/>
  <c r="B89" i="39"/>
  <c r="X88" i="39"/>
  <c r="Z88" i="39" s="1"/>
  <c r="V88" i="39"/>
  <c r="N88" i="39"/>
  <c r="L88" i="39"/>
  <c r="B88" i="39"/>
  <c r="Z87" i="39"/>
  <c r="X87" i="39"/>
  <c r="V87" i="39"/>
  <c r="N87" i="39"/>
  <c r="L87" i="39"/>
  <c r="J87" i="39"/>
  <c r="B87" i="39"/>
  <c r="Z86" i="39"/>
  <c r="X86" i="39"/>
  <c r="L86" i="39"/>
  <c r="N86" i="39" s="1"/>
  <c r="B86" i="39"/>
  <c r="Z85" i="39"/>
  <c r="X85" i="39"/>
  <c r="T85" i="39"/>
  <c r="P85" i="39"/>
  <c r="J85" i="39"/>
  <c r="H85" i="39"/>
  <c r="D85" i="39"/>
  <c r="L85" i="39" s="1"/>
  <c r="N85" i="39" s="1"/>
  <c r="B85" i="39"/>
  <c r="Z84" i="39"/>
  <c r="X84" i="39"/>
  <c r="N84" i="39"/>
  <c r="L84" i="39"/>
  <c r="B84" i="39"/>
  <c r="Z83" i="39"/>
  <c r="X83" i="39"/>
  <c r="V83" i="39"/>
  <c r="N83" i="39"/>
  <c r="L83" i="39"/>
  <c r="B83" i="39"/>
  <c r="T82" i="39"/>
  <c r="P82" i="39"/>
  <c r="H82" i="39"/>
  <c r="D82" i="39"/>
  <c r="L82" i="39" s="1"/>
  <c r="N82" i="39" s="1"/>
  <c r="B82" i="39"/>
  <c r="Z81" i="39"/>
  <c r="X81" i="39"/>
  <c r="V81" i="39"/>
  <c r="N81" i="39"/>
  <c r="L81" i="39"/>
  <c r="B81" i="39"/>
  <c r="X80" i="39"/>
  <c r="Z80" i="39" s="1"/>
  <c r="L80" i="39"/>
  <c r="N80" i="39" s="1"/>
  <c r="J80" i="39"/>
  <c r="B80" i="39"/>
  <c r="X79" i="39"/>
  <c r="Z79" i="39" s="1"/>
  <c r="N79" i="39"/>
  <c r="L79" i="39"/>
  <c r="J79" i="39"/>
  <c r="B79" i="39"/>
  <c r="X78" i="39"/>
  <c r="Z78" i="39" s="1"/>
  <c r="N78" i="39"/>
  <c r="L78" i="39"/>
  <c r="B78" i="39"/>
  <c r="V77" i="39"/>
  <c r="T77" i="39"/>
  <c r="P77" i="39"/>
  <c r="X77" i="39" s="1"/>
  <c r="Z77" i="39" s="1"/>
  <c r="H77" i="39"/>
  <c r="D77" i="39"/>
  <c r="B77" i="39"/>
  <c r="X76" i="39"/>
  <c r="Z76" i="39" s="1"/>
  <c r="V76" i="39"/>
  <c r="N76" i="39"/>
  <c r="L76" i="39"/>
  <c r="B76" i="39"/>
  <c r="V75" i="39"/>
  <c r="T75" i="39"/>
  <c r="P75" i="39"/>
  <c r="X75" i="39" s="1"/>
  <c r="Z75" i="39" s="1"/>
  <c r="N75" i="39"/>
  <c r="L75" i="39"/>
  <c r="H75" i="39"/>
  <c r="D75" i="39"/>
  <c r="B75" i="39"/>
  <c r="X74" i="39"/>
  <c r="Z74" i="39" s="1"/>
  <c r="L74" i="39"/>
  <c r="N74" i="39" s="1"/>
  <c r="J74" i="39"/>
  <c r="B74" i="39"/>
  <c r="X73" i="39"/>
  <c r="T73" i="39"/>
  <c r="Z73" i="39" s="1"/>
  <c r="P73" i="39"/>
  <c r="N73" i="39"/>
  <c r="L73" i="39"/>
  <c r="J73" i="39"/>
  <c r="H73" i="39"/>
  <c r="D73" i="39"/>
  <c r="B73" i="39"/>
  <c r="X72" i="39"/>
  <c r="Z72" i="39" s="1"/>
  <c r="L72" i="39"/>
  <c r="N72" i="39" s="1"/>
  <c r="J72" i="39"/>
  <c r="B72" i="39"/>
  <c r="T71" i="39"/>
  <c r="P71" i="39"/>
  <c r="J71" i="39"/>
  <c r="H71" i="39"/>
  <c r="D71" i="39"/>
  <c r="L71" i="39" s="1"/>
  <c r="N71" i="39" s="1"/>
  <c r="B71" i="39"/>
  <c r="Z70" i="39"/>
  <c r="X70" i="39"/>
  <c r="N70" i="39"/>
  <c r="L70" i="39"/>
  <c r="B70" i="39"/>
  <c r="Z69" i="39"/>
  <c r="X69" i="39"/>
  <c r="T69" i="39"/>
  <c r="P69" i="39"/>
  <c r="N69" i="39"/>
  <c r="J69" i="39"/>
  <c r="H69" i="39"/>
  <c r="D69" i="39"/>
  <c r="L69" i="39" s="1"/>
  <c r="B69" i="39"/>
  <c r="Z68" i="39"/>
  <c r="X68" i="39"/>
  <c r="N68" i="39"/>
  <c r="L68" i="39"/>
  <c r="B68" i="39"/>
  <c r="Z67" i="39"/>
  <c r="X67" i="39"/>
  <c r="V67" i="39"/>
  <c r="N67" i="39"/>
  <c r="L67" i="39"/>
  <c r="B67" i="39"/>
  <c r="T66" i="39"/>
  <c r="Z66" i="39" s="1"/>
  <c r="P66" i="39"/>
  <c r="N66" i="39"/>
  <c r="H66" i="39"/>
  <c r="D66" i="39"/>
  <c r="L66" i="39" s="1"/>
  <c r="B66" i="39"/>
  <c r="Z65" i="39"/>
  <c r="X65" i="39"/>
  <c r="V65" i="39"/>
  <c r="N65" i="39"/>
  <c r="L65" i="39"/>
  <c r="B65" i="39"/>
  <c r="T64" i="39"/>
  <c r="Z64" i="39" s="1"/>
  <c r="P64" i="39"/>
  <c r="X64" i="39" s="1"/>
  <c r="L64" i="39"/>
  <c r="N64" i="39" s="1"/>
  <c r="J64" i="39"/>
  <c r="H64" i="39"/>
  <c r="D64" i="39"/>
  <c r="B64" i="39"/>
  <c r="Z63" i="39"/>
  <c r="X63" i="39"/>
  <c r="V63" i="39"/>
  <c r="N63" i="39"/>
  <c r="L63" i="39"/>
  <c r="J63" i="39"/>
  <c r="B63" i="39"/>
  <c r="T62" i="39"/>
  <c r="Z62" i="39" s="1"/>
  <c r="P62" i="39"/>
  <c r="X62" i="39" s="1"/>
  <c r="L62" i="39"/>
  <c r="H62" i="39"/>
  <c r="D62" i="39"/>
  <c r="B62" i="39"/>
  <c r="X61" i="39"/>
  <c r="Z61" i="39" s="1"/>
  <c r="N61" i="39"/>
  <c r="L61" i="39"/>
  <c r="J61" i="39"/>
  <c r="B61" i="39"/>
  <c r="Z60" i="39"/>
  <c r="X60" i="39"/>
  <c r="L60" i="39"/>
  <c r="N60" i="39" s="1"/>
  <c r="B60" i="39"/>
  <c r="Z59" i="39"/>
  <c r="X59" i="39"/>
  <c r="V59" i="39"/>
  <c r="N59" i="39"/>
  <c r="L59" i="39"/>
  <c r="B59" i="39"/>
  <c r="T58" i="39"/>
  <c r="P58" i="39"/>
  <c r="X58" i="39" s="1"/>
  <c r="H58" i="39"/>
  <c r="D58" i="39"/>
  <c r="L58" i="39" s="1"/>
  <c r="N58" i="39" s="1"/>
  <c r="B58" i="39"/>
  <c r="Z57" i="39"/>
  <c r="X57" i="39"/>
  <c r="V57" i="39"/>
  <c r="N57" i="39"/>
  <c r="L57" i="39"/>
  <c r="B57" i="39"/>
  <c r="T56" i="39"/>
  <c r="P56" i="39"/>
  <c r="X56" i="39" s="1"/>
  <c r="L56" i="39"/>
  <c r="N56" i="39" s="1"/>
  <c r="J56" i="39"/>
  <c r="H56" i="39"/>
  <c r="D56" i="39"/>
  <c r="B56" i="39"/>
  <c r="Z55" i="39"/>
  <c r="X55" i="39"/>
  <c r="V55" i="39"/>
  <c r="N55" i="39"/>
  <c r="L55" i="39"/>
  <c r="J55" i="39"/>
  <c r="B55" i="39"/>
  <c r="T54" i="39"/>
  <c r="Z54" i="39" s="1"/>
  <c r="P54" i="39"/>
  <c r="X54" i="39" s="1"/>
  <c r="L54" i="39"/>
  <c r="H54" i="39"/>
  <c r="D54" i="39"/>
  <c r="B54" i="39"/>
  <c r="X53" i="39"/>
  <c r="Z53" i="39" s="1"/>
  <c r="N53" i="39"/>
  <c r="L53" i="39"/>
  <c r="J53" i="39"/>
  <c r="B53" i="39"/>
  <c r="T52" i="39"/>
  <c r="P52" i="39"/>
  <c r="X52" i="39" s="1"/>
  <c r="Z52" i="39" s="1"/>
  <c r="H52" i="39"/>
  <c r="D52" i="39"/>
  <c r="L52" i="39" s="1"/>
  <c r="B52" i="39"/>
  <c r="Z51" i="39"/>
  <c r="X51" i="39"/>
  <c r="N51" i="39"/>
  <c r="L51" i="39"/>
  <c r="J51" i="39"/>
  <c r="B51" i="39"/>
  <c r="Z50" i="39"/>
  <c r="X50" i="39"/>
  <c r="V50" i="39"/>
  <c r="N50" i="39"/>
  <c r="L50" i="39"/>
  <c r="J50" i="39"/>
  <c r="B50" i="39"/>
  <c r="Z49" i="39"/>
  <c r="X49" i="39"/>
  <c r="V49" i="39"/>
  <c r="N49" i="39"/>
  <c r="L49" i="39"/>
  <c r="B49" i="39"/>
  <c r="X48" i="39"/>
  <c r="Z48" i="39" s="1"/>
  <c r="N48" i="39"/>
  <c r="L48" i="39"/>
  <c r="J48" i="39"/>
  <c r="B48" i="39"/>
  <c r="Z47" i="39"/>
  <c r="X47" i="39"/>
  <c r="N47" i="39"/>
  <c r="L47" i="39"/>
  <c r="J47" i="39"/>
  <c r="B47" i="39"/>
  <c r="X46" i="39"/>
  <c r="Z46" i="39" s="1"/>
  <c r="V46" i="39"/>
  <c r="N46" i="39"/>
  <c r="L46" i="39"/>
  <c r="J46" i="39"/>
  <c r="B46" i="39"/>
  <c r="Z45" i="39"/>
  <c r="X45" i="39"/>
  <c r="V45" i="39"/>
  <c r="N45" i="39"/>
  <c r="L45" i="39"/>
  <c r="B45" i="39"/>
  <c r="Z44" i="39"/>
  <c r="X44" i="39"/>
  <c r="N44" i="39"/>
  <c r="L44" i="39"/>
  <c r="J44" i="39"/>
  <c r="B44" i="39"/>
  <c r="X43" i="39"/>
  <c r="Z43" i="39" s="1"/>
  <c r="N43" i="39"/>
  <c r="L43" i="39"/>
  <c r="J43" i="39"/>
  <c r="B43" i="39"/>
  <c r="X42" i="39"/>
  <c r="Z42" i="39" s="1"/>
  <c r="V42" i="39"/>
  <c r="N42" i="39"/>
  <c r="L42" i="39"/>
  <c r="J42" i="39"/>
  <c r="B42" i="39"/>
  <c r="V41" i="39"/>
  <c r="T41" i="39"/>
  <c r="P41" i="39"/>
  <c r="X41" i="39" s="1"/>
  <c r="Z41" i="39" s="1"/>
  <c r="H41" i="39"/>
  <c r="D41" i="39"/>
  <c r="B41" i="39"/>
  <c r="X40" i="39"/>
  <c r="Z40" i="39" s="1"/>
  <c r="V40" i="39"/>
  <c r="N40" i="39"/>
  <c r="L40" i="39"/>
  <c r="B40" i="39"/>
  <c r="Z39" i="39"/>
  <c r="X39" i="39"/>
  <c r="V39" i="39"/>
  <c r="N39" i="39"/>
  <c r="L39" i="39"/>
  <c r="J39" i="39"/>
  <c r="B39" i="39"/>
  <c r="Z38" i="39"/>
  <c r="X38" i="39"/>
  <c r="L38" i="39"/>
  <c r="N38" i="39" s="1"/>
  <c r="B38" i="39"/>
  <c r="Z37" i="39"/>
  <c r="X37" i="39"/>
  <c r="N37" i="39"/>
  <c r="L37" i="39"/>
  <c r="J37" i="39"/>
  <c r="B37" i="39"/>
  <c r="X36" i="39"/>
  <c r="Z36" i="39" s="1"/>
  <c r="V36" i="39"/>
  <c r="N36" i="39"/>
  <c r="L36" i="39"/>
  <c r="B36" i="39"/>
  <c r="Z35" i="39"/>
  <c r="X35" i="39"/>
  <c r="V35" i="39"/>
  <c r="N35" i="39"/>
  <c r="L35" i="39"/>
  <c r="J35" i="39"/>
  <c r="B35" i="39"/>
  <c r="Z34" i="39"/>
  <c r="X34" i="39"/>
  <c r="V34" i="39"/>
  <c r="L34" i="39"/>
  <c r="N34" i="39" s="1"/>
  <c r="B34" i="39"/>
  <c r="Z33" i="39"/>
  <c r="X33" i="39"/>
  <c r="L33" i="39"/>
  <c r="N33" i="39" s="1"/>
  <c r="J33" i="39"/>
  <c r="B33" i="39"/>
  <c r="X32" i="39"/>
  <c r="Z32" i="39" s="1"/>
  <c r="V32" i="39"/>
  <c r="N32" i="39"/>
  <c r="L32" i="39"/>
  <c r="J32" i="39"/>
  <c r="B32" i="39"/>
  <c r="V31" i="39"/>
  <c r="T31" i="39"/>
  <c r="P31" i="39"/>
  <c r="X31" i="39" s="1"/>
  <c r="Z31" i="39" s="1"/>
  <c r="N31" i="39"/>
  <c r="L31" i="39"/>
  <c r="H31" i="39"/>
  <c r="D31" i="39"/>
  <c r="B31" i="39"/>
  <c r="T30" i="39"/>
  <c r="P30" i="39"/>
  <c r="X30" i="39" s="1"/>
  <c r="H30" i="39"/>
  <c r="D30" i="39"/>
  <c r="T28" i="39"/>
  <c r="H28" i="39"/>
  <c r="J28" i="39" s="1"/>
  <c r="Z26" i="39"/>
  <c r="X26" i="39"/>
  <c r="N26" i="39"/>
  <c r="L26" i="39"/>
  <c r="J26" i="39"/>
  <c r="B26" i="39"/>
  <c r="Z25" i="39"/>
  <c r="X25" i="39"/>
  <c r="V25" i="39"/>
  <c r="N25" i="39"/>
  <c r="L25" i="39"/>
  <c r="J25" i="39"/>
  <c r="B25" i="39"/>
  <c r="Z24" i="39"/>
  <c r="X24" i="39"/>
  <c r="L24" i="39"/>
  <c r="N24" i="39" s="1"/>
  <c r="B24" i="39"/>
  <c r="Z23" i="39"/>
  <c r="X23" i="39"/>
  <c r="V23" i="39"/>
  <c r="T23" i="39"/>
  <c r="P23" i="39"/>
  <c r="L23" i="39"/>
  <c r="N23" i="39" s="1"/>
  <c r="J23" i="39"/>
  <c r="H23" i="39"/>
  <c r="D23" i="39"/>
  <c r="Z21" i="39"/>
  <c r="P21" i="39"/>
  <c r="X21" i="39" s="1"/>
  <c r="N21" i="39"/>
  <c r="D21" i="39"/>
  <c r="L21" i="39" s="1"/>
  <c r="B21" i="39"/>
  <c r="Z20" i="39"/>
  <c r="X20" i="39"/>
  <c r="P20" i="39"/>
  <c r="N20" i="39"/>
  <c r="D20" i="39"/>
  <c r="L20" i="39" s="1"/>
  <c r="B20" i="39"/>
  <c r="Z19" i="39"/>
  <c r="X19" i="39"/>
  <c r="P19" i="39"/>
  <c r="N19" i="39"/>
  <c r="D19" i="39"/>
  <c r="L19" i="39" s="1"/>
  <c r="B19" i="39"/>
  <c r="X18" i="39"/>
  <c r="Z18" i="39" s="1"/>
  <c r="P18" i="39"/>
  <c r="N18" i="39"/>
  <c r="D18" i="39"/>
  <c r="L18" i="39" s="1"/>
  <c r="B18" i="39"/>
  <c r="Z17" i="39"/>
  <c r="P17" i="39"/>
  <c r="X17" i="39" s="1"/>
  <c r="N17" i="39"/>
  <c r="L17" i="39"/>
  <c r="D17" i="39"/>
  <c r="B17" i="39"/>
  <c r="Z16" i="39"/>
  <c r="X16" i="39"/>
  <c r="P16" i="39"/>
  <c r="N16" i="39"/>
  <c r="L16" i="39"/>
  <c r="D16" i="39"/>
  <c r="B16" i="39"/>
  <c r="Z15" i="39"/>
  <c r="P15" i="39"/>
  <c r="X15" i="39" s="1"/>
  <c r="N15" i="39"/>
  <c r="L15" i="39"/>
  <c r="D15" i="39"/>
  <c r="B15" i="39"/>
  <c r="Z14" i="39"/>
  <c r="X14" i="39"/>
  <c r="P14" i="39"/>
  <c r="N14" i="39"/>
  <c r="D14" i="39"/>
  <c r="L14" i="39" s="1"/>
  <c r="B14" i="39"/>
  <c r="P13" i="39"/>
  <c r="L13" i="39"/>
  <c r="N13" i="39" s="1"/>
  <c r="D13" i="39"/>
  <c r="B13" i="39"/>
  <c r="T12" i="39"/>
  <c r="V121" i="39" s="1"/>
  <c r="H12" i="39"/>
  <c r="J115" i="39" s="1"/>
  <c r="D12" i="39"/>
  <c r="F92" i="39" s="1"/>
  <c r="D4" i="39"/>
  <c r="Z129" i="36"/>
  <c r="X129" i="36"/>
  <c r="L129" i="36"/>
  <c r="N129" i="36" s="1"/>
  <c r="Z125" i="36"/>
  <c r="P125" i="36"/>
  <c r="X125" i="36" s="1"/>
  <c r="N125" i="36"/>
  <c r="D125" i="36"/>
  <c r="L125" i="36" s="1"/>
  <c r="B125" i="36"/>
  <c r="X124" i="36"/>
  <c r="Z124" i="36" s="1"/>
  <c r="P124" i="36"/>
  <c r="L124" i="36"/>
  <c r="N124" i="36" s="1"/>
  <c r="D124" i="36"/>
  <c r="B124" i="36"/>
  <c r="P123" i="36"/>
  <c r="N123" i="36"/>
  <c r="L123" i="36"/>
  <c r="D123" i="36"/>
  <c r="B123" i="36"/>
  <c r="X122" i="36"/>
  <c r="Z122" i="36" s="1"/>
  <c r="P122" i="36"/>
  <c r="L122" i="36"/>
  <c r="N122" i="36" s="1"/>
  <c r="D122" i="36"/>
  <c r="B122" i="36"/>
  <c r="T121" i="36"/>
  <c r="H121" i="36"/>
  <c r="X119" i="36"/>
  <c r="Z119" i="36" s="1"/>
  <c r="N119" i="36"/>
  <c r="L119" i="36"/>
  <c r="B119" i="36"/>
  <c r="T118" i="36"/>
  <c r="P118" i="36"/>
  <c r="X118" i="36" s="1"/>
  <c r="Z118" i="36" s="1"/>
  <c r="L118" i="36"/>
  <c r="H118" i="36"/>
  <c r="D118" i="36"/>
  <c r="B118" i="36"/>
  <c r="Z117" i="36"/>
  <c r="X117" i="36"/>
  <c r="N117" i="36"/>
  <c r="L117" i="36"/>
  <c r="B117" i="36"/>
  <c r="Z116" i="36"/>
  <c r="X116" i="36"/>
  <c r="N116" i="36"/>
  <c r="L116" i="36"/>
  <c r="B116" i="36"/>
  <c r="Z115" i="36"/>
  <c r="X115" i="36"/>
  <c r="L115" i="36"/>
  <c r="N115" i="36" s="1"/>
  <c r="B115" i="36"/>
  <c r="T114" i="36"/>
  <c r="P114" i="36"/>
  <c r="L114" i="36"/>
  <c r="N114" i="36" s="1"/>
  <c r="H114" i="36"/>
  <c r="D114" i="36"/>
  <c r="B114" i="36"/>
  <c r="Z113" i="36"/>
  <c r="X113" i="36"/>
  <c r="L113" i="36"/>
  <c r="N113" i="36" s="1"/>
  <c r="B113" i="36"/>
  <c r="T112" i="36"/>
  <c r="P112" i="36"/>
  <c r="X112" i="36" s="1"/>
  <c r="L112" i="36"/>
  <c r="H112" i="36"/>
  <c r="D112" i="36"/>
  <c r="B112" i="36"/>
  <c r="X111" i="36"/>
  <c r="Z111" i="36" s="1"/>
  <c r="N111" i="36"/>
  <c r="L111" i="36"/>
  <c r="B111" i="36"/>
  <c r="Z110" i="36"/>
  <c r="X110" i="36"/>
  <c r="L110" i="36"/>
  <c r="N110" i="36" s="1"/>
  <c r="B110" i="36"/>
  <c r="T109" i="36"/>
  <c r="X109" i="36" s="1"/>
  <c r="Z109" i="36" s="1"/>
  <c r="P109" i="36"/>
  <c r="H109" i="36"/>
  <c r="D109" i="36"/>
  <c r="L109" i="36" s="1"/>
  <c r="N109" i="36" s="1"/>
  <c r="B109" i="36"/>
  <c r="Z108" i="36"/>
  <c r="X108" i="36"/>
  <c r="L108" i="36"/>
  <c r="N108" i="36" s="1"/>
  <c r="B108" i="36"/>
  <c r="X107" i="36"/>
  <c r="Z107" i="36" s="1"/>
  <c r="L107" i="36"/>
  <c r="N107" i="36" s="1"/>
  <c r="B107" i="36"/>
  <c r="Z106" i="36"/>
  <c r="X106" i="36"/>
  <c r="N106" i="36"/>
  <c r="L106" i="36"/>
  <c r="B106" i="36"/>
  <c r="X105" i="36"/>
  <c r="Z105" i="36" s="1"/>
  <c r="N105" i="36"/>
  <c r="L105" i="36"/>
  <c r="J105" i="36"/>
  <c r="B105" i="36"/>
  <c r="Z104" i="36"/>
  <c r="X104" i="36"/>
  <c r="L104" i="36"/>
  <c r="N104" i="36" s="1"/>
  <c r="B104" i="36"/>
  <c r="Z103" i="36"/>
  <c r="X103" i="36"/>
  <c r="L103" i="36"/>
  <c r="N103" i="36" s="1"/>
  <c r="B103" i="36"/>
  <c r="X102" i="36"/>
  <c r="Z102" i="36" s="1"/>
  <c r="L102" i="36"/>
  <c r="N102" i="36" s="1"/>
  <c r="B102" i="36"/>
  <c r="X101" i="36"/>
  <c r="Z101" i="36" s="1"/>
  <c r="N101" i="36"/>
  <c r="L101" i="36"/>
  <c r="B101" i="36"/>
  <c r="X100" i="36"/>
  <c r="Z100" i="36" s="1"/>
  <c r="L100" i="36"/>
  <c r="N100" i="36" s="1"/>
  <c r="B100" i="36"/>
  <c r="X99" i="36"/>
  <c r="Z99" i="36" s="1"/>
  <c r="L99" i="36"/>
  <c r="N99" i="36" s="1"/>
  <c r="B99" i="36"/>
  <c r="X98" i="36"/>
  <c r="Z98" i="36" s="1"/>
  <c r="N98" i="36"/>
  <c r="L98" i="36"/>
  <c r="B98" i="36"/>
  <c r="T97" i="36"/>
  <c r="P97" i="36"/>
  <c r="H97" i="36"/>
  <c r="D97" i="36"/>
  <c r="B97" i="36"/>
  <c r="X96" i="36"/>
  <c r="Z96" i="36" s="1"/>
  <c r="L96" i="36"/>
  <c r="N96" i="36" s="1"/>
  <c r="B96" i="36"/>
  <c r="X95" i="36"/>
  <c r="Z95" i="36" s="1"/>
  <c r="N95" i="36"/>
  <c r="L95" i="36"/>
  <c r="B95" i="36"/>
  <c r="X94" i="36"/>
  <c r="T94" i="36"/>
  <c r="P94" i="36"/>
  <c r="H94" i="36"/>
  <c r="D94" i="36"/>
  <c r="L94" i="36" s="1"/>
  <c r="B94" i="36"/>
  <c r="Z93" i="36"/>
  <c r="X93" i="36"/>
  <c r="L93" i="36"/>
  <c r="N93" i="36" s="1"/>
  <c r="B93" i="36"/>
  <c r="X92" i="36"/>
  <c r="Z92" i="36" s="1"/>
  <c r="L92" i="36"/>
  <c r="N92" i="36" s="1"/>
  <c r="B92" i="36"/>
  <c r="X91" i="36"/>
  <c r="Z91" i="36" s="1"/>
  <c r="L91" i="36"/>
  <c r="N91" i="36" s="1"/>
  <c r="B91" i="36"/>
  <c r="Z90" i="36"/>
  <c r="X90" i="36"/>
  <c r="N90" i="36"/>
  <c r="L90" i="36"/>
  <c r="B90" i="36"/>
  <c r="X89" i="36"/>
  <c r="Z89" i="36" s="1"/>
  <c r="L89" i="36"/>
  <c r="N89" i="36" s="1"/>
  <c r="B89" i="36"/>
  <c r="T88" i="36"/>
  <c r="P88" i="36"/>
  <c r="X88" i="36" s="1"/>
  <c r="H88" i="36"/>
  <c r="D88" i="36"/>
  <c r="L88" i="36" s="1"/>
  <c r="N88" i="36" s="1"/>
  <c r="B88" i="36"/>
  <c r="Z87" i="36"/>
  <c r="X87" i="36"/>
  <c r="N87" i="36"/>
  <c r="L87" i="36"/>
  <c r="B87" i="36"/>
  <c r="Z86" i="36"/>
  <c r="X86" i="36"/>
  <c r="N86" i="36"/>
  <c r="L86" i="36"/>
  <c r="B86" i="36"/>
  <c r="T85" i="36"/>
  <c r="Z85" i="36" s="1"/>
  <c r="P85" i="36"/>
  <c r="N85" i="36"/>
  <c r="H85" i="36"/>
  <c r="D85" i="36"/>
  <c r="L85" i="36" s="1"/>
  <c r="B85" i="36"/>
  <c r="X84" i="36"/>
  <c r="Z84" i="36" s="1"/>
  <c r="L84" i="36"/>
  <c r="N84" i="36" s="1"/>
  <c r="B84" i="36"/>
  <c r="Z83" i="36"/>
  <c r="X83" i="36"/>
  <c r="L83" i="36"/>
  <c r="N83" i="36" s="1"/>
  <c r="B83" i="36"/>
  <c r="Z82" i="36"/>
  <c r="X82" i="36"/>
  <c r="N82" i="36"/>
  <c r="L82" i="36"/>
  <c r="B82" i="36"/>
  <c r="Z81" i="36"/>
  <c r="X81" i="36"/>
  <c r="L81" i="36"/>
  <c r="N81" i="36" s="1"/>
  <c r="B81" i="36"/>
  <c r="T80" i="36"/>
  <c r="P80" i="36"/>
  <c r="X80" i="36" s="1"/>
  <c r="H80" i="36"/>
  <c r="D80" i="36"/>
  <c r="B80" i="36"/>
  <c r="X79" i="36"/>
  <c r="Z79" i="36" s="1"/>
  <c r="L79" i="36"/>
  <c r="N79" i="36" s="1"/>
  <c r="B79" i="36"/>
  <c r="T78" i="36"/>
  <c r="P78" i="36"/>
  <c r="X78" i="36" s="1"/>
  <c r="Z78" i="36" s="1"/>
  <c r="H78" i="36"/>
  <c r="D78" i="36"/>
  <c r="L78" i="36" s="1"/>
  <c r="B78" i="36"/>
  <c r="X77" i="36"/>
  <c r="Z77" i="36" s="1"/>
  <c r="N77" i="36"/>
  <c r="L77" i="36"/>
  <c r="B77" i="36"/>
  <c r="X76" i="36"/>
  <c r="Z76" i="36" s="1"/>
  <c r="T76" i="36"/>
  <c r="P76" i="36"/>
  <c r="H76" i="36"/>
  <c r="D76" i="36"/>
  <c r="B76" i="36"/>
  <c r="Z75" i="36"/>
  <c r="X75" i="36"/>
  <c r="L75" i="36"/>
  <c r="N75" i="36" s="1"/>
  <c r="B75" i="36"/>
  <c r="Z74" i="36"/>
  <c r="T74" i="36"/>
  <c r="X74" i="36" s="1"/>
  <c r="P74" i="36"/>
  <c r="L74" i="36"/>
  <c r="H74" i="36"/>
  <c r="D74" i="36"/>
  <c r="B74" i="36"/>
  <c r="X73" i="36"/>
  <c r="Z73" i="36" s="1"/>
  <c r="L73" i="36"/>
  <c r="N73" i="36" s="1"/>
  <c r="B73" i="36"/>
  <c r="T72" i="36"/>
  <c r="P72" i="36"/>
  <c r="X72" i="36" s="1"/>
  <c r="N72" i="36"/>
  <c r="H72" i="36"/>
  <c r="D72" i="36"/>
  <c r="L72" i="36" s="1"/>
  <c r="B72" i="36"/>
  <c r="X71" i="36"/>
  <c r="Z71" i="36" s="1"/>
  <c r="L71" i="36"/>
  <c r="N71" i="36" s="1"/>
  <c r="B71" i="36"/>
  <c r="T70" i="36"/>
  <c r="P70" i="36"/>
  <c r="X70" i="36" s="1"/>
  <c r="Z70" i="36" s="1"/>
  <c r="L70" i="36"/>
  <c r="N70" i="36" s="1"/>
  <c r="H70" i="36"/>
  <c r="D70" i="36"/>
  <c r="B70" i="36"/>
  <c r="Z69" i="36"/>
  <c r="X69" i="36"/>
  <c r="N69" i="36"/>
  <c r="L69" i="36"/>
  <c r="B69" i="36"/>
  <c r="T68" i="36"/>
  <c r="Z68" i="36" s="1"/>
  <c r="P68" i="36"/>
  <c r="X68" i="36" s="1"/>
  <c r="N68" i="36"/>
  <c r="H68" i="36"/>
  <c r="L68" i="36" s="1"/>
  <c r="D68" i="36"/>
  <c r="B68" i="36"/>
  <c r="Z67" i="36"/>
  <c r="X67" i="36"/>
  <c r="L67" i="36"/>
  <c r="N67" i="36" s="1"/>
  <c r="B67" i="36"/>
  <c r="T66" i="36"/>
  <c r="P66" i="36"/>
  <c r="H66" i="36"/>
  <c r="D66" i="36"/>
  <c r="L66" i="36" s="1"/>
  <c r="B66" i="36"/>
  <c r="X65" i="36"/>
  <c r="Z65" i="36" s="1"/>
  <c r="N65" i="36"/>
  <c r="L65" i="36"/>
  <c r="B65" i="36"/>
  <c r="X64" i="36"/>
  <c r="Z64" i="36" s="1"/>
  <c r="T64" i="36"/>
  <c r="P64" i="36"/>
  <c r="H64" i="36"/>
  <c r="D64" i="36"/>
  <c r="B64" i="36"/>
  <c r="X63" i="36"/>
  <c r="Z63" i="36" s="1"/>
  <c r="L63" i="36"/>
  <c r="N63" i="36" s="1"/>
  <c r="B63" i="36"/>
  <c r="T62" i="36"/>
  <c r="P62" i="36"/>
  <c r="H62" i="36"/>
  <c r="D62" i="36"/>
  <c r="B62" i="36"/>
  <c r="X61" i="36"/>
  <c r="Z61" i="36" s="1"/>
  <c r="N61" i="36"/>
  <c r="L61" i="36"/>
  <c r="B61" i="36"/>
  <c r="X60" i="36"/>
  <c r="Z60" i="36" s="1"/>
  <c r="L60" i="36"/>
  <c r="N60" i="36" s="1"/>
  <c r="B60" i="36"/>
  <c r="Z59" i="36"/>
  <c r="X59" i="36"/>
  <c r="N59" i="36"/>
  <c r="L59" i="36"/>
  <c r="B59" i="36"/>
  <c r="V58" i="36"/>
  <c r="T58" i="36"/>
  <c r="P58" i="36"/>
  <c r="X58" i="36" s="1"/>
  <c r="Z58" i="36" s="1"/>
  <c r="H58" i="36"/>
  <c r="D58" i="36"/>
  <c r="B58" i="36"/>
  <c r="Z57" i="36"/>
  <c r="X57" i="36"/>
  <c r="N57" i="36"/>
  <c r="L57" i="36"/>
  <c r="B57" i="36"/>
  <c r="T56" i="36"/>
  <c r="P56" i="36"/>
  <c r="H56" i="36"/>
  <c r="N56" i="36" s="1"/>
  <c r="D56" i="36"/>
  <c r="L56" i="36" s="1"/>
  <c r="B56" i="36"/>
  <c r="Z55" i="36"/>
  <c r="X55" i="36"/>
  <c r="L55" i="36"/>
  <c r="N55" i="36" s="1"/>
  <c r="B55" i="36"/>
  <c r="X54" i="36"/>
  <c r="Z54" i="36" s="1"/>
  <c r="V54" i="36"/>
  <c r="T54" i="36"/>
  <c r="P54" i="36"/>
  <c r="N54" i="36"/>
  <c r="H54" i="36"/>
  <c r="D54" i="36"/>
  <c r="L54" i="36" s="1"/>
  <c r="B54" i="36"/>
  <c r="Z53" i="36"/>
  <c r="X53" i="36"/>
  <c r="L53" i="36"/>
  <c r="N53" i="36" s="1"/>
  <c r="B53" i="36"/>
  <c r="T52" i="36"/>
  <c r="P52" i="36"/>
  <c r="L52" i="36"/>
  <c r="N52" i="36" s="1"/>
  <c r="H52" i="36"/>
  <c r="D52" i="36"/>
  <c r="B52" i="36"/>
  <c r="Z51" i="36"/>
  <c r="X51" i="36"/>
  <c r="V51" i="36"/>
  <c r="N51" i="36"/>
  <c r="L51" i="36"/>
  <c r="B51" i="36"/>
  <c r="Z50" i="36"/>
  <c r="X50" i="36"/>
  <c r="N50" i="36"/>
  <c r="L50" i="36"/>
  <c r="B50" i="36"/>
  <c r="X49" i="36"/>
  <c r="Z49" i="36" s="1"/>
  <c r="N49" i="36"/>
  <c r="L49" i="36"/>
  <c r="B49" i="36"/>
  <c r="Z48" i="36"/>
  <c r="X48" i="36"/>
  <c r="N48" i="36"/>
  <c r="L48" i="36"/>
  <c r="B48" i="36"/>
  <c r="Z47" i="36"/>
  <c r="X47" i="36"/>
  <c r="N47" i="36"/>
  <c r="L47" i="36"/>
  <c r="B47" i="36"/>
  <c r="Z46" i="36"/>
  <c r="X46" i="36"/>
  <c r="L46" i="36"/>
  <c r="N46" i="36" s="1"/>
  <c r="B46" i="36"/>
  <c r="X45" i="36"/>
  <c r="Z45" i="36" s="1"/>
  <c r="N45" i="36"/>
  <c r="L45" i="36"/>
  <c r="B45" i="36"/>
  <c r="Z44" i="36"/>
  <c r="X44" i="36"/>
  <c r="N44" i="36"/>
  <c r="L44" i="36"/>
  <c r="B44" i="36"/>
  <c r="Z43" i="36"/>
  <c r="X43" i="36"/>
  <c r="N43" i="36"/>
  <c r="L43" i="36"/>
  <c r="B43" i="36"/>
  <c r="Z42" i="36"/>
  <c r="X42" i="36"/>
  <c r="L42" i="36"/>
  <c r="N42" i="36" s="1"/>
  <c r="B42" i="36"/>
  <c r="X41" i="36"/>
  <c r="T41" i="36"/>
  <c r="P41" i="36"/>
  <c r="H41" i="36"/>
  <c r="D41" i="36"/>
  <c r="B41" i="36"/>
  <c r="Z40" i="36"/>
  <c r="X40" i="36"/>
  <c r="L40" i="36"/>
  <c r="N40" i="36" s="1"/>
  <c r="B40" i="36"/>
  <c r="X39" i="36"/>
  <c r="Z39" i="36" s="1"/>
  <c r="L39" i="36"/>
  <c r="N39" i="36" s="1"/>
  <c r="B39" i="36"/>
  <c r="X38" i="36"/>
  <c r="Z38" i="36" s="1"/>
  <c r="L38" i="36"/>
  <c r="N38" i="36" s="1"/>
  <c r="B38" i="36"/>
  <c r="Z37" i="36"/>
  <c r="X37" i="36"/>
  <c r="N37" i="36"/>
  <c r="L37" i="36"/>
  <c r="B37" i="36"/>
  <c r="Z36" i="36"/>
  <c r="X36" i="36"/>
  <c r="V36" i="36"/>
  <c r="N36" i="36"/>
  <c r="L36" i="36"/>
  <c r="B36" i="36"/>
  <c r="X35" i="36"/>
  <c r="Z35" i="36" s="1"/>
  <c r="L35" i="36"/>
  <c r="N35" i="36" s="1"/>
  <c r="B35" i="36"/>
  <c r="X34" i="36"/>
  <c r="Z34" i="36" s="1"/>
  <c r="V34" i="36"/>
  <c r="L34" i="36"/>
  <c r="N34" i="36" s="1"/>
  <c r="B34" i="36"/>
  <c r="Z33" i="36"/>
  <c r="X33" i="36"/>
  <c r="N33" i="36"/>
  <c r="L33" i="36"/>
  <c r="B33" i="36"/>
  <c r="Z32" i="36"/>
  <c r="X32" i="36"/>
  <c r="L32" i="36"/>
  <c r="N32" i="36" s="1"/>
  <c r="B32" i="36"/>
  <c r="X31" i="36"/>
  <c r="Z31" i="36" s="1"/>
  <c r="L31" i="36"/>
  <c r="N31" i="36" s="1"/>
  <c r="B31" i="36"/>
  <c r="X30" i="36"/>
  <c r="Z30" i="36" s="1"/>
  <c r="V30" i="36"/>
  <c r="T30" i="36"/>
  <c r="P30" i="36"/>
  <c r="H30" i="36"/>
  <c r="D30" i="36"/>
  <c r="L30" i="36" s="1"/>
  <c r="N30" i="36" s="1"/>
  <c r="B30" i="36"/>
  <c r="T29" i="36"/>
  <c r="P29" i="36"/>
  <c r="X29" i="36" s="1"/>
  <c r="Z29" i="36" s="1"/>
  <c r="H29" i="36"/>
  <c r="D29" i="36"/>
  <c r="L29" i="36" s="1"/>
  <c r="Z25" i="36"/>
  <c r="X25" i="36"/>
  <c r="N25" i="36"/>
  <c r="L25" i="36"/>
  <c r="B25" i="36"/>
  <c r="Z24" i="36"/>
  <c r="X24" i="36"/>
  <c r="N24" i="36"/>
  <c r="L24" i="36"/>
  <c r="B24" i="36"/>
  <c r="X23" i="36"/>
  <c r="Z23" i="36" s="1"/>
  <c r="L23" i="36"/>
  <c r="N23" i="36" s="1"/>
  <c r="B23" i="36"/>
  <c r="Z22" i="36"/>
  <c r="X22" i="36"/>
  <c r="T22" i="36"/>
  <c r="P22" i="36"/>
  <c r="H22" i="36"/>
  <c r="D22" i="36"/>
  <c r="Z20" i="36"/>
  <c r="P20" i="36"/>
  <c r="X20" i="36" s="1"/>
  <c r="N20" i="36"/>
  <c r="L20" i="36"/>
  <c r="D20" i="36"/>
  <c r="B20" i="36"/>
  <c r="Z19" i="36"/>
  <c r="P19" i="36"/>
  <c r="X19" i="36" s="1"/>
  <c r="N19" i="36"/>
  <c r="D19" i="36"/>
  <c r="L19" i="36" s="1"/>
  <c r="B19" i="36"/>
  <c r="P18" i="36"/>
  <c r="X18" i="36" s="1"/>
  <c r="Z18" i="36" s="1"/>
  <c r="D18" i="36"/>
  <c r="L18" i="36" s="1"/>
  <c r="N18" i="36" s="1"/>
  <c r="B18" i="36"/>
  <c r="Z17" i="36"/>
  <c r="X17" i="36"/>
  <c r="P17" i="36"/>
  <c r="N17" i="36"/>
  <c r="D17" i="36"/>
  <c r="L17" i="36" s="1"/>
  <c r="B17" i="36"/>
  <c r="Z16" i="36"/>
  <c r="P16" i="36"/>
  <c r="X16" i="36" s="1"/>
  <c r="N16" i="36"/>
  <c r="D16" i="36"/>
  <c r="L16" i="36" s="1"/>
  <c r="B16" i="36"/>
  <c r="Z15" i="36"/>
  <c r="X15" i="36"/>
  <c r="P15" i="36"/>
  <c r="N15" i="36"/>
  <c r="D15" i="36"/>
  <c r="L15" i="36" s="1"/>
  <c r="B15" i="36"/>
  <c r="Z14" i="36"/>
  <c r="P14" i="36"/>
  <c r="X14" i="36" s="1"/>
  <c r="N14" i="36"/>
  <c r="L14" i="36"/>
  <c r="D14" i="36"/>
  <c r="B14" i="36"/>
  <c r="X13" i="36"/>
  <c r="Z13" i="36" s="1"/>
  <c r="P13" i="36"/>
  <c r="D13" i="36"/>
  <c r="B13" i="36"/>
  <c r="T12" i="36"/>
  <c r="V38" i="36" s="1"/>
  <c r="H12" i="36"/>
  <c r="J73" i="36" s="1"/>
  <c r="D4" i="36"/>
  <c r="X83" i="33"/>
  <c r="Z83" i="33" s="1"/>
  <c r="V83" i="33"/>
  <c r="L83" i="33"/>
  <c r="N83" i="33" s="1"/>
  <c r="X79" i="33"/>
  <c r="Z79" i="33" s="1"/>
  <c r="P79" i="33"/>
  <c r="L79" i="33"/>
  <c r="N79" i="33" s="1"/>
  <c r="J79" i="33"/>
  <c r="D79" i="33"/>
  <c r="B79" i="33"/>
  <c r="V78" i="33"/>
  <c r="T78" i="33"/>
  <c r="P78" i="33"/>
  <c r="X78" i="33" s="1"/>
  <c r="Z78" i="33" s="1"/>
  <c r="L78" i="33"/>
  <c r="N78" i="33" s="1"/>
  <c r="H78" i="33"/>
  <c r="D78" i="33"/>
  <c r="Z76" i="33"/>
  <c r="X76" i="33"/>
  <c r="V76" i="33"/>
  <c r="N76" i="33"/>
  <c r="L76" i="33"/>
  <c r="B76" i="33"/>
  <c r="T75" i="33"/>
  <c r="Z75" i="33" s="1"/>
  <c r="P75" i="33"/>
  <c r="H75" i="33"/>
  <c r="N75" i="33" s="1"/>
  <c r="D75" i="33"/>
  <c r="L75" i="33" s="1"/>
  <c r="B75" i="33"/>
  <c r="X74" i="33"/>
  <c r="Z74" i="33" s="1"/>
  <c r="V74" i="33"/>
  <c r="N74" i="33"/>
  <c r="L74" i="33"/>
  <c r="B74" i="33"/>
  <c r="X73" i="33"/>
  <c r="Z73" i="33" s="1"/>
  <c r="T73" i="33"/>
  <c r="P73" i="33"/>
  <c r="L73" i="33"/>
  <c r="H73" i="33"/>
  <c r="N73" i="33" s="1"/>
  <c r="D73" i="33"/>
  <c r="B73" i="33"/>
  <c r="Z72" i="33"/>
  <c r="X72" i="33"/>
  <c r="N72" i="33"/>
  <c r="L72" i="33"/>
  <c r="B72" i="33"/>
  <c r="X71" i="33"/>
  <c r="Z71" i="33" s="1"/>
  <c r="V71" i="33"/>
  <c r="L71" i="33"/>
  <c r="N71" i="33" s="1"/>
  <c r="B71" i="33"/>
  <c r="Z70" i="33"/>
  <c r="X70" i="33"/>
  <c r="L70" i="33"/>
  <c r="N70" i="33" s="1"/>
  <c r="J70" i="33"/>
  <c r="B70" i="33"/>
  <c r="Z69" i="33"/>
  <c r="X69" i="33"/>
  <c r="N69" i="33"/>
  <c r="L69" i="33"/>
  <c r="B69" i="33"/>
  <c r="Z68" i="33"/>
  <c r="X68" i="33"/>
  <c r="N68" i="33"/>
  <c r="L68" i="33"/>
  <c r="J68" i="33"/>
  <c r="B68" i="33"/>
  <c r="V67" i="33"/>
  <c r="T67" i="33"/>
  <c r="P67" i="33"/>
  <c r="H67" i="33"/>
  <c r="D67" i="33"/>
  <c r="B67" i="33"/>
  <c r="X66" i="33"/>
  <c r="Z66" i="33" s="1"/>
  <c r="V66" i="33"/>
  <c r="L66" i="33"/>
  <c r="N66" i="33" s="1"/>
  <c r="J66" i="33"/>
  <c r="B66" i="33"/>
  <c r="T65" i="33"/>
  <c r="Z65" i="33" s="1"/>
  <c r="P65" i="33"/>
  <c r="X65" i="33" s="1"/>
  <c r="H65" i="33"/>
  <c r="D65" i="33"/>
  <c r="L65" i="33" s="1"/>
  <c r="B65" i="33"/>
  <c r="X64" i="33"/>
  <c r="Z64" i="33" s="1"/>
  <c r="R64" i="33"/>
  <c r="N64" i="33"/>
  <c r="L64" i="33"/>
  <c r="B64" i="33"/>
  <c r="Z63" i="33"/>
  <c r="X63" i="33"/>
  <c r="N63" i="33"/>
  <c r="L63" i="33"/>
  <c r="B63" i="33"/>
  <c r="X62" i="33"/>
  <c r="Z62" i="33" s="1"/>
  <c r="V62" i="33"/>
  <c r="T62" i="33"/>
  <c r="P62" i="33"/>
  <c r="H62" i="33"/>
  <c r="D62" i="33"/>
  <c r="B62" i="33"/>
  <c r="X61" i="33"/>
  <c r="Z61" i="33" s="1"/>
  <c r="L61" i="33"/>
  <c r="N61" i="33" s="1"/>
  <c r="B61" i="33"/>
  <c r="Z60" i="33"/>
  <c r="X60" i="33"/>
  <c r="N60" i="33"/>
  <c r="L60" i="33"/>
  <c r="B60" i="33"/>
  <c r="V59" i="33"/>
  <c r="T59" i="33"/>
  <c r="P59" i="33"/>
  <c r="L59" i="33"/>
  <c r="H59" i="33"/>
  <c r="D59" i="33"/>
  <c r="B59" i="33"/>
  <c r="X58" i="33"/>
  <c r="Z58" i="33" s="1"/>
  <c r="V58" i="33"/>
  <c r="L58" i="33"/>
  <c r="N58" i="33" s="1"/>
  <c r="B58" i="33"/>
  <c r="T57" i="33"/>
  <c r="Z57" i="33" s="1"/>
  <c r="P57" i="33"/>
  <c r="X57" i="33" s="1"/>
  <c r="H57" i="33"/>
  <c r="D57" i="33"/>
  <c r="B57" i="33"/>
  <c r="X56" i="33"/>
  <c r="Z56" i="33" s="1"/>
  <c r="N56" i="33"/>
  <c r="L56" i="33"/>
  <c r="B56" i="33"/>
  <c r="X55" i="33"/>
  <c r="T55" i="33"/>
  <c r="P55" i="33"/>
  <c r="H55" i="33"/>
  <c r="D55" i="33"/>
  <c r="L55" i="33" s="1"/>
  <c r="N55" i="33" s="1"/>
  <c r="B55" i="33"/>
  <c r="Z54" i="33"/>
  <c r="X54" i="33"/>
  <c r="L54" i="33"/>
  <c r="N54" i="33" s="1"/>
  <c r="B54" i="33"/>
  <c r="X53" i="33"/>
  <c r="T53" i="33"/>
  <c r="P53" i="33"/>
  <c r="H53" i="33"/>
  <c r="D53" i="33"/>
  <c r="L53" i="33" s="1"/>
  <c r="B53" i="33"/>
  <c r="Z52" i="33"/>
  <c r="X52" i="33"/>
  <c r="V52" i="33"/>
  <c r="L52" i="33"/>
  <c r="N52" i="33" s="1"/>
  <c r="B52" i="33"/>
  <c r="T51" i="33"/>
  <c r="P51" i="33"/>
  <c r="X51" i="33" s="1"/>
  <c r="H51" i="33"/>
  <c r="D51" i="33"/>
  <c r="L51" i="33" s="1"/>
  <c r="B51" i="33"/>
  <c r="Z50" i="33"/>
  <c r="X50" i="33"/>
  <c r="V50" i="33"/>
  <c r="N50" i="33"/>
  <c r="L50" i="33"/>
  <c r="B50" i="33"/>
  <c r="Z49" i="33"/>
  <c r="X49" i="33"/>
  <c r="N49" i="33"/>
  <c r="L49" i="33"/>
  <c r="B49" i="33"/>
  <c r="Z48" i="33"/>
  <c r="X48" i="33"/>
  <c r="R48" i="33"/>
  <c r="N48" i="33"/>
  <c r="L48" i="33"/>
  <c r="B48" i="33"/>
  <c r="Z47" i="33"/>
  <c r="X47" i="33"/>
  <c r="N47" i="33"/>
  <c r="L47" i="33"/>
  <c r="J47" i="33"/>
  <c r="B47" i="33"/>
  <c r="Z46" i="33"/>
  <c r="X46" i="33"/>
  <c r="V46" i="33"/>
  <c r="N46" i="33"/>
  <c r="L46" i="33"/>
  <c r="B46" i="33"/>
  <c r="Z45" i="33"/>
  <c r="X45" i="33"/>
  <c r="N45" i="33"/>
  <c r="L45" i="33"/>
  <c r="B45" i="33"/>
  <c r="Z44" i="33"/>
  <c r="X44" i="33"/>
  <c r="N44" i="33"/>
  <c r="L44" i="33"/>
  <c r="B44" i="33"/>
  <c r="Z43" i="33"/>
  <c r="X43" i="33"/>
  <c r="N43" i="33"/>
  <c r="L43" i="33"/>
  <c r="J43" i="33"/>
  <c r="B43" i="33"/>
  <c r="X42" i="33"/>
  <c r="Z42" i="33" s="1"/>
  <c r="V42" i="33"/>
  <c r="N42" i="33"/>
  <c r="L42" i="33"/>
  <c r="B42" i="33"/>
  <c r="Z41" i="33"/>
  <c r="X41" i="33"/>
  <c r="N41" i="33"/>
  <c r="L41" i="33"/>
  <c r="B41" i="33"/>
  <c r="T40" i="33"/>
  <c r="R40" i="33"/>
  <c r="P40" i="33"/>
  <c r="X40" i="33" s="1"/>
  <c r="L40" i="33"/>
  <c r="N40" i="33" s="1"/>
  <c r="H40" i="33"/>
  <c r="D40" i="33"/>
  <c r="B40" i="33"/>
  <c r="Z39" i="33"/>
  <c r="X39" i="33"/>
  <c r="V39" i="33"/>
  <c r="N39" i="33"/>
  <c r="L39" i="33"/>
  <c r="B39" i="33"/>
  <c r="Z38" i="33"/>
  <c r="X38" i="33"/>
  <c r="L38" i="33"/>
  <c r="N38" i="33" s="1"/>
  <c r="B38" i="33"/>
  <c r="X37" i="33"/>
  <c r="Z37" i="33" s="1"/>
  <c r="N37" i="33"/>
  <c r="L37" i="33"/>
  <c r="B37" i="33"/>
  <c r="Z36" i="33"/>
  <c r="X36" i="33"/>
  <c r="N36" i="33"/>
  <c r="L36" i="33"/>
  <c r="B36" i="33"/>
  <c r="X35" i="33"/>
  <c r="Z35" i="33" s="1"/>
  <c r="V35" i="33"/>
  <c r="L35" i="33"/>
  <c r="N35" i="33" s="1"/>
  <c r="B35" i="33"/>
  <c r="Z34" i="33"/>
  <c r="X34" i="33"/>
  <c r="L34" i="33"/>
  <c r="N34" i="33" s="1"/>
  <c r="B34" i="33"/>
  <c r="X33" i="33"/>
  <c r="Z33" i="33" s="1"/>
  <c r="R33" i="33"/>
  <c r="N33" i="33"/>
  <c r="L33" i="33"/>
  <c r="B33" i="33"/>
  <c r="Z32" i="33"/>
  <c r="X32" i="33"/>
  <c r="N32" i="33"/>
  <c r="L32" i="33"/>
  <c r="B32" i="33"/>
  <c r="X31" i="33"/>
  <c r="Z31" i="33" s="1"/>
  <c r="V31" i="33"/>
  <c r="R31" i="33"/>
  <c r="L31" i="33"/>
  <c r="N31" i="33" s="1"/>
  <c r="B31" i="33"/>
  <c r="T30" i="33"/>
  <c r="P30" i="33"/>
  <c r="X30" i="33" s="1"/>
  <c r="Z30" i="33" s="1"/>
  <c r="N30" i="33"/>
  <c r="H30" i="33"/>
  <c r="L30" i="33" s="1"/>
  <c r="D30" i="33"/>
  <c r="B30" i="33"/>
  <c r="T29" i="33"/>
  <c r="P29" i="33"/>
  <c r="X29" i="33" s="1"/>
  <c r="H29" i="33"/>
  <c r="D29" i="33"/>
  <c r="P27" i="33"/>
  <c r="T25" i="33"/>
  <c r="T27" i="33" s="1"/>
  <c r="P25" i="33"/>
  <c r="X25" i="33" s="1"/>
  <c r="H25" i="33"/>
  <c r="N25" i="33" s="1"/>
  <c r="D25" i="33"/>
  <c r="Z23" i="33"/>
  <c r="P23" i="33"/>
  <c r="X23" i="33" s="1"/>
  <c r="N23" i="33"/>
  <c r="D23" i="33"/>
  <c r="L23" i="33" s="1"/>
  <c r="B23" i="33"/>
  <c r="Z22" i="33"/>
  <c r="P22" i="33"/>
  <c r="X22" i="33" s="1"/>
  <c r="N22" i="33"/>
  <c r="L22" i="33"/>
  <c r="D22" i="33"/>
  <c r="B22" i="33"/>
  <c r="Z21" i="33"/>
  <c r="P21" i="33"/>
  <c r="X21" i="33" s="1"/>
  <c r="N21" i="33"/>
  <c r="L21" i="33"/>
  <c r="D21" i="33"/>
  <c r="B21" i="33"/>
  <c r="Z20" i="33"/>
  <c r="P20" i="33"/>
  <c r="X20" i="33" s="1"/>
  <c r="N20" i="33"/>
  <c r="D20" i="33"/>
  <c r="L20" i="33" s="1"/>
  <c r="B20" i="33"/>
  <c r="Z19" i="33"/>
  <c r="X19" i="33"/>
  <c r="P19" i="33"/>
  <c r="N19" i="33"/>
  <c r="D19" i="33"/>
  <c r="L19" i="33" s="1"/>
  <c r="B19" i="33"/>
  <c r="Z18" i="33"/>
  <c r="X18" i="33"/>
  <c r="P18" i="33"/>
  <c r="N18" i="33"/>
  <c r="D18" i="33"/>
  <c r="L18" i="33" s="1"/>
  <c r="B18" i="33"/>
  <c r="P17" i="33"/>
  <c r="X17" i="33" s="1"/>
  <c r="Z17" i="33" s="1"/>
  <c r="N17" i="33"/>
  <c r="D17" i="33"/>
  <c r="L17" i="33" s="1"/>
  <c r="B17" i="33"/>
  <c r="Z16" i="33"/>
  <c r="P16" i="33"/>
  <c r="X16" i="33" s="1"/>
  <c r="N16" i="33"/>
  <c r="L16" i="33"/>
  <c r="D16" i="33"/>
  <c r="B16" i="33"/>
  <c r="Z15" i="33"/>
  <c r="X15" i="33"/>
  <c r="P15" i="33"/>
  <c r="N15" i="33"/>
  <c r="L15" i="33"/>
  <c r="D15" i="33"/>
  <c r="B15" i="33"/>
  <c r="Z14" i="33"/>
  <c r="X14" i="33"/>
  <c r="P14" i="33"/>
  <c r="P12" i="33" s="1"/>
  <c r="R71" i="33" s="1"/>
  <c r="N14" i="33"/>
  <c r="D14" i="33"/>
  <c r="L14" i="33" s="1"/>
  <c r="B14" i="33"/>
  <c r="X13" i="33"/>
  <c r="Z13" i="33" s="1"/>
  <c r="P13" i="33"/>
  <c r="D13" i="33"/>
  <c r="L13" i="33" s="1"/>
  <c r="N13" i="33" s="1"/>
  <c r="B13" i="33"/>
  <c r="T12" i="33"/>
  <c r="V70" i="33" s="1"/>
  <c r="H12" i="33"/>
  <c r="J78" i="33" s="1"/>
  <c r="D4" i="33"/>
  <c r="Z167" i="30"/>
  <c r="X167" i="30"/>
  <c r="L167" i="30"/>
  <c r="N167" i="30" s="1"/>
  <c r="Z163" i="30"/>
  <c r="P163" i="30"/>
  <c r="X163" i="30" s="1"/>
  <c r="N163" i="30"/>
  <c r="L163" i="30"/>
  <c r="D163" i="30"/>
  <c r="B163" i="30"/>
  <c r="X162" i="30"/>
  <c r="Z162" i="30" s="1"/>
  <c r="P162" i="30"/>
  <c r="N162" i="30"/>
  <c r="D162" i="30"/>
  <c r="L162" i="30" s="1"/>
  <c r="B162" i="30"/>
  <c r="P161" i="30"/>
  <c r="X161" i="30" s="1"/>
  <c r="Z161" i="30" s="1"/>
  <c r="D161" i="30"/>
  <c r="B161" i="30"/>
  <c r="T160" i="30"/>
  <c r="P160" i="30"/>
  <c r="H160" i="30"/>
  <c r="X158" i="30"/>
  <c r="Z158" i="30" s="1"/>
  <c r="L158" i="30"/>
  <c r="N158" i="30" s="1"/>
  <c r="B158" i="30"/>
  <c r="X157" i="30"/>
  <c r="Z157" i="30" s="1"/>
  <c r="T157" i="30"/>
  <c r="P157" i="30"/>
  <c r="H157" i="30"/>
  <c r="D157" i="30"/>
  <c r="L157" i="30" s="1"/>
  <c r="B157" i="30"/>
  <c r="Z156" i="30"/>
  <c r="X156" i="30"/>
  <c r="L156" i="30"/>
  <c r="N156" i="30" s="1"/>
  <c r="B156" i="30"/>
  <c r="X155" i="30"/>
  <c r="Z155" i="30" s="1"/>
  <c r="L155" i="30"/>
  <c r="N155" i="30" s="1"/>
  <c r="B155" i="30"/>
  <c r="T154" i="30"/>
  <c r="Z154" i="30" s="1"/>
  <c r="P154" i="30"/>
  <c r="X154" i="30" s="1"/>
  <c r="N154" i="30"/>
  <c r="H154" i="30"/>
  <c r="D154" i="30"/>
  <c r="L154" i="30" s="1"/>
  <c r="B154" i="30"/>
  <c r="X153" i="30"/>
  <c r="Z153" i="30" s="1"/>
  <c r="L153" i="30"/>
  <c r="N153" i="30" s="1"/>
  <c r="B153" i="30"/>
  <c r="X152" i="30"/>
  <c r="T152" i="30"/>
  <c r="Z152" i="30" s="1"/>
  <c r="P152" i="30"/>
  <c r="L152" i="30"/>
  <c r="J152" i="30"/>
  <c r="H152" i="30"/>
  <c r="D152" i="30"/>
  <c r="B152" i="30"/>
  <c r="Z151" i="30"/>
  <c r="X151" i="30"/>
  <c r="N151" i="30"/>
  <c r="L151" i="30"/>
  <c r="J151" i="30"/>
  <c r="B151" i="30"/>
  <c r="X150" i="30"/>
  <c r="Z150" i="30" s="1"/>
  <c r="N150" i="30"/>
  <c r="L150" i="30"/>
  <c r="B150" i="30"/>
  <c r="Z149" i="30"/>
  <c r="X149" i="30"/>
  <c r="T149" i="30"/>
  <c r="P149" i="30"/>
  <c r="H149" i="30"/>
  <c r="D149" i="30"/>
  <c r="B149" i="30"/>
  <c r="Z148" i="30"/>
  <c r="X148" i="30"/>
  <c r="L148" i="30"/>
  <c r="N148" i="30" s="1"/>
  <c r="B148" i="30"/>
  <c r="X147" i="30"/>
  <c r="Z147" i="30" s="1"/>
  <c r="L147" i="30"/>
  <c r="N147" i="30" s="1"/>
  <c r="B147" i="30"/>
  <c r="Z146" i="30"/>
  <c r="X146" i="30"/>
  <c r="L146" i="30"/>
  <c r="N146" i="30" s="1"/>
  <c r="B146" i="30"/>
  <c r="Z145" i="30"/>
  <c r="X145" i="30"/>
  <c r="L145" i="30"/>
  <c r="N145" i="30" s="1"/>
  <c r="B145" i="30"/>
  <c r="Z144" i="30"/>
  <c r="X144" i="30"/>
  <c r="L144" i="30"/>
  <c r="N144" i="30" s="1"/>
  <c r="B144" i="30"/>
  <c r="X143" i="30"/>
  <c r="Z143" i="30" s="1"/>
  <c r="V143" i="30"/>
  <c r="L143" i="30"/>
  <c r="N143" i="30" s="1"/>
  <c r="B143" i="30"/>
  <c r="Z142" i="30"/>
  <c r="X142" i="30"/>
  <c r="L142" i="30"/>
  <c r="N142" i="30" s="1"/>
  <c r="J142" i="30"/>
  <c r="B142" i="30"/>
  <c r="Z141" i="30"/>
  <c r="X141" i="30"/>
  <c r="L141" i="30"/>
  <c r="N141" i="30" s="1"/>
  <c r="B141" i="30"/>
  <c r="Z140" i="30"/>
  <c r="T140" i="30"/>
  <c r="P140" i="30"/>
  <c r="X140" i="30" s="1"/>
  <c r="J140" i="30"/>
  <c r="H140" i="30"/>
  <c r="D140" i="30"/>
  <c r="L140" i="30" s="1"/>
  <c r="B140" i="30"/>
  <c r="Z139" i="30"/>
  <c r="X139" i="30"/>
  <c r="N139" i="30"/>
  <c r="L139" i="30"/>
  <c r="B139" i="30"/>
  <c r="X138" i="30"/>
  <c r="Z138" i="30" s="1"/>
  <c r="N138" i="30"/>
  <c r="L138" i="30"/>
  <c r="B138" i="30"/>
  <c r="X137" i="30"/>
  <c r="T137" i="30"/>
  <c r="Z137" i="30" s="1"/>
  <c r="P137" i="30"/>
  <c r="N137" i="30"/>
  <c r="L137" i="30"/>
  <c r="H137" i="30"/>
  <c r="D137" i="30"/>
  <c r="B137" i="30"/>
  <c r="Z136" i="30"/>
  <c r="X136" i="30"/>
  <c r="N136" i="30"/>
  <c r="L136" i="30"/>
  <c r="B136" i="30"/>
  <c r="Z135" i="30"/>
  <c r="X135" i="30"/>
  <c r="N135" i="30"/>
  <c r="L135" i="30"/>
  <c r="B135" i="30"/>
  <c r="Z134" i="30"/>
  <c r="X134" i="30"/>
  <c r="N134" i="30"/>
  <c r="L134" i="30"/>
  <c r="J134" i="30"/>
  <c r="B134" i="30"/>
  <c r="X133" i="30"/>
  <c r="Z133" i="30" s="1"/>
  <c r="T133" i="30"/>
  <c r="P133" i="30"/>
  <c r="H133" i="30"/>
  <c r="D133" i="30"/>
  <c r="B133" i="30"/>
  <c r="Z132" i="30"/>
  <c r="X132" i="30"/>
  <c r="L132" i="30"/>
  <c r="N132" i="30" s="1"/>
  <c r="B132" i="30"/>
  <c r="X131" i="30"/>
  <c r="Z131" i="30" s="1"/>
  <c r="L131" i="30"/>
  <c r="N131" i="30" s="1"/>
  <c r="B131" i="30"/>
  <c r="Z130" i="30"/>
  <c r="X130" i="30"/>
  <c r="L130" i="30"/>
  <c r="N130" i="30" s="1"/>
  <c r="J130" i="30"/>
  <c r="B130" i="30"/>
  <c r="T129" i="30"/>
  <c r="P129" i="30"/>
  <c r="X129" i="30" s="1"/>
  <c r="Z129" i="30" s="1"/>
  <c r="H129" i="30"/>
  <c r="D129" i="30"/>
  <c r="L129" i="30" s="1"/>
  <c r="B129" i="30"/>
  <c r="X128" i="30"/>
  <c r="Z128" i="30" s="1"/>
  <c r="N128" i="30"/>
  <c r="L128" i="30"/>
  <c r="B128" i="30"/>
  <c r="Z127" i="30"/>
  <c r="X127" i="30"/>
  <c r="N127" i="30"/>
  <c r="L127" i="30"/>
  <c r="B127" i="30"/>
  <c r="X126" i="30"/>
  <c r="T126" i="30"/>
  <c r="Z126" i="30" s="1"/>
  <c r="P126" i="30"/>
  <c r="L126" i="30"/>
  <c r="N126" i="30" s="1"/>
  <c r="H126" i="30"/>
  <c r="D126" i="30"/>
  <c r="B126" i="30"/>
  <c r="X125" i="30"/>
  <c r="Z125" i="30" s="1"/>
  <c r="N125" i="30"/>
  <c r="L125" i="30"/>
  <c r="B125" i="30"/>
  <c r="T124" i="30"/>
  <c r="P124" i="30"/>
  <c r="X124" i="30" s="1"/>
  <c r="H124" i="30"/>
  <c r="D124" i="30"/>
  <c r="B124" i="30"/>
  <c r="X123" i="30"/>
  <c r="Z123" i="30" s="1"/>
  <c r="L123" i="30"/>
  <c r="N123" i="30" s="1"/>
  <c r="B123" i="30"/>
  <c r="T122" i="30"/>
  <c r="P122" i="30"/>
  <c r="X122" i="30" s="1"/>
  <c r="N122" i="30"/>
  <c r="H122" i="30"/>
  <c r="D122" i="30"/>
  <c r="L122" i="30" s="1"/>
  <c r="B122" i="30"/>
  <c r="X121" i="30"/>
  <c r="Z121" i="30" s="1"/>
  <c r="L121" i="30"/>
  <c r="N121" i="30" s="1"/>
  <c r="B121" i="30"/>
  <c r="X120" i="30"/>
  <c r="T120" i="30"/>
  <c r="Z120" i="30" s="1"/>
  <c r="P120" i="30"/>
  <c r="L120" i="30"/>
  <c r="H120" i="30"/>
  <c r="D120" i="30"/>
  <c r="B120" i="30"/>
  <c r="Z119" i="30"/>
  <c r="X119" i="30"/>
  <c r="N119" i="30"/>
  <c r="L119" i="30"/>
  <c r="J119" i="30"/>
  <c r="B119" i="30"/>
  <c r="T118" i="30"/>
  <c r="P118" i="30"/>
  <c r="N118" i="30"/>
  <c r="H118" i="30"/>
  <c r="D118" i="30"/>
  <c r="L118" i="30" s="1"/>
  <c r="B118" i="30"/>
  <c r="Z117" i="30"/>
  <c r="X117" i="30"/>
  <c r="L117" i="30"/>
  <c r="N117" i="30" s="1"/>
  <c r="B117" i="30"/>
  <c r="Z116" i="30"/>
  <c r="X116" i="30"/>
  <c r="N116" i="30"/>
  <c r="L116" i="30"/>
  <c r="B116" i="30"/>
  <c r="T115" i="30"/>
  <c r="P115" i="30"/>
  <c r="H115" i="30"/>
  <c r="D115" i="30"/>
  <c r="L115" i="30" s="1"/>
  <c r="N115" i="30" s="1"/>
  <c r="B115" i="30"/>
  <c r="X114" i="30"/>
  <c r="Z114" i="30" s="1"/>
  <c r="V114" i="30"/>
  <c r="L114" i="30"/>
  <c r="N114" i="30" s="1"/>
  <c r="B114" i="30"/>
  <c r="Z113" i="30"/>
  <c r="X113" i="30"/>
  <c r="N113" i="30"/>
  <c r="L113" i="30"/>
  <c r="B113" i="30"/>
  <c r="X112" i="30"/>
  <c r="T112" i="30"/>
  <c r="Z112" i="30" s="1"/>
  <c r="P112" i="30"/>
  <c r="L112" i="30"/>
  <c r="H112" i="30"/>
  <c r="D112" i="30"/>
  <c r="B112" i="30"/>
  <c r="Z111" i="30"/>
  <c r="X111" i="30"/>
  <c r="N111" i="30"/>
  <c r="L111" i="30"/>
  <c r="J111" i="30"/>
  <c r="B111" i="30"/>
  <c r="T110" i="30"/>
  <c r="P110" i="30"/>
  <c r="N110" i="30"/>
  <c r="H110" i="30"/>
  <c r="D110" i="30"/>
  <c r="L110" i="30" s="1"/>
  <c r="B110" i="30"/>
  <c r="Z109" i="30"/>
  <c r="X109" i="30"/>
  <c r="N109" i="30"/>
  <c r="L109" i="30"/>
  <c r="B109" i="30"/>
  <c r="Z108" i="30"/>
  <c r="T108" i="30"/>
  <c r="P108" i="30"/>
  <c r="X108" i="30" s="1"/>
  <c r="H108" i="30"/>
  <c r="N108" i="30" s="1"/>
  <c r="D108" i="30"/>
  <c r="L108" i="30" s="1"/>
  <c r="B108" i="30"/>
  <c r="X107" i="30"/>
  <c r="Z107" i="30" s="1"/>
  <c r="N107" i="30"/>
  <c r="L107" i="30"/>
  <c r="B107" i="30"/>
  <c r="X106" i="30"/>
  <c r="T106" i="30"/>
  <c r="Z106" i="30" s="1"/>
  <c r="P106" i="30"/>
  <c r="L106" i="30"/>
  <c r="H106" i="30"/>
  <c r="N106" i="30" s="1"/>
  <c r="D106" i="30"/>
  <c r="B106" i="30"/>
  <c r="X105" i="30"/>
  <c r="Z105" i="30" s="1"/>
  <c r="N105" i="30"/>
  <c r="L105" i="30"/>
  <c r="B105" i="30"/>
  <c r="Z104" i="30"/>
  <c r="T104" i="30"/>
  <c r="P104" i="30"/>
  <c r="X104" i="30" s="1"/>
  <c r="H104" i="30"/>
  <c r="D104" i="30"/>
  <c r="B104" i="30"/>
  <c r="Z103" i="30"/>
  <c r="X103" i="30"/>
  <c r="V103" i="30"/>
  <c r="L103" i="30"/>
  <c r="N103" i="30" s="1"/>
  <c r="B103" i="30"/>
  <c r="T102" i="30"/>
  <c r="P102" i="30"/>
  <c r="X102" i="30" s="1"/>
  <c r="H102" i="30"/>
  <c r="D102" i="30"/>
  <c r="L102" i="30" s="1"/>
  <c r="N102" i="30" s="1"/>
  <c r="B102" i="30"/>
  <c r="X101" i="30"/>
  <c r="Z101" i="30" s="1"/>
  <c r="N101" i="30"/>
  <c r="L101" i="30"/>
  <c r="B101" i="30"/>
  <c r="X100" i="30"/>
  <c r="T100" i="30"/>
  <c r="Z100" i="30" s="1"/>
  <c r="P100" i="30"/>
  <c r="L100" i="30"/>
  <c r="J100" i="30"/>
  <c r="H100" i="30"/>
  <c r="N100" i="30" s="1"/>
  <c r="D100" i="30"/>
  <c r="B100" i="30"/>
  <c r="Z99" i="30"/>
  <c r="X99" i="30"/>
  <c r="N99" i="30"/>
  <c r="L99" i="30"/>
  <c r="J99" i="30"/>
  <c r="B99" i="30"/>
  <c r="Z98" i="30"/>
  <c r="X98" i="30"/>
  <c r="N98" i="30"/>
  <c r="L98" i="30"/>
  <c r="J98" i="30"/>
  <c r="B98" i="30"/>
  <c r="X97" i="30"/>
  <c r="Z97" i="30" s="1"/>
  <c r="N97" i="30"/>
  <c r="L97" i="30"/>
  <c r="B97" i="30"/>
  <c r="Z96" i="30"/>
  <c r="X96" i="30"/>
  <c r="N96" i="30"/>
  <c r="L96" i="30"/>
  <c r="B96" i="30"/>
  <c r="Z95" i="30"/>
  <c r="X95" i="30"/>
  <c r="N95" i="30"/>
  <c r="L95" i="30"/>
  <c r="J95" i="30"/>
  <c r="B95" i="30"/>
  <c r="Z94" i="30"/>
  <c r="X94" i="30"/>
  <c r="N94" i="30"/>
  <c r="L94" i="30"/>
  <c r="B94" i="30"/>
  <c r="Z93" i="30"/>
  <c r="X93" i="30"/>
  <c r="N93" i="30"/>
  <c r="L93" i="30"/>
  <c r="B93" i="30"/>
  <c r="Z92" i="30"/>
  <c r="X92" i="30"/>
  <c r="N92" i="30"/>
  <c r="L92" i="30"/>
  <c r="B92" i="30"/>
  <c r="Z91" i="30"/>
  <c r="X91" i="30"/>
  <c r="L91" i="30"/>
  <c r="N91" i="30" s="1"/>
  <c r="J91" i="30"/>
  <c r="B91" i="30"/>
  <c r="Z90" i="30"/>
  <c r="X90" i="30"/>
  <c r="N90" i="30"/>
  <c r="L90" i="30"/>
  <c r="B90" i="30"/>
  <c r="Z89" i="30"/>
  <c r="X89" i="30"/>
  <c r="T89" i="30"/>
  <c r="P89" i="30"/>
  <c r="H89" i="30"/>
  <c r="D89" i="30"/>
  <c r="L89" i="30" s="1"/>
  <c r="B89" i="30"/>
  <c r="Z88" i="30"/>
  <c r="X88" i="30"/>
  <c r="L88" i="30"/>
  <c r="N88" i="30" s="1"/>
  <c r="B88" i="30"/>
  <c r="X87" i="30"/>
  <c r="Z87" i="30" s="1"/>
  <c r="V87" i="30"/>
  <c r="L87" i="30"/>
  <c r="N87" i="30" s="1"/>
  <c r="B87" i="30"/>
  <c r="X86" i="30"/>
  <c r="Z86" i="30" s="1"/>
  <c r="L86" i="30"/>
  <c r="N86" i="30" s="1"/>
  <c r="J86" i="30"/>
  <c r="B86" i="30"/>
  <c r="Z85" i="30"/>
  <c r="X85" i="30"/>
  <c r="N85" i="30"/>
  <c r="L85" i="30"/>
  <c r="B85" i="30"/>
  <c r="Z84" i="30"/>
  <c r="X84" i="30"/>
  <c r="L84" i="30"/>
  <c r="N84" i="30" s="1"/>
  <c r="B84" i="30"/>
  <c r="Z83" i="30"/>
  <c r="X83" i="30"/>
  <c r="L83" i="30"/>
  <c r="N83" i="30" s="1"/>
  <c r="B83" i="30"/>
  <c r="X82" i="30"/>
  <c r="Z82" i="30" s="1"/>
  <c r="L82" i="30"/>
  <c r="N82" i="30" s="1"/>
  <c r="J82" i="30"/>
  <c r="B82" i="30"/>
  <c r="Z81" i="30"/>
  <c r="X81" i="30"/>
  <c r="L81" i="30"/>
  <c r="N81" i="30" s="1"/>
  <c r="B81" i="30"/>
  <c r="Z80" i="30"/>
  <c r="X80" i="30"/>
  <c r="L80" i="30"/>
  <c r="N80" i="30" s="1"/>
  <c r="B80" i="30"/>
  <c r="T79" i="30"/>
  <c r="P79" i="30"/>
  <c r="X79" i="30" s="1"/>
  <c r="H79" i="30"/>
  <c r="D79" i="30"/>
  <c r="L79" i="30" s="1"/>
  <c r="N79" i="30" s="1"/>
  <c r="B79" i="30"/>
  <c r="T78" i="30"/>
  <c r="P78" i="30"/>
  <c r="X78" i="30" s="1"/>
  <c r="H78" i="30"/>
  <c r="D78" i="30"/>
  <c r="L78" i="30" s="1"/>
  <c r="Z74" i="30"/>
  <c r="X74" i="30"/>
  <c r="N74" i="30"/>
  <c r="L74" i="30"/>
  <c r="B74" i="30"/>
  <c r="Z73" i="30"/>
  <c r="X73" i="30"/>
  <c r="N73" i="30"/>
  <c r="L73" i="30"/>
  <c r="B73" i="30"/>
  <c r="Z72" i="30"/>
  <c r="X72" i="30"/>
  <c r="N72" i="30"/>
  <c r="L72" i="30"/>
  <c r="B72" i="30"/>
  <c r="Z71" i="30"/>
  <c r="X71" i="30"/>
  <c r="N71" i="30"/>
  <c r="L71" i="30"/>
  <c r="B71" i="30"/>
  <c r="Z70" i="30"/>
  <c r="X70" i="30"/>
  <c r="N70" i="30"/>
  <c r="L70" i="30"/>
  <c r="B70" i="30"/>
  <c r="Z69" i="30"/>
  <c r="X69" i="30"/>
  <c r="N69" i="30"/>
  <c r="L69" i="30"/>
  <c r="B69" i="30"/>
  <c r="Z68" i="30"/>
  <c r="X68" i="30"/>
  <c r="N68" i="30"/>
  <c r="L68" i="30"/>
  <c r="B68" i="30"/>
  <c r="Z67" i="30"/>
  <c r="X67" i="30"/>
  <c r="N67" i="30"/>
  <c r="L67" i="30"/>
  <c r="B67" i="30"/>
  <c r="Z66" i="30"/>
  <c r="X66" i="30"/>
  <c r="N66" i="30"/>
  <c r="L66" i="30"/>
  <c r="B66" i="30"/>
  <c r="Z65" i="30"/>
  <c r="X65" i="30"/>
  <c r="N65" i="30"/>
  <c r="L65" i="30"/>
  <c r="B65" i="30"/>
  <c r="Z64" i="30"/>
  <c r="X64" i="30"/>
  <c r="N64" i="30"/>
  <c r="L64" i="30"/>
  <c r="B64" i="30"/>
  <c r="Z63" i="30"/>
  <c r="X63" i="30"/>
  <c r="N63" i="30"/>
  <c r="L63" i="30"/>
  <c r="B63" i="30"/>
  <c r="Z62" i="30"/>
  <c r="X62" i="30"/>
  <c r="N62" i="30"/>
  <c r="L62" i="30"/>
  <c r="B62" i="30"/>
  <c r="Z61" i="30"/>
  <c r="X61" i="30"/>
  <c r="N61" i="30"/>
  <c r="L61" i="30"/>
  <c r="B61" i="30"/>
  <c r="Z60" i="30"/>
  <c r="X60" i="30"/>
  <c r="N60" i="30"/>
  <c r="L60" i="30"/>
  <c r="B60" i="30"/>
  <c r="Z59" i="30"/>
  <c r="X59" i="30"/>
  <c r="N59" i="30"/>
  <c r="L59" i="30"/>
  <c r="B59" i="30"/>
  <c r="Z58" i="30"/>
  <c r="X58" i="30"/>
  <c r="N58" i="30"/>
  <c r="L58" i="30"/>
  <c r="B58" i="30"/>
  <c r="Z57" i="30"/>
  <c r="X57" i="30"/>
  <c r="N57" i="30"/>
  <c r="L57" i="30"/>
  <c r="B57" i="30"/>
  <c r="Z56" i="30"/>
  <c r="X56" i="30"/>
  <c r="N56" i="30"/>
  <c r="L56" i="30"/>
  <c r="B56" i="30"/>
  <c r="Z55" i="30"/>
  <c r="X55" i="30"/>
  <c r="N55" i="30"/>
  <c r="L55" i="30"/>
  <c r="B55" i="30"/>
  <c r="Z54" i="30"/>
  <c r="X54" i="30"/>
  <c r="N54" i="30"/>
  <c r="L54" i="30"/>
  <c r="B54" i="30"/>
  <c r="X53" i="30"/>
  <c r="Z53" i="30" s="1"/>
  <c r="L53" i="30"/>
  <c r="N53" i="30" s="1"/>
  <c r="B53" i="30"/>
  <c r="X52" i="30"/>
  <c r="T52" i="30"/>
  <c r="Z52" i="30" s="1"/>
  <c r="P52" i="30"/>
  <c r="L52" i="30"/>
  <c r="H52" i="30"/>
  <c r="N52" i="30" s="1"/>
  <c r="D52" i="30"/>
  <c r="Z50" i="30"/>
  <c r="X50" i="30"/>
  <c r="P50" i="30"/>
  <c r="N50" i="30"/>
  <c r="L50" i="30"/>
  <c r="D50" i="30"/>
  <c r="B50" i="30"/>
  <c r="Z49" i="30"/>
  <c r="X49" i="30"/>
  <c r="P49" i="30"/>
  <c r="N49" i="30"/>
  <c r="L49" i="30"/>
  <c r="D49" i="30"/>
  <c r="B49" i="30"/>
  <c r="Z48" i="30"/>
  <c r="P48" i="30"/>
  <c r="X48" i="30" s="1"/>
  <c r="N48" i="30"/>
  <c r="D48" i="30"/>
  <c r="L48" i="30" s="1"/>
  <c r="B48" i="30"/>
  <c r="Z47" i="30"/>
  <c r="P47" i="30"/>
  <c r="X47" i="30" s="1"/>
  <c r="N47" i="30"/>
  <c r="L47" i="30"/>
  <c r="D47" i="30"/>
  <c r="B47" i="30"/>
  <c r="Z46" i="30"/>
  <c r="X46" i="30"/>
  <c r="P46" i="30"/>
  <c r="N46" i="30"/>
  <c r="L46" i="30"/>
  <c r="D46" i="30"/>
  <c r="B46" i="30"/>
  <c r="Z45" i="30"/>
  <c r="P45" i="30"/>
  <c r="X45" i="30" s="1"/>
  <c r="N45" i="30"/>
  <c r="D45" i="30"/>
  <c r="L45" i="30" s="1"/>
  <c r="B45" i="30"/>
  <c r="Z44" i="30"/>
  <c r="X44" i="30"/>
  <c r="P44" i="30"/>
  <c r="N44" i="30"/>
  <c r="D44" i="30"/>
  <c r="L44" i="30" s="1"/>
  <c r="B44" i="30"/>
  <c r="Z43" i="30"/>
  <c r="X43" i="30"/>
  <c r="P43" i="30"/>
  <c r="N43" i="30"/>
  <c r="L43" i="30"/>
  <c r="D43" i="30"/>
  <c r="B43" i="30"/>
  <c r="Z42" i="30"/>
  <c r="X42" i="30"/>
  <c r="P42" i="30"/>
  <c r="N42" i="30"/>
  <c r="D42" i="30"/>
  <c r="L42" i="30" s="1"/>
  <c r="B42" i="30"/>
  <c r="Z41" i="30"/>
  <c r="X41" i="30"/>
  <c r="P41" i="30"/>
  <c r="N41" i="30"/>
  <c r="D41" i="30"/>
  <c r="L41" i="30" s="1"/>
  <c r="B41" i="30"/>
  <c r="Z40" i="30"/>
  <c r="X40" i="30"/>
  <c r="P40" i="30"/>
  <c r="N40" i="30"/>
  <c r="L40" i="30"/>
  <c r="D40" i="30"/>
  <c r="B40" i="30"/>
  <c r="Z39" i="30"/>
  <c r="P39" i="30"/>
  <c r="X39" i="30" s="1"/>
  <c r="N39" i="30"/>
  <c r="L39" i="30"/>
  <c r="D39" i="30"/>
  <c r="B39" i="30"/>
  <c r="Z38" i="30"/>
  <c r="X38" i="30"/>
  <c r="P38" i="30"/>
  <c r="N38" i="30"/>
  <c r="L38" i="30"/>
  <c r="D38" i="30"/>
  <c r="B38" i="30"/>
  <c r="Z37" i="30"/>
  <c r="X37" i="30"/>
  <c r="P37" i="30"/>
  <c r="N37" i="30"/>
  <c r="L37" i="30"/>
  <c r="D37" i="30"/>
  <c r="B37" i="30"/>
  <c r="Z36" i="30"/>
  <c r="P36" i="30"/>
  <c r="X36" i="30" s="1"/>
  <c r="N36" i="30"/>
  <c r="D36" i="30"/>
  <c r="L36" i="30" s="1"/>
  <c r="B36" i="30"/>
  <c r="Z35" i="30"/>
  <c r="P35" i="30"/>
  <c r="X35" i="30" s="1"/>
  <c r="N35" i="30"/>
  <c r="L35" i="30"/>
  <c r="D35" i="30"/>
  <c r="B35" i="30"/>
  <c r="Z34" i="30"/>
  <c r="X34" i="30"/>
  <c r="P34" i="30"/>
  <c r="N34" i="30"/>
  <c r="L34" i="30"/>
  <c r="D34" i="30"/>
  <c r="B34" i="30"/>
  <c r="Z33" i="30"/>
  <c r="P33" i="30"/>
  <c r="X33" i="30" s="1"/>
  <c r="N33" i="30"/>
  <c r="D33" i="30"/>
  <c r="L33" i="30" s="1"/>
  <c r="B33" i="30"/>
  <c r="Z32" i="30"/>
  <c r="P32" i="30"/>
  <c r="X32" i="30" s="1"/>
  <c r="N32" i="30"/>
  <c r="D32" i="30"/>
  <c r="L32" i="30" s="1"/>
  <c r="B32" i="30"/>
  <c r="Z31" i="30"/>
  <c r="X31" i="30"/>
  <c r="P31" i="30"/>
  <c r="N31" i="30"/>
  <c r="L31" i="30"/>
  <c r="D31" i="30"/>
  <c r="B31" i="30"/>
  <c r="Z30" i="30"/>
  <c r="X30" i="30"/>
  <c r="P30" i="30"/>
  <c r="N30" i="30"/>
  <c r="D30" i="30"/>
  <c r="L30" i="30" s="1"/>
  <c r="B30" i="30"/>
  <c r="Z29" i="30"/>
  <c r="X29" i="30"/>
  <c r="P29" i="30"/>
  <c r="N29" i="30"/>
  <c r="D29" i="30"/>
  <c r="L29" i="30" s="1"/>
  <c r="B29" i="30"/>
  <c r="Z28" i="30"/>
  <c r="X28" i="30"/>
  <c r="P28" i="30"/>
  <c r="N28" i="30"/>
  <c r="L28" i="30"/>
  <c r="D28" i="30"/>
  <c r="B28" i="30"/>
  <c r="Z27" i="30"/>
  <c r="P27" i="30"/>
  <c r="X27" i="30" s="1"/>
  <c r="N27" i="30"/>
  <c r="L27" i="30"/>
  <c r="D27" i="30"/>
  <c r="B27" i="30"/>
  <c r="Z26" i="30"/>
  <c r="X26" i="30"/>
  <c r="P26" i="30"/>
  <c r="N26" i="30"/>
  <c r="L26" i="30"/>
  <c r="D26" i="30"/>
  <c r="B26" i="30"/>
  <c r="Z25" i="30"/>
  <c r="X25" i="30"/>
  <c r="P25" i="30"/>
  <c r="N25" i="30"/>
  <c r="L25" i="30"/>
  <c r="D25" i="30"/>
  <c r="B25" i="30"/>
  <c r="Z24" i="30"/>
  <c r="P24" i="30"/>
  <c r="X24" i="30" s="1"/>
  <c r="N24" i="30"/>
  <c r="D24" i="30"/>
  <c r="L24" i="30" s="1"/>
  <c r="B24" i="30"/>
  <c r="Z23" i="30"/>
  <c r="P23" i="30"/>
  <c r="X23" i="30" s="1"/>
  <c r="N23" i="30"/>
  <c r="L23" i="30"/>
  <c r="D23" i="30"/>
  <c r="B23" i="30"/>
  <c r="Z22" i="30"/>
  <c r="X22" i="30"/>
  <c r="P22" i="30"/>
  <c r="N22" i="30"/>
  <c r="L22" i="30"/>
  <c r="D22" i="30"/>
  <c r="B22" i="30"/>
  <c r="Z21" i="30"/>
  <c r="P21" i="30"/>
  <c r="X21" i="30" s="1"/>
  <c r="N21" i="30"/>
  <c r="D21" i="30"/>
  <c r="L21" i="30" s="1"/>
  <c r="B21" i="30"/>
  <c r="Z20" i="30"/>
  <c r="X20" i="30"/>
  <c r="P20" i="30"/>
  <c r="N20" i="30"/>
  <c r="D20" i="30"/>
  <c r="L20" i="30" s="1"/>
  <c r="B20" i="30"/>
  <c r="Z19" i="30"/>
  <c r="X19" i="30"/>
  <c r="P19" i="30"/>
  <c r="N19" i="30"/>
  <c r="L19" i="30"/>
  <c r="D19" i="30"/>
  <c r="B19" i="30"/>
  <c r="Z18" i="30"/>
  <c r="X18" i="30"/>
  <c r="P18" i="30"/>
  <c r="N18" i="30"/>
  <c r="D18" i="30"/>
  <c r="L18" i="30" s="1"/>
  <c r="B18" i="30"/>
  <c r="Z17" i="30"/>
  <c r="X17" i="30"/>
  <c r="P17" i="30"/>
  <c r="N17" i="30"/>
  <c r="L17" i="30"/>
  <c r="D17" i="30"/>
  <c r="B17" i="30"/>
  <c r="Z16" i="30"/>
  <c r="X16" i="30"/>
  <c r="P16" i="30"/>
  <c r="N16" i="30"/>
  <c r="L16" i="30"/>
  <c r="D16" i="30"/>
  <c r="B16" i="30"/>
  <c r="Z15" i="30"/>
  <c r="P15" i="30"/>
  <c r="N15" i="30"/>
  <c r="L15" i="30"/>
  <c r="D15" i="30"/>
  <c r="B15" i="30"/>
  <c r="Z14" i="30"/>
  <c r="X14" i="30"/>
  <c r="P14" i="30"/>
  <c r="N14" i="30"/>
  <c r="L14" i="30"/>
  <c r="D14" i="30"/>
  <c r="B14" i="30"/>
  <c r="X13" i="30"/>
  <c r="Z13" i="30" s="1"/>
  <c r="P13" i="30"/>
  <c r="L13" i="30"/>
  <c r="N13" i="30" s="1"/>
  <c r="D13" i="30"/>
  <c r="B13" i="30"/>
  <c r="T12" i="30"/>
  <c r="V146" i="30" s="1"/>
  <c r="H12" i="30"/>
  <c r="D4" i="30"/>
  <c r="Z117" i="27"/>
  <c r="X117" i="27"/>
  <c r="N117" i="27"/>
  <c r="L117" i="27"/>
  <c r="Z113" i="27"/>
  <c r="P113" i="27"/>
  <c r="X113" i="27" s="1"/>
  <c r="N113" i="27"/>
  <c r="D113" i="27"/>
  <c r="L113" i="27" s="1"/>
  <c r="B113" i="27"/>
  <c r="Z112" i="27"/>
  <c r="X112" i="27"/>
  <c r="P112" i="27"/>
  <c r="N112" i="27"/>
  <c r="D112" i="27"/>
  <c r="L112" i="27" s="1"/>
  <c r="B112" i="27"/>
  <c r="X111" i="27"/>
  <c r="Z111" i="27" s="1"/>
  <c r="P111" i="27"/>
  <c r="D111" i="27"/>
  <c r="B111" i="27"/>
  <c r="T110" i="27"/>
  <c r="H110" i="27"/>
  <c r="Z108" i="27"/>
  <c r="X108" i="27"/>
  <c r="V108" i="27"/>
  <c r="N108" i="27"/>
  <c r="L108" i="27"/>
  <c r="B108" i="27"/>
  <c r="T107" i="27"/>
  <c r="Z107" i="27" s="1"/>
  <c r="P107" i="27"/>
  <c r="X107" i="27" s="1"/>
  <c r="N107" i="27"/>
  <c r="L107" i="27"/>
  <c r="J107" i="27"/>
  <c r="H107" i="27"/>
  <c r="D107" i="27"/>
  <c r="B107" i="27"/>
  <c r="X106" i="27"/>
  <c r="Z106" i="27" s="1"/>
  <c r="N106" i="27"/>
  <c r="L106" i="27"/>
  <c r="B106" i="27"/>
  <c r="Z105" i="27"/>
  <c r="X105" i="27"/>
  <c r="N105" i="27"/>
  <c r="L105" i="27"/>
  <c r="B105" i="27"/>
  <c r="T104" i="27"/>
  <c r="P104" i="27"/>
  <c r="L104" i="27"/>
  <c r="H104" i="27"/>
  <c r="D104" i="27"/>
  <c r="B104" i="27"/>
  <c r="Z103" i="27"/>
  <c r="X103" i="27"/>
  <c r="L103" i="27"/>
  <c r="N103" i="27" s="1"/>
  <c r="J103" i="27"/>
  <c r="B103" i="27"/>
  <c r="Z102" i="27"/>
  <c r="X102" i="27"/>
  <c r="L102" i="27"/>
  <c r="N102" i="27" s="1"/>
  <c r="B102" i="27"/>
  <c r="Z101" i="27"/>
  <c r="X101" i="27"/>
  <c r="L101" i="27"/>
  <c r="N101" i="27" s="1"/>
  <c r="J101" i="27"/>
  <c r="B101" i="27"/>
  <c r="T100" i="27"/>
  <c r="P100" i="27"/>
  <c r="H100" i="27"/>
  <c r="D100" i="27"/>
  <c r="L100" i="27" s="1"/>
  <c r="B100" i="27"/>
  <c r="Z99" i="27"/>
  <c r="X99" i="27"/>
  <c r="N99" i="27"/>
  <c r="L99" i="27"/>
  <c r="B99" i="27"/>
  <c r="X98" i="27"/>
  <c r="Z98" i="27" s="1"/>
  <c r="N98" i="27"/>
  <c r="L98" i="27"/>
  <c r="B98" i="27"/>
  <c r="X97" i="27"/>
  <c r="Z97" i="27" s="1"/>
  <c r="T97" i="27"/>
  <c r="P97" i="27"/>
  <c r="L97" i="27"/>
  <c r="H97" i="27"/>
  <c r="N97" i="27" s="1"/>
  <c r="D97" i="27"/>
  <c r="B97" i="27"/>
  <c r="X96" i="27"/>
  <c r="Z96" i="27" s="1"/>
  <c r="L96" i="27"/>
  <c r="N96" i="27" s="1"/>
  <c r="B96" i="27"/>
  <c r="X95" i="27"/>
  <c r="Z95" i="27" s="1"/>
  <c r="N95" i="27"/>
  <c r="L95" i="27"/>
  <c r="B95" i="27"/>
  <c r="Z94" i="27"/>
  <c r="T94" i="27"/>
  <c r="X94" i="27" s="1"/>
  <c r="P94" i="27"/>
  <c r="L94" i="27"/>
  <c r="H94" i="27"/>
  <c r="D94" i="27"/>
  <c r="B94" i="27"/>
  <c r="Z93" i="27"/>
  <c r="X93" i="27"/>
  <c r="N93" i="27"/>
  <c r="L93" i="27"/>
  <c r="B93" i="27"/>
  <c r="T92" i="27"/>
  <c r="P92" i="27"/>
  <c r="X92" i="27" s="1"/>
  <c r="H92" i="27"/>
  <c r="D92" i="27"/>
  <c r="B92" i="27"/>
  <c r="Z91" i="27"/>
  <c r="X91" i="27"/>
  <c r="N91" i="27"/>
  <c r="L91" i="27"/>
  <c r="B91" i="27"/>
  <c r="X90" i="27"/>
  <c r="Z90" i="27" s="1"/>
  <c r="N90" i="27"/>
  <c r="L90" i="27"/>
  <c r="B90" i="27"/>
  <c r="Z89" i="27"/>
  <c r="X89" i="27"/>
  <c r="T89" i="27"/>
  <c r="P89" i="27"/>
  <c r="N89" i="27"/>
  <c r="L89" i="27"/>
  <c r="H89" i="27"/>
  <c r="D89" i="27"/>
  <c r="B89" i="27"/>
  <c r="Z88" i="27"/>
  <c r="X88" i="27"/>
  <c r="N88" i="27"/>
  <c r="L88" i="27"/>
  <c r="J88" i="27"/>
  <c r="B88" i="27"/>
  <c r="X87" i="27"/>
  <c r="Z87" i="27" s="1"/>
  <c r="N87" i="27"/>
  <c r="L87" i="27"/>
  <c r="J87" i="27"/>
  <c r="B87" i="27"/>
  <c r="X86" i="27"/>
  <c r="Z86" i="27" s="1"/>
  <c r="T86" i="27"/>
  <c r="P86" i="27"/>
  <c r="H86" i="27"/>
  <c r="D86" i="27"/>
  <c r="B86" i="27"/>
  <c r="Z85" i="27"/>
  <c r="X85" i="27"/>
  <c r="N85" i="27"/>
  <c r="L85" i="27"/>
  <c r="J85" i="27"/>
  <c r="B85" i="27"/>
  <c r="T84" i="27"/>
  <c r="P84" i="27"/>
  <c r="X84" i="27" s="1"/>
  <c r="H84" i="27"/>
  <c r="D84" i="27"/>
  <c r="L84" i="27" s="1"/>
  <c r="B84" i="27"/>
  <c r="X83" i="27"/>
  <c r="Z83" i="27" s="1"/>
  <c r="L83" i="27"/>
  <c r="N83" i="27" s="1"/>
  <c r="B83" i="27"/>
  <c r="X82" i="27"/>
  <c r="T82" i="27"/>
  <c r="Z82" i="27" s="1"/>
  <c r="P82" i="27"/>
  <c r="L82" i="27"/>
  <c r="J82" i="27"/>
  <c r="H82" i="27"/>
  <c r="D82" i="27"/>
  <c r="B82" i="27"/>
  <c r="Z81" i="27"/>
  <c r="X81" i="27"/>
  <c r="N81" i="27"/>
  <c r="L81" i="27"/>
  <c r="J81" i="27"/>
  <c r="B81" i="27"/>
  <c r="X80" i="27"/>
  <c r="Z80" i="27" s="1"/>
  <c r="L80" i="27"/>
  <c r="N80" i="27" s="1"/>
  <c r="B80" i="27"/>
  <c r="X79" i="27"/>
  <c r="Z79" i="27" s="1"/>
  <c r="T79" i="27"/>
  <c r="P79" i="27"/>
  <c r="H79" i="27"/>
  <c r="D79" i="27"/>
  <c r="B79" i="27"/>
  <c r="Z78" i="27"/>
  <c r="X78" i="27"/>
  <c r="L78" i="27"/>
  <c r="N78" i="27" s="1"/>
  <c r="B78" i="27"/>
  <c r="Z77" i="27"/>
  <c r="T77" i="27"/>
  <c r="P77" i="27"/>
  <c r="X77" i="27" s="1"/>
  <c r="N77" i="27"/>
  <c r="H77" i="27"/>
  <c r="D77" i="27"/>
  <c r="L77" i="27" s="1"/>
  <c r="B77" i="27"/>
  <c r="Z76" i="27"/>
  <c r="X76" i="27"/>
  <c r="V76" i="27"/>
  <c r="N76" i="27"/>
  <c r="L76" i="27"/>
  <c r="B76" i="27"/>
  <c r="Z75" i="27"/>
  <c r="X75" i="27"/>
  <c r="N75" i="27"/>
  <c r="L75" i="27"/>
  <c r="B75" i="27"/>
  <c r="X74" i="27"/>
  <c r="Z74" i="27" s="1"/>
  <c r="L74" i="27"/>
  <c r="N74" i="27" s="1"/>
  <c r="B74" i="27"/>
  <c r="Z73" i="27"/>
  <c r="X73" i="27"/>
  <c r="N73" i="27"/>
  <c r="L73" i="27"/>
  <c r="B73" i="27"/>
  <c r="Z72" i="27"/>
  <c r="X72" i="27"/>
  <c r="V72" i="27"/>
  <c r="N72" i="27"/>
  <c r="L72" i="27"/>
  <c r="B72" i="27"/>
  <c r="X71" i="27"/>
  <c r="Z71" i="27" s="1"/>
  <c r="L71" i="27"/>
  <c r="N71" i="27" s="1"/>
  <c r="B71" i="27"/>
  <c r="X70" i="27"/>
  <c r="Z70" i="27" s="1"/>
  <c r="N70" i="27"/>
  <c r="L70" i="27"/>
  <c r="B70" i="27"/>
  <c r="Z69" i="27"/>
  <c r="X69" i="27"/>
  <c r="N69" i="27"/>
  <c r="L69" i="27"/>
  <c r="B69" i="27"/>
  <c r="X68" i="27"/>
  <c r="Z68" i="27" s="1"/>
  <c r="V68" i="27"/>
  <c r="L68" i="27"/>
  <c r="N68" i="27" s="1"/>
  <c r="B68" i="27"/>
  <c r="Z67" i="27"/>
  <c r="X67" i="27"/>
  <c r="N67" i="27"/>
  <c r="L67" i="27"/>
  <c r="B67" i="27"/>
  <c r="T66" i="27"/>
  <c r="P66" i="27"/>
  <c r="X66" i="27" s="1"/>
  <c r="Z66" i="27" s="1"/>
  <c r="H66" i="27"/>
  <c r="D66" i="27"/>
  <c r="B66" i="27"/>
  <c r="Z65" i="27"/>
  <c r="X65" i="27"/>
  <c r="N65" i="27"/>
  <c r="L65" i="27"/>
  <c r="B65" i="27"/>
  <c r="Z64" i="27"/>
  <c r="X64" i="27"/>
  <c r="N64" i="27"/>
  <c r="L64" i="27"/>
  <c r="J64" i="27"/>
  <c r="B64" i="27"/>
  <c r="X63" i="27"/>
  <c r="Z63" i="27" s="1"/>
  <c r="L63" i="27"/>
  <c r="N63" i="27" s="1"/>
  <c r="J63" i="27"/>
  <c r="B63" i="27"/>
  <c r="Z62" i="27"/>
  <c r="X62" i="27"/>
  <c r="N62" i="27"/>
  <c r="L62" i="27"/>
  <c r="J62" i="27"/>
  <c r="B62" i="27"/>
  <c r="Z61" i="27"/>
  <c r="X61" i="27"/>
  <c r="N61" i="27"/>
  <c r="L61" i="27"/>
  <c r="B61" i="27"/>
  <c r="Z60" i="27"/>
  <c r="X60" i="27"/>
  <c r="N60" i="27"/>
  <c r="L60" i="27"/>
  <c r="J60" i="27"/>
  <c r="B60" i="27"/>
  <c r="X59" i="27"/>
  <c r="Z59" i="27" s="1"/>
  <c r="L59" i="27"/>
  <c r="N59" i="27" s="1"/>
  <c r="J59" i="27"/>
  <c r="B59" i="27"/>
  <c r="X58" i="27"/>
  <c r="Z58" i="27" s="1"/>
  <c r="N58" i="27"/>
  <c r="L58" i="27"/>
  <c r="J58" i="27"/>
  <c r="B58" i="27"/>
  <c r="Z57" i="27"/>
  <c r="X57" i="27"/>
  <c r="N57" i="27"/>
  <c r="L57" i="27"/>
  <c r="B57" i="27"/>
  <c r="Z56" i="27"/>
  <c r="X56" i="27"/>
  <c r="N56" i="27"/>
  <c r="L56" i="27"/>
  <c r="J56" i="27"/>
  <c r="B56" i="27"/>
  <c r="T55" i="27"/>
  <c r="P55" i="27"/>
  <c r="L55" i="27"/>
  <c r="N55" i="27" s="1"/>
  <c r="H55" i="27"/>
  <c r="D55" i="27"/>
  <c r="B55" i="27"/>
  <c r="T54" i="27"/>
  <c r="V54" i="27" s="1"/>
  <c r="P54" i="27"/>
  <c r="H54" i="27"/>
  <c r="J54" i="27" s="1"/>
  <c r="D54" i="27"/>
  <c r="H52" i="27"/>
  <c r="Z50" i="27"/>
  <c r="X50" i="27"/>
  <c r="V50" i="27"/>
  <c r="N50" i="27"/>
  <c r="L50" i="27"/>
  <c r="J50" i="27"/>
  <c r="B50" i="27"/>
  <c r="Z49" i="27"/>
  <c r="X49" i="27"/>
  <c r="N49" i="27"/>
  <c r="L49" i="27"/>
  <c r="B49" i="27"/>
  <c r="Z48" i="27"/>
  <c r="X48" i="27"/>
  <c r="N48" i="27"/>
  <c r="L48" i="27"/>
  <c r="B48" i="27"/>
  <c r="Z47" i="27"/>
  <c r="X47" i="27"/>
  <c r="V47" i="27"/>
  <c r="N47" i="27"/>
  <c r="L47" i="27"/>
  <c r="J47" i="27"/>
  <c r="B47" i="27"/>
  <c r="Z46" i="27"/>
  <c r="X46" i="27"/>
  <c r="V46" i="27"/>
  <c r="N46" i="27"/>
  <c r="L46" i="27"/>
  <c r="J46" i="27"/>
  <c r="B46" i="27"/>
  <c r="Z45" i="27"/>
  <c r="X45" i="27"/>
  <c r="N45" i="27"/>
  <c r="L45" i="27"/>
  <c r="B45" i="27"/>
  <c r="Z44" i="27"/>
  <c r="X44" i="27"/>
  <c r="N44" i="27"/>
  <c r="L44" i="27"/>
  <c r="B44" i="27"/>
  <c r="Z43" i="27"/>
  <c r="X43" i="27"/>
  <c r="V43" i="27"/>
  <c r="N43" i="27"/>
  <c r="L43" i="27"/>
  <c r="J43" i="27"/>
  <c r="B43" i="27"/>
  <c r="Z42" i="27"/>
  <c r="X42" i="27"/>
  <c r="V42" i="27"/>
  <c r="N42" i="27"/>
  <c r="L42" i="27"/>
  <c r="J42" i="27"/>
  <c r="B42" i="27"/>
  <c r="Z41" i="27"/>
  <c r="X41" i="27"/>
  <c r="N41" i="27"/>
  <c r="L41" i="27"/>
  <c r="B41" i="27"/>
  <c r="Z40" i="27"/>
  <c r="X40" i="27"/>
  <c r="N40" i="27"/>
  <c r="L40" i="27"/>
  <c r="B40" i="27"/>
  <c r="Z39" i="27"/>
  <c r="X39" i="27"/>
  <c r="V39" i="27"/>
  <c r="N39" i="27"/>
  <c r="L39" i="27"/>
  <c r="J39" i="27"/>
  <c r="B39" i="27"/>
  <c r="Z38" i="27"/>
  <c r="X38" i="27"/>
  <c r="V38" i="27"/>
  <c r="N38" i="27"/>
  <c r="L38" i="27"/>
  <c r="J38" i="27"/>
  <c r="B38" i="27"/>
  <c r="Z37" i="27"/>
  <c r="X37" i="27"/>
  <c r="N37" i="27"/>
  <c r="L37" i="27"/>
  <c r="B37" i="27"/>
  <c r="Z36" i="27"/>
  <c r="X36" i="27"/>
  <c r="L36" i="27"/>
  <c r="N36" i="27" s="1"/>
  <c r="B36" i="27"/>
  <c r="T35" i="27"/>
  <c r="P35" i="27"/>
  <c r="H35" i="27"/>
  <c r="D35" i="27"/>
  <c r="L35" i="27" s="1"/>
  <c r="N35" i="27" s="1"/>
  <c r="Z33" i="27"/>
  <c r="P33" i="27"/>
  <c r="X33" i="27" s="1"/>
  <c r="N33" i="27"/>
  <c r="D33" i="27"/>
  <c r="L33" i="27" s="1"/>
  <c r="B33" i="27"/>
  <c r="Z32" i="27"/>
  <c r="X32" i="27"/>
  <c r="P32" i="27"/>
  <c r="N32" i="27"/>
  <c r="L32" i="27"/>
  <c r="D32" i="27"/>
  <c r="B32" i="27"/>
  <c r="Z31" i="27"/>
  <c r="X31" i="27"/>
  <c r="P31" i="27"/>
  <c r="N31" i="27"/>
  <c r="L31" i="27"/>
  <c r="D31" i="27"/>
  <c r="B31" i="27"/>
  <c r="Z30" i="27"/>
  <c r="P30" i="27"/>
  <c r="X30" i="27" s="1"/>
  <c r="N30" i="27"/>
  <c r="D30" i="27"/>
  <c r="L30" i="27" s="1"/>
  <c r="B30" i="27"/>
  <c r="Z29" i="27"/>
  <c r="P29" i="27"/>
  <c r="X29" i="27" s="1"/>
  <c r="N29" i="27"/>
  <c r="L29" i="27"/>
  <c r="D29" i="27"/>
  <c r="B29" i="27"/>
  <c r="Z28" i="27"/>
  <c r="P28" i="27"/>
  <c r="X28" i="27" s="1"/>
  <c r="N28" i="27"/>
  <c r="L28" i="27"/>
  <c r="D28" i="27"/>
  <c r="B28" i="27"/>
  <c r="Z27" i="27"/>
  <c r="P27" i="27"/>
  <c r="X27" i="27" s="1"/>
  <c r="N27" i="27"/>
  <c r="D27" i="27"/>
  <c r="L27" i="27" s="1"/>
  <c r="B27" i="27"/>
  <c r="Z26" i="27"/>
  <c r="P26" i="27"/>
  <c r="X26" i="27" s="1"/>
  <c r="N26" i="27"/>
  <c r="D26" i="27"/>
  <c r="L26" i="27" s="1"/>
  <c r="B26" i="27"/>
  <c r="Z25" i="27"/>
  <c r="X25" i="27"/>
  <c r="P25" i="27"/>
  <c r="N25" i="27"/>
  <c r="D25" i="27"/>
  <c r="L25" i="27" s="1"/>
  <c r="B25" i="27"/>
  <c r="Z24" i="27"/>
  <c r="P24" i="27"/>
  <c r="X24" i="27" s="1"/>
  <c r="N24" i="27"/>
  <c r="D24" i="27"/>
  <c r="L24" i="27" s="1"/>
  <c r="B24" i="27"/>
  <c r="Z23" i="27"/>
  <c r="X23" i="27"/>
  <c r="P23" i="27"/>
  <c r="N23" i="27"/>
  <c r="L23" i="27"/>
  <c r="D23" i="27"/>
  <c r="B23" i="27"/>
  <c r="Z22" i="27"/>
  <c r="X22" i="27"/>
  <c r="P22" i="27"/>
  <c r="N22" i="27"/>
  <c r="L22" i="27"/>
  <c r="D22" i="27"/>
  <c r="B22" i="27"/>
  <c r="Z21" i="27"/>
  <c r="P21" i="27"/>
  <c r="X21" i="27" s="1"/>
  <c r="N21" i="27"/>
  <c r="D21" i="27"/>
  <c r="L21" i="27" s="1"/>
  <c r="B21" i="27"/>
  <c r="Z20" i="27"/>
  <c r="X20" i="27"/>
  <c r="P20" i="27"/>
  <c r="N20" i="27"/>
  <c r="L20" i="27"/>
  <c r="D20" i="27"/>
  <c r="B20" i="27"/>
  <c r="Z19" i="27"/>
  <c r="X19" i="27"/>
  <c r="P19" i="27"/>
  <c r="N19" i="27"/>
  <c r="L19" i="27"/>
  <c r="D19" i="27"/>
  <c r="B19" i="27"/>
  <c r="Z18" i="27"/>
  <c r="P18" i="27"/>
  <c r="X18" i="27" s="1"/>
  <c r="N18" i="27"/>
  <c r="D18" i="27"/>
  <c r="L18" i="27" s="1"/>
  <c r="B18" i="27"/>
  <c r="Z17" i="27"/>
  <c r="P17" i="27"/>
  <c r="X17" i="27" s="1"/>
  <c r="N17" i="27"/>
  <c r="L17" i="27"/>
  <c r="D17" i="27"/>
  <c r="B17" i="27"/>
  <c r="Z16" i="27"/>
  <c r="P16" i="27"/>
  <c r="X16" i="27" s="1"/>
  <c r="N16" i="27"/>
  <c r="L16" i="27"/>
  <c r="D16" i="27"/>
  <c r="B16" i="27"/>
  <c r="Z15" i="27"/>
  <c r="P15" i="27"/>
  <c r="X15" i="27" s="1"/>
  <c r="N15" i="27"/>
  <c r="D15" i="27"/>
  <c r="L15" i="27" s="1"/>
  <c r="B15" i="27"/>
  <c r="Z14" i="27"/>
  <c r="P14" i="27"/>
  <c r="N14" i="27"/>
  <c r="D14" i="27"/>
  <c r="L14" i="27" s="1"/>
  <c r="B14" i="27"/>
  <c r="Z13" i="27"/>
  <c r="X13" i="27"/>
  <c r="P13" i="27"/>
  <c r="N13" i="27"/>
  <c r="L13" i="27"/>
  <c r="D13" i="27"/>
  <c r="B13" i="27"/>
  <c r="T12" i="27"/>
  <c r="H12" i="27"/>
  <c r="J117" i="27" s="1"/>
  <c r="D4" i="27"/>
  <c r="X94" i="24"/>
  <c r="Z94" i="24" s="1"/>
  <c r="N94" i="24"/>
  <c r="L94" i="24"/>
  <c r="X90" i="24"/>
  <c r="T90" i="24"/>
  <c r="Z90" i="24" s="1"/>
  <c r="P90" i="24"/>
  <c r="L90" i="24"/>
  <c r="J90" i="24"/>
  <c r="H90" i="24"/>
  <c r="N90" i="24" s="1"/>
  <c r="D90" i="24"/>
  <c r="X88" i="24"/>
  <c r="Z88" i="24" s="1"/>
  <c r="L88" i="24"/>
  <c r="N88" i="24" s="1"/>
  <c r="B88" i="24"/>
  <c r="X87" i="24"/>
  <c r="Z87" i="24" s="1"/>
  <c r="T87" i="24"/>
  <c r="P87" i="24"/>
  <c r="L87" i="24"/>
  <c r="N87" i="24" s="1"/>
  <c r="J87" i="24"/>
  <c r="H87" i="24"/>
  <c r="D87" i="24"/>
  <c r="B87" i="24"/>
  <c r="Z86" i="24"/>
  <c r="X86" i="24"/>
  <c r="N86" i="24"/>
  <c r="L86" i="24"/>
  <c r="J86" i="24"/>
  <c r="B86" i="24"/>
  <c r="X85" i="24"/>
  <c r="Z85" i="24" s="1"/>
  <c r="N85" i="24"/>
  <c r="L85" i="24"/>
  <c r="J85" i="24"/>
  <c r="B85" i="24"/>
  <c r="T84" i="24"/>
  <c r="P84" i="24"/>
  <c r="H84" i="24"/>
  <c r="D84" i="24"/>
  <c r="B84" i="24"/>
  <c r="Z83" i="24"/>
  <c r="X83" i="24"/>
  <c r="V83" i="24"/>
  <c r="L83" i="24"/>
  <c r="N83" i="24" s="1"/>
  <c r="B83" i="24"/>
  <c r="X82" i="24"/>
  <c r="Z82" i="24" s="1"/>
  <c r="V82" i="24"/>
  <c r="L82" i="24"/>
  <c r="N82" i="24" s="1"/>
  <c r="J82" i="24"/>
  <c r="B82" i="24"/>
  <c r="Z81" i="24"/>
  <c r="X81" i="24"/>
  <c r="V81" i="24"/>
  <c r="N81" i="24"/>
  <c r="L81" i="24"/>
  <c r="J81" i="24"/>
  <c r="B81" i="24"/>
  <c r="Z80" i="24"/>
  <c r="X80" i="24"/>
  <c r="L80" i="24"/>
  <c r="N80" i="24" s="1"/>
  <c r="B80" i="24"/>
  <c r="T79" i="24"/>
  <c r="V79" i="24" s="1"/>
  <c r="P79" i="24"/>
  <c r="J79" i="24"/>
  <c r="H79" i="24"/>
  <c r="D79" i="24"/>
  <c r="L79" i="24" s="1"/>
  <c r="N79" i="24" s="1"/>
  <c r="B79" i="24"/>
  <c r="X78" i="24"/>
  <c r="Z78" i="24" s="1"/>
  <c r="V78" i="24"/>
  <c r="N78" i="24"/>
  <c r="L78" i="24"/>
  <c r="B78" i="24"/>
  <c r="Z77" i="24"/>
  <c r="X77" i="24"/>
  <c r="V77" i="24"/>
  <c r="N77" i="24"/>
  <c r="L77" i="24"/>
  <c r="B77" i="24"/>
  <c r="T76" i="24"/>
  <c r="P76" i="24"/>
  <c r="X76" i="24" s="1"/>
  <c r="L76" i="24"/>
  <c r="J76" i="24"/>
  <c r="H76" i="24"/>
  <c r="D76" i="24"/>
  <c r="B76" i="24"/>
  <c r="Z75" i="24"/>
  <c r="X75" i="24"/>
  <c r="N75" i="24"/>
  <c r="L75" i="24"/>
  <c r="J75" i="24"/>
  <c r="B75" i="24"/>
  <c r="Z74" i="24"/>
  <c r="X74" i="24"/>
  <c r="N74" i="24"/>
  <c r="L74" i="24"/>
  <c r="J74" i="24"/>
  <c r="B74" i="24"/>
  <c r="X73" i="24"/>
  <c r="Z73" i="24" s="1"/>
  <c r="T73" i="24"/>
  <c r="P73" i="24"/>
  <c r="H73" i="24"/>
  <c r="L73" i="24" s="1"/>
  <c r="D73" i="24"/>
  <c r="B73" i="24"/>
  <c r="Z72" i="24"/>
  <c r="X72" i="24"/>
  <c r="N72" i="24"/>
  <c r="L72" i="24"/>
  <c r="B72" i="24"/>
  <c r="Z71" i="24"/>
  <c r="V71" i="24"/>
  <c r="T71" i="24"/>
  <c r="P71" i="24"/>
  <c r="X71" i="24" s="1"/>
  <c r="N71" i="24"/>
  <c r="J71" i="24"/>
  <c r="H71" i="24"/>
  <c r="D71" i="24"/>
  <c r="L71" i="24" s="1"/>
  <c r="B71" i="24"/>
  <c r="X70" i="24"/>
  <c r="Z70" i="24" s="1"/>
  <c r="V70" i="24"/>
  <c r="N70" i="24"/>
  <c r="L70" i="24"/>
  <c r="B70" i="24"/>
  <c r="V69" i="24"/>
  <c r="T69" i="24"/>
  <c r="P69" i="24"/>
  <c r="X69" i="24" s="1"/>
  <c r="Z69" i="24" s="1"/>
  <c r="N69" i="24"/>
  <c r="L69" i="24"/>
  <c r="H69" i="24"/>
  <c r="D69" i="24"/>
  <c r="B69" i="24"/>
  <c r="X68" i="24"/>
  <c r="Z68" i="24" s="1"/>
  <c r="N68" i="24"/>
  <c r="L68" i="24"/>
  <c r="B68" i="24"/>
  <c r="Z67" i="24"/>
  <c r="T67" i="24"/>
  <c r="X67" i="24" s="1"/>
  <c r="P67" i="24"/>
  <c r="L67" i="24"/>
  <c r="N67" i="24" s="1"/>
  <c r="H67" i="24"/>
  <c r="D67" i="24"/>
  <c r="B67" i="24"/>
  <c r="Z66" i="24"/>
  <c r="X66" i="24"/>
  <c r="V66" i="24"/>
  <c r="N66" i="24"/>
  <c r="L66" i="24"/>
  <c r="J66" i="24"/>
  <c r="B66" i="24"/>
  <c r="Z65" i="24"/>
  <c r="X65" i="24"/>
  <c r="V65" i="24"/>
  <c r="L65" i="24"/>
  <c r="N65" i="24" s="1"/>
  <c r="J65" i="24"/>
  <c r="B65" i="24"/>
  <c r="Z64" i="24"/>
  <c r="T64" i="24"/>
  <c r="P64" i="24"/>
  <c r="X64" i="24" s="1"/>
  <c r="H64" i="24"/>
  <c r="D64" i="24"/>
  <c r="B64" i="24"/>
  <c r="X63" i="24"/>
  <c r="Z63" i="24" s="1"/>
  <c r="N63" i="24"/>
  <c r="L63" i="24"/>
  <c r="B63" i="24"/>
  <c r="X62" i="24"/>
  <c r="V62" i="24"/>
  <c r="T62" i="24"/>
  <c r="P62" i="24"/>
  <c r="L62" i="24"/>
  <c r="H62" i="24"/>
  <c r="D62" i="24"/>
  <c r="B62" i="24"/>
  <c r="Z61" i="24"/>
  <c r="X61" i="24"/>
  <c r="N61" i="24"/>
  <c r="L61" i="24"/>
  <c r="J61" i="24"/>
  <c r="B61" i="24"/>
  <c r="X60" i="24"/>
  <c r="T60" i="24"/>
  <c r="Z60" i="24" s="1"/>
  <c r="P60" i="24"/>
  <c r="H60" i="24"/>
  <c r="D60" i="24"/>
  <c r="B60" i="24"/>
  <c r="Z59" i="24"/>
  <c r="X59" i="24"/>
  <c r="V59" i="24"/>
  <c r="L59" i="24"/>
  <c r="N59" i="24" s="1"/>
  <c r="B59" i="24"/>
  <c r="T58" i="24"/>
  <c r="P58" i="24"/>
  <c r="H58" i="24"/>
  <c r="D58" i="24"/>
  <c r="L58" i="24" s="1"/>
  <c r="N58" i="24" s="1"/>
  <c r="B58" i="24"/>
  <c r="Z57" i="24"/>
  <c r="X57" i="24"/>
  <c r="V57" i="24"/>
  <c r="N57" i="24"/>
  <c r="L57" i="24"/>
  <c r="B57" i="24"/>
  <c r="Z56" i="24"/>
  <c r="X56" i="24"/>
  <c r="N56" i="24"/>
  <c r="L56" i="24"/>
  <c r="B56" i="24"/>
  <c r="X55" i="24"/>
  <c r="Z55" i="24" s="1"/>
  <c r="V55" i="24"/>
  <c r="N55" i="24"/>
  <c r="L55" i="24"/>
  <c r="B55" i="24"/>
  <c r="Z54" i="24"/>
  <c r="X54" i="24"/>
  <c r="V54" i="24"/>
  <c r="N54" i="24"/>
  <c r="L54" i="24"/>
  <c r="B54" i="24"/>
  <c r="Z53" i="24"/>
  <c r="X53" i="24"/>
  <c r="V53" i="24"/>
  <c r="N53" i="24"/>
  <c r="L53" i="24"/>
  <c r="B53" i="24"/>
  <c r="X52" i="24"/>
  <c r="Z52" i="24" s="1"/>
  <c r="N52" i="24"/>
  <c r="L52" i="24"/>
  <c r="B52" i="24"/>
  <c r="X51" i="24"/>
  <c r="Z51" i="24" s="1"/>
  <c r="V51" i="24"/>
  <c r="N51" i="24"/>
  <c r="L51" i="24"/>
  <c r="B51" i="24"/>
  <c r="Z50" i="24"/>
  <c r="X50" i="24"/>
  <c r="V50" i="24"/>
  <c r="N50" i="24"/>
  <c r="L50" i="24"/>
  <c r="B50" i="24"/>
  <c r="Z49" i="24"/>
  <c r="X49" i="24"/>
  <c r="V49" i="24"/>
  <c r="N49" i="24"/>
  <c r="L49" i="24"/>
  <c r="B49" i="24"/>
  <c r="X48" i="24"/>
  <c r="Z48" i="24" s="1"/>
  <c r="N48" i="24"/>
  <c r="L48" i="24"/>
  <c r="B48" i="24"/>
  <c r="X47" i="24"/>
  <c r="V47" i="24"/>
  <c r="T47" i="24"/>
  <c r="Z47" i="24" s="1"/>
  <c r="P47" i="24"/>
  <c r="L47" i="24"/>
  <c r="N47" i="24" s="1"/>
  <c r="J47" i="24"/>
  <c r="H47" i="24"/>
  <c r="D47" i="24"/>
  <c r="B47" i="24"/>
  <c r="X46" i="24"/>
  <c r="Z46" i="24" s="1"/>
  <c r="N46" i="24"/>
  <c r="L46" i="24"/>
  <c r="J46" i="24"/>
  <c r="B46" i="24"/>
  <c r="Z45" i="24"/>
  <c r="X45" i="24"/>
  <c r="N45" i="24"/>
  <c r="L45" i="24"/>
  <c r="J45" i="24"/>
  <c r="B45" i="24"/>
  <c r="Z44" i="24"/>
  <c r="X44" i="24"/>
  <c r="N44" i="24"/>
  <c r="L44" i="24"/>
  <c r="B44" i="24"/>
  <c r="Z43" i="24"/>
  <c r="X43" i="24"/>
  <c r="N43" i="24"/>
  <c r="L43" i="24"/>
  <c r="J43" i="24"/>
  <c r="B43" i="24"/>
  <c r="X42" i="24"/>
  <c r="Z42" i="24" s="1"/>
  <c r="N42" i="24"/>
  <c r="L42" i="24"/>
  <c r="J42" i="24"/>
  <c r="B42" i="24"/>
  <c r="X41" i="24"/>
  <c r="Z41" i="24" s="1"/>
  <c r="N41" i="24"/>
  <c r="L41" i="24"/>
  <c r="J41" i="24"/>
  <c r="B41" i="24"/>
  <c r="X40" i="24"/>
  <c r="Z40" i="24" s="1"/>
  <c r="N40" i="24"/>
  <c r="L40" i="24"/>
  <c r="B40" i="24"/>
  <c r="Z39" i="24"/>
  <c r="X39" i="24"/>
  <c r="N39" i="24"/>
  <c r="L39" i="24"/>
  <c r="J39" i="24"/>
  <c r="B39" i="24"/>
  <c r="T38" i="24"/>
  <c r="P38" i="24"/>
  <c r="L38" i="24"/>
  <c r="H38" i="24"/>
  <c r="N38" i="24" s="1"/>
  <c r="D38" i="24"/>
  <c r="B38" i="24"/>
  <c r="T37" i="24"/>
  <c r="V37" i="24" s="1"/>
  <c r="P37" i="24"/>
  <c r="H37" i="24"/>
  <c r="D37" i="24"/>
  <c r="V35" i="24"/>
  <c r="Z33" i="24"/>
  <c r="X33" i="24"/>
  <c r="V33" i="24"/>
  <c r="N33" i="24"/>
  <c r="L33" i="24"/>
  <c r="J33" i="24"/>
  <c r="B33" i="24"/>
  <c r="Z32" i="24"/>
  <c r="X32" i="24"/>
  <c r="V32" i="24"/>
  <c r="N32" i="24"/>
  <c r="L32" i="24"/>
  <c r="B32" i="24"/>
  <c r="Z31" i="24"/>
  <c r="X31" i="24"/>
  <c r="V31" i="24"/>
  <c r="N31" i="24"/>
  <c r="L31" i="24"/>
  <c r="B31" i="24"/>
  <c r="Z30" i="24"/>
  <c r="X30" i="24"/>
  <c r="V30" i="24"/>
  <c r="N30" i="24"/>
  <c r="L30" i="24"/>
  <c r="J30" i="24"/>
  <c r="B30" i="24"/>
  <c r="Z29" i="24"/>
  <c r="X29" i="24"/>
  <c r="V29" i="24"/>
  <c r="N29" i="24"/>
  <c r="L29" i="24"/>
  <c r="J29" i="24"/>
  <c r="B29" i="24"/>
  <c r="Z28" i="24"/>
  <c r="X28" i="24"/>
  <c r="V28" i="24"/>
  <c r="N28" i="24"/>
  <c r="L28" i="24"/>
  <c r="B28" i="24"/>
  <c r="Z27" i="24"/>
  <c r="X27" i="24"/>
  <c r="V27" i="24"/>
  <c r="N27" i="24"/>
  <c r="L27" i="24"/>
  <c r="B27" i="24"/>
  <c r="Z26" i="24"/>
  <c r="X26" i="24"/>
  <c r="V26" i="24"/>
  <c r="L26" i="24"/>
  <c r="N26" i="24" s="1"/>
  <c r="J26" i="24"/>
  <c r="B26" i="24"/>
  <c r="V25" i="24"/>
  <c r="T25" i="24"/>
  <c r="T35" i="24" s="1"/>
  <c r="P25" i="24"/>
  <c r="X25" i="24" s="1"/>
  <c r="Z25" i="24" s="1"/>
  <c r="H25" i="24"/>
  <c r="D25" i="24"/>
  <c r="Z23" i="24"/>
  <c r="P23" i="24"/>
  <c r="X23" i="24" s="1"/>
  <c r="N23" i="24"/>
  <c r="D23" i="24"/>
  <c r="L23" i="24" s="1"/>
  <c r="B23" i="24"/>
  <c r="Z22" i="24"/>
  <c r="P22" i="24"/>
  <c r="X22" i="24" s="1"/>
  <c r="N22" i="24"/>
  <c r="L22" i="24"/>
  <c r="D22" i="24"/>
  <c r="B22" i="24"/>
  <c r="Z21" i="24"/>
  <c r="X21" i="24"/>
  <c r="P21" i="24"/>
  <c r="N21" i="24"/>
  <c r="L21" i="24"/>
  <c r="D21" i="24"/>
  <c r="B21" i="24"/>
  <c r="Z20" i="24"/>
  <c r="P20" i="24"/>
  <c r="X20" i="24" s="1"/>
  <c r="D20" i="24"/>
  <c r="L20" i="24" s="1"/>
  <c r="N20" i="24" s="1"/>
  <c r="B20" i="24"/>
  <c r="Z19" i="24"/>
  <c r="P19" i="24"/>
  <c r="X19" i="24" s="1"/>
  <c r="N19" i="24"/>
  <c r="L19" i="24"/>
  <c r="D19" i="24"/>
  <c r="B19" i="24"/>
  <c r="Z18" i="24"/>
  <c r="X18" i="24"/>
  <c r="P18" i="24"/>
  <c r="N18" i="24"/>
  <c r="L18" i="24"/>
  <c r="D18" i="24"/>
  <c r="B18" i="24"/>
  <c r="Z17" i="24"/>
  <c r="P17" i="24"/>
  <c r="X17" i="24" s="1"/>
  <c r="N17" i="24"/>
  <c r="D17" i="24"/>
  <c r="L17" i="24" s="1"/>
  <c r="B17" i="24"/>
  <c r="Z16" i="24"/>
  <c r="X16" i="24"/>
  <c r="P16" i="24"/>
  <c r="N16" i="24"/>
  <c r="L16" i="24"/>
  <c r="D16" i="24"/>
  <c r="B16" i="24"/>
  <c r="Z15" i="24"/>
  <c r="X15" i="24"/>
  <c r="P15" i="24"/>
  <c r="N15" i="24"/>
  <c r="L15" i="24"/>
  <c r="D15" i="24"/>
  <c r="B15" i="24"/>
  <c r="Z14" i="24"/>
  <c r="P14" i="24"/>
  <c r="X14" i="24" s="1"/>
  <c r="N14" i="24"/>
  <c r="D14" i="24"/>
  <c r="B14" i="24"/>
  <c r="Z13" i="24"/>
  <c r="X13" i="24"/>
  <c r="P13" i="24"/>
  <c r="N13" i="24"/>
  <c r="L13" i="24"/>
  <c r="D13" i="24"/>
  <c r="B13" i="24"/>
  <c r="T12" i="24"/>
  <c r="V85" i="24" s="1"/>
  <c r="H12" i="24"/>
  <c r="J77" i="24" s="1"/>
  <c r="D4" i="24"/>
  <c r="F110" i="21"/>
  <c r="X108" i="21"/>
  <c r="Z108" i="21" s="1"/>
  <c r="N108" i="21"/>
  <c r="L108" i="21"/>
  <c r="Z104" i="21"/>
  <c r="T104" i="21"/>
  <c r="P104" i="21"/>
  <c r="X104" i="21" s="1"/>
  <c r="H104" i="21"/>
  <c r="N104" i="21" s="1"/>
  <c r="D104" i="21"/>
  <c r="L104" i="21" s="1"/>
  <c r="Z102" i="21"/>
  <c r="X102" i="21"/>
  <c r="L102" i="21"/>
  <c r="N102" i="21" s="1"/>
  <c r="B102" i="21"/>
  <c r="T101" i="21"/>
  <c r="P101" i="21"/>
  <c r="X101" i="21" s="1"/>
  <c r="Z101" i="21" s="1"/>
  <c r="H101" i="21"/>
  <c r="D101" i="21"/>
  <c r="B101" i="21"/>
  <c r="X100" i="21"/>
  <c r="Z100" i="21" s="1"/>
  <c r="N100" i="21"/>
  <c r="L100" i="21"/>
  <c r="B100" i="21"/>
  <c r="X99" i="21"/>
  <c r="V99" i="21"/>
  <c r="T99" i="21"/>
  <c r="Z99" i="21" s="1"/>
  <c r="P99" i="21"/>
  <c r="H99" i="21"/>
  <c r="N99" i="21" s="1"/>
  <c r="D99" i="21"/>
  <c r="L99" i="21" s="1"/>
  <c r="B99" i="21"/>
  <c r="X98" i="21"/>
  <c r="Z98" i="21" s="1"/>
  <c r="N98" i="21"/>
  <c r="L98" i="21"/>
  <c r="B98" i="21"/>
  <c r="T97" i="21"/>
  <c r="X97" i="21" s="1"/>
  <c r="Z97" i="21" s="1"/>
  <c r="P97" i="21"/>
  <c r="L97" i="21"/>
  <c r="H97" i="21"/>
  <c r="N97" i="21" s="1"/>
  <c r="D97" i="21"/>
  <c r="B97" i="21"/>
  <c r="Z96" i="21"/>
  <c r="X96" i="21"/>
  <c r="L96" i="21"/>
  <c r="N96" i="21" s="1"/>
  <c r="B96" i="21"/>
  <c r="Z95" i="21"/>
  <c r="X95" i="21"/>
  <c r="V95" i="21"/>
  <c r="L95" i="21"/>
  <c r="N95" i="21" s="1"/>
  <c r="B95" i="21"/>
  <c r="T94" i="21"/>
  <c r="Z94" i="21" s="1"/>
  <c r="P94" i="21"/>
  <c r="X94" i="21" s="1"/>
  <c r="H94" i="21"/>
  <c r="D94" i="21"/>
  <c r="B94" i="21"/>
  <c r="X93" i="21"/>
  <c r="Z93" i="21" s="1"/>
  <c r="N93" i="21"/>
  <c r="L93" i="21"/>
  <c r="B93" i="21"/>
  <c r="X92" i="21"/>
  <c r="Z92" i="21" s="1"/>
  <c r="N92" i="21"/>
  <c r="L92" i="21"/>
  <c r="B92" i="21"/>
  <c r="X91" i="21"/>
  <c r="Z91" i="21" s="1"/>
  <c r="N91" i="21"/>
  <c r="L91" i="21"/>
  <c r="B91" i="21"/>
  <c r="Z90" i="21"/>
  <c r="X90" i="21"/>
  <c r="N90" i="21"/>
  <c r="L90" i="21"/>
  <c r="B90" i="21"/>
  <c r="X89" i="21"/>
  <c r="Z89" i="21" s="1"/>
  <c r="L89" i="21"/>
  <c r="N89" i="21" s="1"/>
  <c r="B89" i="21"/>
  <c r="X88" i="21"/>
  <c r="Z88" i="21" s="1"/>
  <c r="L88" i="21"/>
  <c r="N88" i="21" s="1"/>
  <c r="B88" i="21"/>
  <c r="X87" i="21"/>
  <c r="Z87" i="21" s="1"/>
  <c r="N87" i="21"/>
  <c r="L87" i="21"/>
  <c r="B87" i="21"/>
  <c r="X86" i="21"/>
  <c r="Z86" i="21" s="1"/>
  <c r="T86" i="21"/>
  <c r="P86" i="21"/>
  <c r="L86" i="21"/>
  <c r="N86" i="21" s="1"/>
  <c r="H86" i="21"/>
  <c r="D86" i="21"/>
  <c r="B86" i="21"/>
  <c r="Z85" i="21"/>
  <c r="X85" i="21"/>
  <c r="L85" i="21"/>
  <c r="N85" i="21" s="1"/>
  <c r="B85" i="21"/>
  <c r="T84" i="21"/>
  <c r="P84" i="21"/>
  <c r="X84" i="21" s="1"/>
  <c r="H84" i="21"/>
  <c r="N84" i="21" s="1"/>
  <c r="D84" i="21"/>
  <c r="L84" i="21" s="1"/>
  <c r="B84" i="21"/>
  <c r="Z83" i="21"/>
  <c r="X83" i="21"/>
  <c r="L83" i="21"/>
  <c r="N83" i="21" s="1"/>
  <c r="B83" i="21"/>
  <c r="X82" i="21"/>
  <c r="Z82" i="21" s="1"/>
  <c r="L82" i="21"/>
  <c r="N82" i="21" s="1"/>
  <c r="B82" i="21"/>
  <c r="X81" i="21"/>
  <c r="Z81" i="21" s="1"/>
  <c r="V81" i="21"/>
  <c r="N81" i="21"/>
  <c r="L81" i="21"/>
  <c r="B81" i="21"/>
  <c r="X80" i="21"/>
  <c r="Z80" i="21" s="1"/>
  <c r="N80" i="21"/>
  <c r="L80" i="21"/>
  <c r="F80" i="21"/>
  <c r="B80" i="21"/>
  <c r="T79" i="21"/>
  <c r="P79" i="21"/>
  <c r="X79" i="21" s="1"/>
  <c r="Z79" i="21" s="1"/>
  <c r="H79" i="21"/>
  <c r="F79" i="21"/>
  <c r="D79" i="21"/>
  <c r="B79" i="21"/>
  <c r="X78" i="21"/>
  <c r="Z78" i="21" s="1"/>
  <c r="N78" i="21"/>
  <c r="L78" i="21"/>
  <c r="B78" i="21"/>
  <c r="Z77" i="21"/>
  <c r="X77" i="21"/>
  <c r="N77" i="21"/>
  <c r="L77" i="21"/>
  <c r="B77" i="21"/>
  <c r="T76" i="21"/>
  <c r="P76" i="21"/>
  <c r="L76" i="21"/>
  <c r="H76" i="21"/>
  <c r="N76" i="21" s="1"/>
  <c r="D76" i="21"/>
  <c r="B76" i="21"/>
  <c r="Z75" i="21"/>
  <c r="X75" i="21"/>
  <c r="V75" i="21"/>
  <c r="N75" i="21"/>
  <c r="L75" i="21"/>
  <c r="B75" i="21"/>
  <c r="Z74" i="21"/>
  <c r="X74" i="21"/>
  <c r="L74" i="21"/>
  <c r="N74" i="21" s="1"/>
  <c r="B74" i="21"/>
  <c r="Z73" i="21"/>
  <c r="X73" i="21"/>
  <c r="N73" i="21"/>
  <c r="L73" i="21"/>
  <c r="B73" i="21"/>
  <c r="X72" i="21"/>
  <c r="Z72" i="21" s="1"/>
  <c r="N72" i="21"/>
  <c r="L72" i="21"/>
  <c r="B72" i="21"/>
  <c r="Z71" i="21"/>
  <c r="X71" i="21"/>
  <c r="V71" i="21"/>
  <c r="T71" i="21"/>
  <c r="P71" i="21"/>
  <c r="H71" i="21"/>
  <c r="D71" i="21"/>
  <c r="L71" i="21" s="1"/>
  <c r="N71" i="21" s="1"/>
  <c r="B71" i="21"/>
  <c r="Z70" i="21"/>
  <c r="X70" i="21"/>
  <c r="N70" i="21"/>
  <c r="L70" i="21"/>
  <c r="B70" i="21"/>
  <c r="V69" i="21"/>
  <c r="T69" i="21"/>
  <c r="Z69" i="21" s="1"/>
  <c r="P69" i="21"/>
  <c r="N69" i="21"/>
  <c r="H69" i="21"/>
  <c r="D69" i="21"/>
  <c r="L69" i="21" s="1"/>
  <c r="B69" i="21"/>
  <c r="X68" i="21"/>
  <c r="Z68" i="21" s="1"/>
  <c r="V68" i="21"/>
  <c r="L68" i="21"/>
  <c r="N68" i="21" s="1"/>
  <c r="B68" i="21"/>
  <c r="T67" i="21"/>
  <c r="Z67" i="21" s="1"/>
  <c r="P67" i="21"/>
  <c r="X67" i="21" s="1"/>
  <c r="N67" i="21"/>
  <c r="H67" i="21"/>
  <c r="D67" i="21"/>
  <c r="L67" i="21" s="1"/>
  <c r="B67" i="21"/>
  <c r="Z66" i="21"/>
  <c r="X66" i="21"/>
  <c r="L66" i="21"/>
  <c r="N66" i="21" s="1"/>
  <c r="B66" i="21"/>
  <c r="T65" i="21"/>
  <c r="P65" i="21"/>
  <c r="X65" i="21" s="1"/>
  <c r="Z65" i="21" s="1"/>
  <c r="N65" i="21"/>
  <c r="L65" i="21"/>
  <c r="J65" i="21"/>
  <c r="H65" i="21"/>
  <c r="D65" i="21"/>
  <c r="B65" i="21"/>
  <c r="X64" i="21"/>
  <c r="Z64" i="21" s="1"/>
  <c r="N64" i="21"/>
  <c r="L64" i="21"/>
  <c r="F64" i="21"/>
  <c r="B64" i="21"/>
  <c r="T63" i="21"/>
  <c r="P63" i="21"/>
  <c r="X63" i="21" s="1"/>
  <c r="Z63" i="21" s="1"/>
  <c r="J63" i="21"/>
  <c r="H63" i="21"/>
  <c r="N63" i="21" s="1"/>
  <c r="F63" i="21"/>
  <c r="D63" i="21"/>
  <c r="B63" i="21"/>
  <c r="Z62" i="21"/>
  <c r="X62" i="21"/>
  <c r="N62" i="21"/>
  <c r="L62" i="21"/>
  <c r="B62" i="21"/>
  <c r="Z61" i="21"/>
  <c r="T61" i="21"/>
  <c r="P61" i="21"/>
  <c r="X61" i="21" s="1"/>
  <c r="H61" i="21"/>
  <c r="N61" i="21" s="1"/>
  <c r="D61" i="21"/>
  <c r="L61" i="21" s="1"/>
  <c r="B61" i="21"/>
  <c r="X60" i="21"/>
  <c r="Z60" i="21" s="1"/>
  <c r="L60" i="21"/>
  <c r="N60" i="21" s="1"/>
  <c r="B60" i="21"/>
  <c r="Z59" i="21"/>
  <c r="X59" i="21"/>
  <c r="V59" i="21"/>
  <c r="T59" i="21"/>
  <c r="P59" i="21"/>
  <c r="H59" i="21"/>
  <c r="D59" i="21"/>
  <c r="L59" i="21" s="1"/>
  <c r="N59" i="21" s="1"/>
  <c r="B59" i="21"/>
  <c r="X58" i="21"/>
  <c r="Z58" i="21" s="1"/>
  <c r="N58" i="21"/>
  <c r="L58" i="21"/>
  <c r="B58" i="21"/>
  <c r="V57" i="21"/>
  <c r="T57" i="21"/>
  <c r="P57" i="21"/>
  <c r="N57" i="21"/>
  <c r="H57" i="21"/>
  <c r="D57" i="21"/>
  <c r="L57" i="21" s="1"/>
  <c r="B57" i="21"/>
  <c r="X56" i="21"/>
  <c r="Z56" i="21" s="1"/>
  <c r="V56" i="21"/>
  <c r="L56" i="21"/>
  <c r="N56" i="21" s="1"/>
  <c r="B56" i="21"/>
  <c r="Z55" i="21"/>
  <c r="X55" i="21"/>
  <c r="N55" i="21"/>
  <c r="L55" i="21"/>
  <c r="J55" i="21"/>
  <c r="B55" i="21"/>
  <c r="X54" i="21"/>
  <c r="T54" i="21"/>
  <c r="Z54" i="21" s="1"/>
  <c r="P54" i="21"/>
  <c r="H54" i="21"/>
  <c r="D54" i="21"/>
  <c r="B54" i="21"/>
  <c r="Z53" i="21"/>
  <c r="X53" i="21"/>
  <c r="L53" i="21"/>
  <c r="N53" i="21" s="1"/>
  <c r="J53" i="21"/>
  <c r="B53" i="21"/>
  <c r="T52" i="21"/>
  <c r="X52" i="21" s="1"/>
  <c r="P52" i="21"/>
  <c r="H52" i="21"/>
  <c r="D52" i="21"/>
  <c r="L52" i="21" s="1"/>
  <c r="B52" i="21"/>
  <c r="Z51" i="21"/>
  <c r="X51" i="21"/>
  <c r="L51" i="21"/>
  <c r="N51" i="21" s="1"/>
  <c r="B51" i="21"/>
  <c r="X50" i="21"/>
  <c r="Z50" i="21" s="1"/>
  <c r="T50" i="21"/>
  <c r="P50" i="21"/>
  <c r="H50" i="21"/>
  <c r="N50" i="21" s="1"/>
  <c r="D50" i="21"/>
  <c r="L50" i="21" s="1"/>
  <c r="B50" i="21"/>
  <c r="Z49" i="21"/>
  <c r="X49" i="21"/>
  <c r="N49" i="21"/>
  <c r="L49" i="21"/>
  <c r="B49" i="21"/>
  <c r="T48" i="21"/>
  <c r="P48" i="21"/>
  <c r="L48" i="21"/>
  <c r="H48" i="21"/>
  <c r="N48" i="21" s="1"/>
  <c r="D48" i="21"/>
  <c r="B48" i="21"/>
  <c r="Z47" i="21"/>
  <c r="X47" i="21"/>
  <c r="V47" i="21"/>
  <c r="N47" i="21"/>
  <c r="L47" i="21"/>
  <c r="B47" i="21"/>
  <c r="Z46" i="21"/>
  <c r="X46" i="21"/>
  <c r="N46" i="21"/>
  <c r="L46" i="21"/>
  <c r="B46" i="21"/>
  <c r="Z45" i="21"/>
  <c r="X45" i="21"/>
  <c r="L45" i="21"/>
  <c r="N45" i="21" s="1"/>
  <c r="J45" i="21"/>
  <c r="B45" i="21"/>
  <c r="X44" i="21"/>
  <c r="Z44" i="21" s="1"/>
  <c r="N44" i="21"/>
  <c r="L44" i="21"/>
  <c r="B44" i="21"/>
  <c r="Z43" i="21"/>
  <c r="X43" i="21"/>
  <c r="V43" i="21"/>
  <c r="N43" i="21"/>
  <c r="L43" i="21"/>
  <c r="B43" i="21"/>
  <c r="Z42" i="21"/>
  <c r="X42" i="21"/>
  <c r="L42" i="21"/>
  <c r="N42" i="21" s="1"/>
  <c r="B42" i="21"/>
  <c r="Z41" i="21"/>
  <c r="X41" i="21"/>
  <c r="L41" i="21"/>
  <c r="N41" i="21" s="1"/>
  <c r="J41" i="21"/>
  <c r="B41" i="21"/>
  <c r="Z40" i="21"/>
  <c r="X40" i="21"/>
  <c r="N40" i="21"/>
  <c r="L40" i="21"/>
  <c r="B40" i="21"/>
  <c r="Z39" i="21"/>
  <c r="X39" i="21"/>
  <c r="V39" i="21"/>
  <c r="N39" i="21"/>
  <c r="L39" i="21"/>
  <c r="B39" i="21"/>
  <c r="Z38" i="21"/>
  <c r="X38" i="21"/>
  <c r="L38" i="21"/>
  <c r="N38" i="21" s="1"/>
  <c r="B38" i="21"/>
  <c r="T37" i="21"/>
  <c r="P37" i="21"/>
  <c r="X37" i="21" s="1"/>
  <c r="Z37" i="21" s="1"/>
  <c r="N37" i="21"/>
  <c r="L37" i="21"/>
  <c r="J37" i="21"/>
  <c r="H37" i="21"/>
  <c r="D37" i="21"/>
  <c r="B37" i="21"/>
  <c r="X36" i="21"/>
  <c r="Z36" i="21" s="1"/>
  <c r="L36" i="21"/>
  <c r="N36" i="21" s="1"/>
  <c r="F36" i="21"/>
  <c r="B36" i="21"/>
  <c r="Z35" i="21"/>
  <c r="X35" i="21"/>
  <c r="L35" i="21"/>
  <c r="N35" i="21" s="1"/>
  <c r="B35" i="21"/>
  <c r="X34" i="21"/>
  <c r="Z34" i="21" s="1"/>
  <c r="L34" i="21"/>
  <c r="N34" i="21" s="1"/>
  <c r="B34" i="21"/>
  <c r="Z33" i="21"/>
  <c r="X33" i="21"/>
  <c r="V33" i="21"/>
  <c r="N33" i="21"/>
  <c r="L33" i="21"/>
  <c r="B33" i="21"/>
  <c r="X32" i="21"/>
  <c r="Z32" i="21" s="1"/>
  <c r="L32" i="21"/>
  <c r="N32" i="21" s="1"/>
  <c r="F32" i="21"/>
  <c r="B32" i="21"/>
  <c r="Z31" i="21"/>
  <c r="X31" i="21"/>
  <c r="L31" i="21"/>
  <c r="N31" i="21" s="1"/>
  <c r="B31" i="21"/>
  <c r="X30" i="21"/>
  <c r="Z30" i="21" s="1"/>
  <c r="L30" i="21"/>
  <c r="N30" i="21" s="1"/>
  <c r="B30" i="21"/>
  <c r="X29" i="21"/>
  <c r="Z29" i="21" s="1"/>
  <c r="V29" i="21"/>
  <c r="N29" i="21"/>
  <c r="L29" i="21"/>
  <c r="B29" i="21"/>
  <c r="X28" i="21"/>
  <c r="Z28" i="21" s="1"/>
  <c r="L28" i="21"/>
  <c r="N28" i="21" s="1"/>
  <c r="B28" i="21"/>
  <c r="V27" i="21"/>
  <c r="T27" i="21"/>
  <c r="P27" i="21"/>
  <c r="X27" i="21" s="1"/>
  <c r="Z27" i="21" s="1"/>
  <c r="J27" i="21"/>
  <c r="H27" i="21"/>
  <c r="D27" i="21"/>
  <c r="B27" i="21"/>
  <c r="T26" i="21"/>
  <c r="P26" i="21"/>
  <c r="H26" i="21"/>
  <c r="D26" i="21"/>
  <c r="T24" i="21"/>
  <c r="H24" i="21"/>
  <c r="Z22" i="21"/>
  <c r="X22" i="21"/>
  <c r="N22" i="21"/>
  <c r="L22" i="21"/>
  <c r="F22" i="21"/>
  <c r="B22" i="21"/>
  <c r="Z21" i="21"/>
  <c r="X21" i="21"/>
  <c r="N21" i="21"/>
  <c r="L21" i="21"/>
  <c r="B21" i="21"/>
  <c r="X20" i="21"/>
  <c r="Z20" i="21" s="1"/>
  <c r="V20" i="21"/>
  <c r="L20" i="21"/>
  <c r="N20" i="21" s="1"/>
  <c r="B20" i="21"/>
  <c r="T19" i="21"/>
  <c r="P19" i="21"/>
  <c r="X19" i="21" s="1"/>
  <c r="Z19" i="21" s="1"/>
  <c r="N19" i="21"/>
  <c r="H19" i="21"/>
  <c r="L19" i="21" s="1"/>
  <c r="D19" i="21"/>
  <c r="Z17" i="21"/>
  <c r="X17" i="21"/>
  <c r="P17" i="21"/>
  <c r="N17" i="21"/>
  <c r="L17" i="21"/>
  <c r="D17" i="21"/>
  <c r="B17" i="21"/>
  <c r="Z16" i="21"/>
  <c r="X16" i="21"/>
  <c r="P16" i="21"/>
  <c r="N16" i="21"/>
  <c r="D16" i="21"/>
  <c r="L16" i="21" s="1"/>
  <c r="B16" i="21"/>
  <c r="P15" i="21"/>
  <c r="X15" i="21" s="1"/>
  <c r="Z15" i="21" s="1"/>
  <c r="L15" i="21"/>
  <c r="N15" i="21" s="1"/>
  <c r="D15" i="21"/>
  <c r="B15" i="21"/>
  <c r="Z14" i="21"/>
  <c r="X14" i="21"/>
  <c r="P14" i="21"/>
  <c r="N14" i="21"/>
  <c r="L14" i="21"/>
  <c r="D14" i="21"/>
  <c r="B14" i="21"/>
  <c r="P13" i="21"/>
  <c r="L13" i="21"/>
  <c r="N13" i="21" s="1"/>
  <c r="D13" i="21"/>
  <c r="B13" i="21"/>
  <c r="T12" i="21"/>
  <c r="L12" i="21"/>
  <c r="H12" i="21"/>
  <c r="J98" i="21" s="1"/>
  <c r="D12" i="21"/>
  <c r="F27" i="21" s="1"/>
  <c r="D4" i="21"/>
  <c r="Z244" i="18"/>
  <c r="X244" i="18"/>
  <c r="L244" i="18"/>
  <c r="N244" i="18" s="1"/>
  <c r="Z240" i="18"/>
  <c r="P240" i="18"/>
  <c r="X240" i="18" s="1"/>
  <c r="N240" i="18"/>
  <c r="L240" i="18"/>
  <c r="D240" i="18"/>
  <c r="B240" i="18"/>
  <c r="Z239" i="18"/>
  <c r="X239" i="18"/>
  <c r="P239" i="18"/>
  <c r="N239" i="18"/>
  <c r="D239" i="18"/>
  <c r="L239" i="18" s="1"/>
  <c r="B239" i="18"/>
  <c r="X238" i="18"/>
  <c r="Z238" i="18" s="1"/>
  <c r="P238" i="18"/>
  <c r="L238" i="18"/>
  <c r="N238" i="18" s="1"/>
  <c r="D238" i="18"/>
  <c r="B238" i="18"/>
  <c r="X237" i="18"/>
  <c r="Z237" i="18" s="1"/>
  <c r="P237" i="18"/>
  <c r="D237" i="18"/>
  <c r="L237" i="18" s="1"/>
  <c r="N237" i="18" s="1"/>
  <c r="B237" i="18"/>
  <c r="Z236" i="18"/>
  <c r="P236" i="18"/>
  <c r="X236" i="18" s="1"/>
  <c r="N236" i="18"/>
  <c r="L236" i="18"/>
  <c r="D236" i="18"/>
  <c r="B236" i="18"/>
  <c r="T235" i="18"/>
  <c r="P235" i="18"/>
  <c r="X235" i="18" s="1"/>
  <c r="H235" i="18"/>
  <c r="D235" i="18"/>
  <c r="L235" i="18" s="1"/>
  <c r="Z233" i="18"/>
  <c r="X233" i="18"/>
  <c r="L233" i="18"/>
  <c r="N233" i="18" s="1"/>
  <c r="B233" i="18"/>
  <c r="T232" i="18"/>
  <c r="P232" i="18"/>
  <c r="X232" i="18" s="1"/>
  <c r="Z232" i="18" s="1"/>
  <c r="L232" i="18"/>
  <c r="N232" i="18" s="1"/>
  <c r="H232" i="18"/>
  <c r="D232" i="18"/>
  <c r="B232" i="18"/>
  <c r="X231" i="18"/>
  <c r="Z231" i="18" s="1"/>
  <c r="L231" i="18"/>
  <c r="N231" i="18" s="1"/>
  <c r="B231" i="18"/>
  <c r="Z230" i="18"/>
  <c r="X230" i="18"/>
  <c r="N230" i="18"/>
  <c r="L230" i="18"/>
  <c r="B230" i="18"/>
  <c r="Z229" i="18"/>
  <c r="X229" i="18"/>
  <c r="N229" i="18"/>
  <c r="L229" i="18"/>
  <c r="B229" i="18"/>
  <c r="T228" i="18"/>
  <c r="P228" i="18"/>
  <c r="H228" i="18"/>
  <c r="D228" i="18"/>
  <c r="L228" i="18" s="1"/>
  <c r="N228" i="18" s="1"/>
  <c r="B228" i="18"/>
  <c r="X227" i="18"/>
  <c r="Z227" i="18" s="1"/>
  <c r="L227" i="18"/>
  <c r="N227" i="18" s="1"/>
  <c r="B227" i="18"/>
  <c r="T226" i="18"/>
  <c r="P226" i="18"/>
  <c r="X226" i="18" s="1"/>
  <c r="Z226" i="18" s="1"/>
  <c r="H226" i="18"/>
  <c r="L226" i="18" s="1"/>
  <c r="N226" i="18" s="1"/>
  <c r="D226" i="18"/>
  <c r="B226" i="18"/>
  <c r="Z225" i="18"/>
  <c r="X225" i="18"/>
  <c r="L225" i="18"/>
  <c r="N225" i="18" s="1"/>
  <c r="B225" i="18"/>
  <c r="Z224" i="18"/>
  <c r="X224" i="18"/>
  <c r="L224" i="18"/>
  <c r="N224" i="18" s="1"/>
  <c r="B224" i="18"/>
  <c r="T223" i="18"/>
  <c r="Z223" i="18" s="1"/>
  <c r="P223" i="18"/>
  <c r="X223" i="18" s="1"/>
  <c r="H223" i="18"/>
  <c r="D223" i="18"/>
  <c r="L223" i="18" s="1"/>
  <c r="B223" i="18"/>
  <c r="Z222" i="18"/>
  <c r="X222" i="18"/>
  <c r="N222" i="18"/>
  <c r="L222" i="18"/>
  <c r="B222" i="18"/>
  <c r="X221" i="18"/>
  <c r="Z221" i="18" s="1"/>
  <c r="L221" i="18"/>
  <c r="N221" i="18" s="1"/>
  <c r="B221" i="18"/>
  <c r="X220" i="18"/>
  <c r="Z220" i="18" s="1"/>
  <c r="N220" i="18"/>
  <c r="L220" i="18"/>
  <c r="B220" i="18"/>
  <c r="X219" i="18"/>
  <c r="Z219" i="18" s="1"/>
  <c r="L219" i="18"/>
  <c r="N219" i="18" s="1"/>
  <c r="B219" i="18"/>
  <c r="Z218" i="18"/>
  <c r="X218" i="18"/>
  <c r="N218" i="18"/>
  <c r="L218" i="18"/>
  <c r="B218" i="18"/>
  <c r="X217" i="18"/>
  <c r="Z217" i="18" s="1"/>
  <c r="L217" i="18"/>
  <c r="N217" i="18" s="1"/>
  <c r="B217" i="18"/>
  <c r="X216" i="18"/>
  <c r="Z216" i="18" s="1"/>
  <c r="N216" i="18"/>
  <c r="L216" i="18"/>
  <c r="B216" i="18"/>
  <c r="X215" i="18"/>
  <c r="Z215" i="18" s="1"/>
  <c r="L215" i="18"/>
  <c r="N215" i="18" s="1"/>
  <c r="B215" i="18"/>
  <c r="Z214" i="18"/>
  <c r="X214" i="18"/>
  <c r="N214" i="18"/>
  <c r="L214" i="18"/>
  <c r="B214" i="18"/>
  <c r="X213" i="18"/>
  <c r="Z213" i="18" s="1"/>
  <c r="T213" i="18"/>
  <c r="P213" i="18"/>
  <c r="H213" i="18"/>
  <c r="D213" i="18"/>
  <c r="L213" i="18" s="1"/>
  <c r="B213" i="18"/>
  <c r="Z212" i="18"/>
  <c r="X212" i="18"/>
  <c r="N212" i="18"/>
  <c r="L212" i="18"/>
  <c r="B212" i="18"/>
  <c r="X211" i="18"/>
  <c r="Z211" i="18" s="1"/>
  <c r="L211" i="18"/>
  <c r="N211" i="18" s="1"/>
  <c r="B211" i="18"/>
  <c r="T210" i="18"/>
  <c r="P210" i="18"/>
  <c r="X210" i="18" s="1"/>
  <c r="Z210" i="18" s="1"/>
  <c r="H210" i="18"/>
  <c r="L210" i="18" s="1"/>
  <c r="N210" i="18" s="1"/>
  <c r="D210" i="18"/>
  <c r="B210" i="18"/>
  <c r="Z209" i="18"/>
  <c r="X209" i="18"/>
  <c r="L209" i="18"/>
  <c r="N209" i="18" s="1"/>
  <c r="B209" i="18"/>
  <c r="Z208" i="18"/>
  <c r="X208" i="18"/>
  <c r="L208" i="18"/>
  <c r="N208" i="18" s="1"/>
  <c r="B208" i="18"/>
  <c r="Z207" i="18"/>
  <c r="X207" i="18"/>
  <c r="N207" i="18"/>
  <c r="L207" i="18"/>
  <c r="B207" i="18"/>
  <c r="X206" i="18"/>
  <c r="Z206" i="18" s="1"/>
  <c r="N206" i="18"/>
  <c r="L206" i="18"/>
  <c r="B206" i="18"/>
  <c r="T205" i="18"/>
  <c r="P205" i="18"/>
  <c r="X205" i="18" s="1"/>
  <c r="H205" i="18"/>
  <c r="D205" i="18"/>
  <c r="L205" i="18" s="1"/>
  <c r="B205" i="18"/>
  <c r="X204" i="18"/>
  <c r="Z204" i="18" s="1"/>
  <c r="V204" i="18"/>
  <c r="N204" i="18"/>
  <c r="L204" i="18"/>
  <c r="B204" i="18"/>
  <c r="X203" i="18"/>
  <c r="Z203" i="18" s="1"/>
  <c r="L203" i="18"/>
  <c r="N203" i="18" s="1"/>
  <c r="B203" i="18"/>
  <c r="Z202" i="18"/>
  <c r="X202" i="18"/>
  <c r="N202" i="18"/>
  <c r="L202" i="18"/>
  <c r="B202" i="18"/>
  <c r="Z201" i="18"/>
  <c r="X201" i="18"/>
  <c r="L201" i="18"/>
  <c r="N201" i="18" s="1"/>
  <c r="B201" i="18"/>
  <c r="T200" i="18"/>
  <c r="P200" i="18"/>
  <c r="H200" i="18"/>
  <c r="D200" i="18"/>
  <c r="L200" i="18" s="1"/>
  <c r="N200" i="18" s="1"/>
  <c r="B200" i="18"/>
  <c r="X199" i="18"/>
  <c r="Z199" i="18" s="1"/>
  <c r="L199" i="18"/>
  <c r="N199" i="18" s="1"/>
  <c r="B199" i="18"/>
  <c r="Z198" i="18"/>
  <c r="X198" i="18"/>
  <c r="L198" i="18"/>
  <c r="N198" i="18" s="1"/>
  <c r="B198" i="18"/>
  <c r="Z197" i="18"/>
  <c r="X197" i="18"/>
  <c r="N197" i="18"/>
  <c r="L197" i="18"/>
  <c r="B197" i="18"/>
  <c r="Z196" i="18"/>
  <c r="X196" i="18"/>
  <c r="N196" i="18"/>
  <c r="L196" i="18"/>
  <c r="B196" i="18"/>
  <c r="X195" i="18"/>
  <c r="T195" i="18"/>
  <c r="P195" i="18"/>
  <c r="H195" i="18"/>
  <c r="D195" i="18"/>
  <c r="B195" i="18"/>
  <c r="Z194" i="18"/>
  <c r="X194" i="18"/>
  <c r="N194" i="18"/>
  <c r="L194" i="18"/>
  <c r="B194" i="18"/>
  <c r="T193" i="18"/>
  <c r="P193" i="18"/>
  <c r="X193" i="18" s="1"/>
  <c r="H193" i="18"/>
  <c r="D193" i="18"/>
  <c r="L193" i="18" s="1"/>
  <c r="B193" i="18"/>
  <c r="X192" i="18"/>
  <c r="Z192" i="18" s="1"/>
  <c r="N192" i="18"/>
  <c r="L192" i="18"/>
  <c r="B192" i="18"/>
  <c r="T191" i="18"/>
  <c r="P191" i="18"/>
  <c r="X191" i="18" s="1"/>
  <c r="N191" i="18"/>
  <c r="L191" i="18"/>
  <c r="H191" i="18"/>
  <c r="D191" i="18"/>
  <c r="B191" i="18"/>
  <c r="Z190" i="18"/>
  <c r="X190" i="18"/>
  <c r="L190" i="18"/>
  <c r="N190" i="18" s="1"/>
  <c r="B190" i="18"/>
  <c r="T189" i="18"/>
  <c r="P189" i="18"/>
  <c r="L189" i="18"/>
  <c r="H189" i="18"/>
  <c r="D189" i="18"/>
  <c r="B189" i="18"/>
  <c r="Z188" i="18"/>
  <c r="X188" i="18"/>
  <c r="L188" i="18"/>
  <c r="N188" i="18" s="1"/>
  <c r="B188" i="18"/>
  <c r="T187" i="18"/>
  <c r="Z187" i="18" s="1"/>
  <c r="P187" i="18"/>
  <c r="X187" i="18" s="1"/>
  <c r="H187" i="18"/>
  <c r="D187" i="18"/>
  <c r="L187" i="18" s="1"/>
  <c r="B187" i="18"/>
  <c r="Z186" i="18"/>
  <c r="X186" i="18"/>
  <c r="N186" i="18"/>
  <c r="L186" i="18"/>
  <c r="B186" i="18"/>
  <c r="Z185" i="18"/>
  <c r="X185" i="18"/>
  <c r="N185" i="18"/>
  <c r="L185" i="18"/>
  <c r="B185" i="18"/>
  <c r="X184" i="18"/>
  <c r="Z184" i="18" s="1"/>
  <c r="N184" i="18"/>
  <c r="L184" i="18"/>
  <c r="B184" i="18"/>
  <c r="T183" i="18"/>
  <c r="P183" i="18"/>
  <c r="X183" i="18" s="1"/>
  <c r="N183" i="18"/>
  <c r="L183" i="18"/>
  <c r="H183" i="18"/>
  <c r="D183" i="18"/>
  <c r="B183" i="18"/>
  <c r="Z182" i="18"/>
  <c r="X182" i="18"/>
  <c r="L182" i="18"/>
  <c r="N182" i="18" s="1"/>
  <c r="B182" i="18"/>
  <c r="X181" i="18"/>
  <c r="Z181" i="18" s="1"/>
  <c r="N181" i="18"/>
  <c r="L181" i="18"/>
  <c r="B181" i="18"/>
  <c r="Z180" i="18"/>
  <c r="T180" i="18"/>
  <c r="P180" i="18"/>
  <c r="X180" i="18" s="1"/>
  <c r="H180" i="18"/>
  <c r="D180" i="18"/>
  <c r="L180" i="18" s="1"/>
  <c r="N180" i="18" s="1"/>
  <c r="B180" i="18"/>
  <c r="X179" i="18"/>
  <c r="Z179" i="18" s="1"/>
  <c r="L179" i="18"/>
  <c r="N179" i="18" s="1"/>
  <c r="B179" i="18"/>
  <c r="Z178" i="18"/>
  <c r="X178" i="18"/>
  <c r="T178" i="18"/>
  <c r="P178" i="18"/>
  <c r="H178" i="18"/>
  <c r="D178" i="18"/>
  <c r="L178" i="18" s="1"/>
  <c r="N178" i="18" s="1"/>
  <c r="B178" i="18"/>
  <c r="X177" i="18"/>
  <c r="Z177" i="18" s="1"/>
  <c r="L177" i="18"/>
  <c r="N177" i="18" s="1"/>
  <c r="B177" i="18"/>
  <c r="T176" i="18"/>
  <c r="P176" i="18"/>
  <c r="H176" i="18"/>
  <c r="D176" i="18"/>
  <c r="L176" i="18" s="1"/>
  <c r="N176" i="18" s="1"/>
  <c r="B176" i="18"/>
  <c r="X175" i="18"/>
  <c r="Z175" i="18" s="1"/>
  <c r="L175" i="18"/>
  <c r="N175" i="18" s="1"/>
  <c r="B175" i="18"/>
  <c r="Z174" i="18"/>
  <c r="X174" i="18"/>
  <c r="N174" i="18"/>
  <c r="L174" i="18"/>
  <c r="B174" i="18"/>
  <c r="X173" i="18"/>
  <c r="T173" i="18"/>
  <c r="Z173" i="18" s="1"/>
  <c r="P173" i="18"/>
  <c r="L173" i="18"/>
  <c r="H173" i="18"/>
  <c r="D173" i="18"/>
  <c r="B173" i="18"/>
  <c r="Z172" i="18"/>
  <c r="X172" i="18"/>
  <c r="N172" i="18"/>
  <c r="L172" i="18"/>
  <c r="B172" i="18"/>
  <c r="X171" i="18"/>
  <c r="Z171" i="18" s="1"/>
  <c r="L171" i="18"/>
  <c r="N171" i="18" s="1"/>
  <c r="B171" i="18"/>
  <c r="X170" i="18"/>
  <c r="Z170" i="18" s="1"/>
  <c r="T170" i="18"/>
  <c r="P170" i="18"/>
  <c r="N170" i="18"/>
  <c r="H170" i="18"/>
  <c r="D170" i="18"/>
  <c r="L170" i="18" s="1"/>
  <c r="B170" i="18"/>
  <c r="Z169" i="18"/>
  <c r="X169" i="18"/>
  <c r="L169" i="18"/>
  <c r="N169" i="18" s="1"/>
  <c r="B169" i="18"/>
  <c r="Z168" i="18"/>
  <c r="X168" i="18"/>
  <c r="N168" i="18"/>
  <c r="L168" i="18"/>
  <c r="B168" i="18"/>
  <c r="T167" i="18"/>
  <c r="Z167" i="18" s="1"/>
  <c r="P167" i="18"/>
  <c r="X167" i="18" s="1"/>
  <c r="H167" i="18"/>
  <c r="D167" i="18"/>
  <c r="L167" i="18" s="1"/>
  <c r="N167" i="18" s="1"/>
  <c r="B167" i="18"/>
  <c r="X166" i="18"/>
  <c r="Z166" i="18" s="1"/>
  <c r="N166" i="18"/>
  <c r="L166" i="18"/>
  <c r="B166" i="18"/>
  <c r="T165" i="18"/>
  <c r="P165" i="18"/>
  <c r="H165" i="18"/>
  <c r="D165" i="18"/>
  <c r="B165" i="18"/>
  <c r="Z164" i="18"/>
  <c r="X164" i="18"/>
  <c r="L164" i="18"/>
  <c r="N164" i="18" s="1"/>
  <c r="B164" i="18"/>
  <c r="X163" i="18"/>
  <c r="Z163" i="18" s="1"/>
  <c r="L163" i="18"/>
  <c r="N163" i="18" s="1"/>
  <c r="J163" i="18"/>
  <c r="B163" i="18"/>
  <c r="Z162" i="18"/>
  <c r="X162" i="18"/>
  <c r="T162" i="18"/>
  <c r="P162" i="18"/>
  <c r="H162" i="18"/>
  <c r="D162" i="18"/>
  <c r="L162" i="18" s="1"/>
  <c r="N162" i="18" s="1"/>
  <c r="B162" i="18"/>
  <c r="Z161" i="18"/>
  <c r="X161" i="18"/>
  <c r="L161" i="18"/>
  <c r="N161" i="18" s="1"/>
  <c r="B161" i="18"/>
  <c r="T160" i="18"/>
  <c r="P160" i="18"/>
  <c r="H160" i="18"/>
  <c r="D160" i="18"/>
  <c r="L160" i="18" s="1"/>
  <c r="N160" i="18" s="1"/>
  <c r="B160" i="18"/>
  <c r="Z159" i="18"/>
  <c r="X159" i="18"/>
  <c r="N159" i="18"/>
  <c r="L159" i="18"/>
  <c r="B159" i="18"/>
  <c r="Z158" i="18"/>
  <c r="X158" i="18"/>
  <c r="N158" i="18"/>
  <c r="L158" i="18"/>
  <c r="B158" i="18"/>
  <c r="X157" i="18"/>
  <c r="Z157" i="18" s="1"/>
  <c r="N157" i="18"/>
  <c r="L157" i="18"/>
  <c r="B157" i="18"/>
  <c r="Z156" i="18"/>
  <c r="X156" i="18"/>
  <c r="N156" i="18"/>
  <c r="L156" i="18"/>
  <c r="B156" i="18"/>
  <c r="Z155" i="18"/>
  <c r="X155" i="18"/>
  <c r="V155" i="18"/>
  <c r="N155" i="18"/>
  <c r="L155" i="18"/>
  <c r="B155" i="18"/>
  <c r="X154" i="18"/>
  <c r="Z154" i="18" s="1"/>
  <c r="N154" i="18"/>
  <c r="L154" i="18"/>
  <c r="B154" i="18"/>
  <c r="X153" i="18"/>
  <c r="Z153" i="18" s="1"/>
  <c r="N153" i="18"/>
  <c r="L153" i="18"/>
  <c r="B153" i="18"/>
  <c r="Z152" i="18"/>
  <c r="X152" i="18"/>
  <c r="N152" i="18"/>
  <c r="L152" i="18"/>
  <c r="B152" i="18"/>
  <c r="Z151" i="18"/>
  <c r="X151" i="18"/>
  <c r="L151" i="18"/>
  <c r="N151" i="18" s="1"/>
  <c r="B151" i="18"/>
  <c r="X150" i="18"/>
  <c r="Z150" i="18" s="1"/>
  <c r="N150" i="18"/>
  <c r="L150" i="18"/>
  <c r="B150" i="18"/>
  <c r="T149" i="18"/>
  <c r="P149" i="18"/>
  <c r="H149" i="18"/>
  <c r="D149" i="18"/>
  <c r="B149" i="18"/>
  <c r="Z148" i="18"/>
  <c r="X148" i="18"/>
  <c r="L148" i="18"/>
  <c r="N148" i="18" s="1"/>
  <c r="B148" i="18"/>
  <c r="X147" i="18"/>
  <c r="Z147" i="18" s="1"/>
  <c r="L147" i="18"/>
  <c r="N147" i="18" s="1"/>
  <c r="B147" i="18"/>
  <c r="Z146" i="18"/>
  <c r="X146" i="18"/>
  <c r="N146" i="18"/>
  <c r="L146" i="18"/>
  <c r="B146" i="18"/>
  <c r="Z145" i="18"/>
  <c r="X145" i="18"/>
  <c r="V145" i="18"/>
  <c r="N145" i="18"/>
  <c r="L145" i="18"/>
  <c r="B145" i="18"/>
  <c r="Z144" i="18"/>
  <c r="X144" i="18"/>
  <c r="N144" i="18"/>
  <c r="L144" i="18"/>
  <c r="J144" i="18"/>
  <c r="B144" i="18"/>
  <c r="X143" i="18"/>
  <c r="Z143" i="18" s="1"/>
  <c r="L143" i="18"/>
  <c r="N143" i="18" s="1"/>
  <c r="B143" i="18"/>
  <c r="X142" i="18"/>
  <c r="Z142" i="18" s="1"/>
  <c r="V142" i="18"/>
  <c r="N142" i="18"/>
  <c r="L142" i="18"/>
  <c r="B142" i="18"/>
  <c r="Z141" i="18"/>
  <c r="X141" i="18"/>
  <c r="N141" i="18"/>
  <c r="L141" i="18"/>
  <c r="B141" i="18"/>
  <c r="Z140" i="18"/>
  <c r="X140" i="18"/>
  <c r="L140" i="18"/>
  <c r="N140" i="18" s="1"/>
  <c r="B140" i="18"/>
  <c r="X139" i="18"/>
  <c r="Z139" i="18" s="1"/>
  <c r="L139" i="18"/>
  <c r="N139" i="18" s="1"/>
  <c r="B139" i="18"/>
  <c r="Z138" i="18"/>
  <c r="X138" i="18"/>
  <c r="T138" i="18"/>
  <c r="P138" i="18"/>
  <c r="H138" i="18"/>
  <c r="N138" i="18" s="1"/>
  <c r="D138" i="18"/>
  <c r="L138" i="18" s="1"/>
  <c r="B138" i="18"/>
  <c r="T137" i="18"/>
  <c r="P137" i="18"/>
  <c r="X137" i="18" s="1"/>
  <c r="H137" i="18"/>
  <c r="D137" i="18"/>
  <c r="T135" i="18"/>
  <c r="T242" i="18" s="1"/>
  <c r="T246" i="18" s="1"/>
  <c r="Z133" i="18"/>
  <c r="X133" i="18"/>
  <c r="N133" i="18"/>
  <c r="L133" i="18"/>
  <c r="B133" i="18"/>
  <c r="Z132" i="18"/>
  <c r="X132" i="18"/>
  <c r="N132" i="18"/>
  <c r="L132" i="18"/>
  <c r="B132" i="18"/>
  <c r="Z131" i="18"/>
  <c r="X131" i="18"/>
  <c r="V131" i="18"/>
  <c r="N131" i="18"/>
  <c r="L131" i="18"/>
  <c r="B131" i="18"/>
  <c r="Z130" i="18"/>
  <c r="X130" i="18"/>
  <c r="V130" i="18"/>
  <c r="N130" i="18"/>
  <c r="L130" i="18"/>
  <c r="B130" i="18"/>
  <c r="Z129" i="18"/>
  <c r="X129" i="18"/>
  <c r="N129" i="18"/>
  <c r="L129" i="18"/>
  <c r="B129" i="18"/>
  <c r="Z128" i="18"/>
  <c r="X128" i="18"/>
  <c r="V128" i="18"/>
  <c r="N128" i="18"/>
  <c r="L128" i="18"/>
  <c r="B128" i="18"/>
  <c r="Z127" i="18"/>
  <c r="X127" i="18"/>
  <c r="N127" i="18"/>
  <c r="L127" i="18"/>
  <c r="B127" i="18"/>
  <c r="Z126" i="18"/>
  <c r="X126" i="18"/>
  <c r="N126" i="18"/>
  <c r="L126" i="18"/>
  <c r="B126" i="18"/>
  <c r="Z125" i="18"/>
  <c r="X125" i="18"/>
  <c r="N125" i="18"/>
  <c r="L125" i="18"/>
  <c r="B125" i="18"/>
  <c r="Z124" i="18"/>
  <c r="X124" i="18"/>
  <c r="N124" i="18"/>
  <c r="L124" i="18"/>
  <c r="B124" i="18"/>
  <c r="Z123" i="18"/>
  <c r="X123" i="18"/>
  <c r="N123" i="18"/>
  <c r="L123" i="18"/>
  <c r="B123" i="18"/>
  <c r="Z122" i="18"/>
  <c r="X122" i="18"/>
  <c r="V122" i="18"/>
  <c r="N122" i="18"/>
  <c r="L122" i="18"/>
  <c r="B122" i="18"/>
  <c r="Z121" i="18"/>
  <c r="X121" i="18"/>
  <c r="N121" i="18"/>
  <c r="L121" i="18"/>
  <c r="B121" i="18"/>
  <c r="Z120" i="18"/>
  <c r="X120" i="18"/>
  <c r="N120" i="18"/>
  <c r="L120" i="18"/>
  <c r="B120" i="18"/>
  <c r="Z119" i="18"/>
  <c r="X119" i="18"/>
  <c r="V119" i="18"/>
  <c r="N119" i="18"/>
  <c r="L119" i="18"/>
  <c r="B119" i="18"/>
  <c r="Z118" i="18"/>
  <c r="X118" i="18"/>
  <c r="V118" i="18"/>
  <c r="N118" i="18"/>
  <c r="L118" i="18"/>
  <c r="B118" i="18"/>
  <c r="Z117" i="18"/>
  <c r="X117" i="18"/>
  <c r="N117" i="18"/>
  <c r="L117" i="18"/>
  <c r="B117" i="18"/>
  <c r="Z116" i="18"/>
  <c r="X116" i="18"/>
  <c r="V116" i="18"/>
  <c r="N116" i="18"/>
  <c r="L116" i="18"/>
  <c r="B116" i="18"/>
  <c r="Z115" i="18"/>
  <c r="X115" i="18"/>
  <c r="N115" i="18"/>
  <c r="L115" i="18"/>
  <c r="B115" i="18"/>
  <c r="Z114" i="18"/>
  <c r="X114" i="18"/>
  <c r="N114" i="18"/>
  <c r="L114" i="18"/>
  <c r="B114" i="18"/>
  <c r="Z113" i="18"/>
  <c r="X113" i="18"/>
  <c r="N113" i="18"/>
  <c r="L113" i="18"/>
  <c r="B113" i="18"/>
  <c r="Z112" i="18"/>
  <c r="X112" i="18"/>
  <c r="N112" i="18"/>
  <c r="L112" i="18"/>
  <c r="B112" i="18"/>
  <c r="Z111" i="18"/>
  <c r="X111" i="18"/>
  <c r="N111" i="18"/>
  <c r="L111" i="18"/>
  <c r="B111" i="18"/>
  <c r="Z110" i="18"/>
  <c r="X110" i="18"/>
  <c r="V110" i="18"/>
  <c r="N110" i="18"/>
  <c r="L110" i="18"/>
  <c r="B110" i="18"/>
  <c r="Z109" i="18"/>
  <c r="X109" i="18"/>
  <c r="N109" i="18"/>
  <c r="L109" i="18"/>
  <c r="B109" i="18"/>
  <c r="Z108" i="18"/>
  <c r="X108" i="18"/>
  <c r="N108" i="18"/>
  <c r="L108" i="18"/>
  <c r="B108" i="18"/>
  <c r="Z107" i="18"/>
  <c r="X107" i="18"/>
  <c r="V107" i="18"/>
  <c r="N107" i="18"/>
  <c r="L107" i="18"/>
  <c r="B107" i="18"/>
  <c r="Z106" i="18"/>
  <c r="X106" i="18"/>
  <c r="N106" i="18"/>
  <c r="L106" i="18"/>
  <c r="B106" i="18"/>
  <c r="Z105" i="18"/>
  <c r="X105" i="18"/>
  <c r="N105" i="18"/>
  <c r="L105" i="18"/>
  <c r="B105" i="18"/>
  <c r="Z104" i="18"/>
  <c r="X104" i="18"/>
  <c r="V104" i="18"/>
  <c r="N104" i="18"/>
  <c r="L104" i="18"/>
  <c r="B104" i="18"/>
  <c r="Z103" i="18"/>
  <c r="X103" i="18"/>
  <c r="N103" i="18"/>
  <c r="L103" i="18"/>
  <c r="B103" i="18"/>
  <c r="Z102" i="18"/>
  <c r="X102" i="18"/>
  <c r="N102" i="18"/>
  <c r="L102" i="18"/>
  <c r="B102" i="18"/>
  <c r="Z101" i="18"/>
  <c r="X101" i="18"/>
  <c r="N101" i="18"/>
  <c r="L101" i="18"/>
  <c r="B101" i="18"/>
  <c r="Z100" i="18"/>
  <c r="X100" i="18"/>
  <c r="N100" i="18"/>
  <c r="L100" i="18"/>
  <c r="B100" i="18"/>
  <c r="Z99" i="18"/>
  <c r="X99" i="18"/>
  <c r="N99" i="18"/>
  <c r="L99" i="18"/>
  <c r="B99" i="18"/>
  <c r="Z98" i="18"/>
  <c r="X98" i="18"/>
  <c r="N98" i="18"/>
  <c r="L98" i="18"/>
  <c r="B98" i="18"/>
  <c r="Z97" i="18"/>
  <c r="X97" i="18"/>
  <c r="N97" i="18"/>
  <c r="L97" i="18"/>
  <c r="B97" i="18"/>
  <c r="Z96" i="18"/>
  <c r="X96" i="18"/>
  <c r="N96" i="18"/>
  <c r="L96" i="18"/>
  <c r="B96" i="18"/>
  <c r="Z95" i="18"/>
  <c r="X95" i="18"/>
  <c r="N95" i="18"/>
  <c r="L95" i="18"/>
  <c r="B95" i="18"/>
  <c r="Z94" i="18"/>
  <c r="X94" i="18"/>
  <c r="V94" i="18"/>
  <c r="N94" i="18"/>
  <c r="L94" i="18"/>
  <c r="B94" i="18"/>
  <c r="Z93" i="18"/>
  <c r="X93" i="18"/>
  <c r="N93" i="18"/>
  <c r="L93" i="18"/>
  <c r="B93" i="18"/>
  <c r="Z92" i="18"/>
  <c r="X92" i="18"/>
  <c r="N92" i="18"/>
  <c r="L92" i="18"/>
  <c r="B92" i="18"/>
  <c r="X91" i="18"/>
  <c r="Z91" i="18" s="1"/>
  <c r="V91" i="18"/>
  <c r="L91" i="18"/>
  <c r="N91" i="18" s="1"/>
  <c r="B91" i="18"/>
  <c r="T90" i="18"/>
  <c r="P90" i="18"/>
  <c r="X90" i="18" s="1"/>
  <c r="Z90" i="18" s="1"/>
  <c r="N90" i="18"/>
  <c r="H90" i="18"/>
  <c r="L90" i="18" s="1"/>
  <c r="D90" i="18"/>
  <c r="Z88" i="18"/>
  <c r="X88" i="18"/>
  <c r="P88" i="18"/>
  <c r="N88" i="18"/>
  <c r="D88" i="18"/>
  <c r="L88" i="18" s="1"/>
  <c r="B88" i="18"/>
  <c r="Z87" i="18"/>
  <c r="X87" i="18"/>
  <c r="P87" i="18"/>
  <c r="N87" i="18"/>
  <c r="D87" i="18"/>
  <c r="L87" i="18" s="1"/>
  <c r="B87" i="18"/>
  <c r="Z86" i="18"/>
  <c r="P86" i="18"/>
  <c r="X86" i="18" s="1"/>
  <c r="N86" i="18"/>
  <c r="D86" i="18"/>
  <c r="L86" i="18" s="1"/>
  <c r="B86" i="18"/>
  <c r="Z85" i="18"/>
  <c r="X85" i="18"/>
  <c r="P85" i="18"/>
  <c r="N85" i="18"/>
  <c r="L85" i="18"/>
  <c r="D85" i="18"/>
  <c r="B85" i="18"/>
  <c r="Z84" i="18"/>
  <c r="P84" i="18"/>
  <c r="X84" i="18" s="1"/>
  <c r="N84" i="18"/>
  <c r="L84" i="18"/>
  <c r="D84" i="18"/>
  <c r="B84" i="18"/>
  <c r="Z83" i="18"/>
  <c r="P83" i="18"/>
  <c r="X83" i="18" s="1"/>
  <c r="N83" i="18"/>
  <c r="D83" i="18"/>
  <c r="L83" i="18" s="1"/>
  <c r="B83" i="18"/>
  <c r="Z82" i="18"/>
  <c r="P82" i="18"/>
  <c r="X82" i="18" s="1"/>
  <c r="N82" i="18"/>
  <c r="L82" i="18"/>
  <c r="D82" i="18"/>
  <c r="B82" i="18"/>
  <c r="Z81" i="18"/>
  <c r="X81" i="18"/>
  <c r="P81" i="18"/>
  <c r="N81" i="18"/>
  <c r="D81" i="18"/>
  <c r="L81" i="18" s="1"/>
  <c r="B81" i="18"/>
  <c r="Z80" i="18"/>
  <c r="X80" i="18"/>
  <c r="P80" i="18"/>
  <c r="N80" i="18"/>
  <c r="L80" i="18"/>
  <c r="D80" i="18"/>
  <c r="B80" i="18"/>
  <c r="Z79" i="18"/>
  <c r="X79" i="18"/>
  <c r="P79" i="18"/>
  <c r="N79" i="18"/>
  <c r="D79" i="18"/>
  <c r="L79" i="18" s="1"/>
  <c r="B79" i="18"/>
  <c r="Z78" i="18"/>
  <c r="P78" i="18"/>
  <c r="X78" i="18" s="1"/>
  <c r="N78" i="18"/>
  <c r="L78" i="18"/>
  <c r="D78" i="18"/>
  <c r="B78" i="18"/>
  <c r="Z77" i="18"/>
  <c r="P77" i="18"/>
  <c r="X77" i="18" s="1"/>
  <c r="N77" i="18"/>
  <c r="L77" i="18"/>
  <c r="D77" i="18"/>
  <c r="B77" i="18"/>
  <c r="Z76" i="18"/>
  <c r="X76" i="18"/>
  <c r="P76" i="18"/>
  <c r="N76" i="18"/>
  <c r="D76" i="18"/>
  <c r="L76" i="18" s="1"/>
  <c r="B76" i="18"/>
  <c r="Z75" i="18"/>
  <c r="P75" i="18"/>
  <c r="X75" i="18" s="1"/>
  <c r="N75" i="18"/>
  <c r="D75" i="18"/>
  <c r="L75" i="18" s="1"/>
  <c r="B75" i="18"/>
  <c r="Z74" i="18"/>
  <c r="P74" i="18"/>
  <c r="X74" i="18" s="1"/>
  <c r="N74" i="18"/>
  <c r="D74" i="18"/>
  <c r="L74" i="18" s="1"/>
  <c r="B74" i="18"/>
  <c r="Z73" i="18"/>
  <c r="X73" i="18"/>
  <c r="P73" i="18"/>
  <c r="N73" i="18"/>
  <c r="D73" i="18"/>
  <c r="L73" i="18" s="1"/>
  <c r="B73" i="18"/>
  <c r="Z72" i="18"/>
  <c r="X72" i="18"/>
  <c r="P72" i="18"/>
  <c r="N72" i="18"/>
  <c r="D72" i="18"/>
  <c r="L72" i="18" s="1"/>
  <c r="B72" i="18"/>
  <c r="Z71" i="18"/>
  <c r="X71" i="18"/>
  <c r="P71" i="18"/>
  <c r="N71" i="18"/>
  <c r="D71" i="18"/>
  <c r="L71" i="18" s="1"/>
  <c r="B71" i="18"/>
  <c r="Z70" i="18"/>
  <c r="P70" i="18"/>
  <c r="X70" i="18" s="1"/>
  <c r="N70" i="18"/>
  <c r="L70" i="18"/>
  <c r="D70" i="18"/>
  <c r="B70" i="18"/>
  <c r="Z69" i="18"/>
  <c r="X69" i="18"/>
  <c r="P69" i="18"/>
  <c r="N69" i="18"/>
  <c r="D69" i="18"/>
  <c r="L69" i="18" s="1"/>
  <c r="B69" i="18"/>
  <c r="Z68" i="18"/>
  <c r="P68" i="18"/>
  <c r="X68" i="18" s="1"/>
  <c r="N68" i="18"/>
  <c r="D68" i="18"/>
  <c r="L68" i="18" s="1"/>
  <c r="B68" i="18"/>
  <c r="Z67" i="18"/>
  <c r="X67" i="18"/>
  <c r="P67" i="18"/>
  <c r="N67" i="18"/>
  <c r="D67" i="18"/>
  <c r="L67" i="18" s="1"/>
  <c r="B67" i="18"/>
  <c r="Z66" i="18"/>
  <c r="P66" i="18"/>
  <c r="X66" i="18" s="1"/>
  <c r="N66" i="18"/>
  <c r="L66" i="18"/>
  <c r="D66" i="18"/>
  <c r="B66" i="18"/>
  <c r="Z65" i="18"/>
  <c r="P65" i="18"/>
  <c r="X65" i="18" s="1"/>
  <c r="N65" i="18"/>
  <c r="L65" i="18"/>
  <c r="D65" i="18"/>
  <c r="B65" i="18"/>
  <c r="Z64" i="18"/>
  <c r="X64" i="18"/>
  <c r="P64" i="18"/>
  <c r="N64" i="18"/>
  <c r="L64" i="18"/>
  <c r="D64" i="18"/>
  <c r="B64" i="18"/>
  <c r="Z63" i="18"/>
  <c r="P63" i="18"/>
  <c r="X63" i="18" s="1"/>
  <c r="N63" i="18"/>
  <c r="D63" i="18"/>
  <c r="L63" i="18" s="1"/>
  <c r="B63" i="18"/>
  <c r="Z62" i="18"/>
  <c r="P62" i="18"/>
  <c r="X62" i="18" s="1"/>
  <c r="N62" i="18"/>
  <c r="L62" i="18"/>
  <c r="D62" i="18"/>
  <c r="B62" i="18"/>
  <c r="Z61" i="18"/>
  <c r="X61" i="18"/>
  <c r="P61" i="18"/>
  <c r="N61" i="18"/>
  <c r="D61" i="18"/>
  <c r="L61" i="18" s="1"/>
  <c r="B61" i="18"/>
  <c r="Z60" i="18"/>
  <c r="P60" i="18"/>
  <c r="X60" i="18" s="1"/>
  <c r="N60" i="18"/>
  <c r="D60" i="18"/>
  <c r="L60" i="18" s="1"/>
  <c r="B60" i="18"/>
  <c r="Z59" i="18"/>
  <c r="P59" i="18"/>
  <c r="X59" i="18" s="1"/>
  <c r="N59" i="18"/>
  <c r="D59" i="18"/>
  <c r="L59" i="18" s="1"/>
  <c r="B59" i="18"/>
  <c r="Z58" i="18"/>
  <c r="X58" i="18"/>
  <c r="P58" i="18"/>
  <c r="N58" i="18"/>
  <c r="L58" i="18"/>
  <c r="D58" i="18"/>
  <c r="B58" i="18"/>
  <c r="Z57" i="18"/>
  <c r="X57" i="18"/>
  <c r="P57" i="18"/>
  <c r="N57" i="18"/>
  <c r="L57" i="18"/>
  <c r="D57" i="18"/>
  <c r="B57" i="18"/>
  <c r="Z56" i="18"/>
  <c r="P56" i="18"/>
  <c r="X56" i="18" s="1"/>
  <c r="N56" i="18"/>
  <c r="L56" i="18"/>
  <c r="D56" i="18"/>
  <c r="B56" i="18"/>
  <c r="Z55" i="18"/>
  <c r="X55" i="18"/>
  <c r="P55" i="18"/>
  <c r="N55" i="18"/>
  <c r="L55" i="18"/>
  <c r="D55" i="18"/>
  <c r="B55" i="18"/>
  <c r="Z54" i="18"/>
  <c r="P54" i="18"/>
  <c r="X54" i="18" s="1"/>
  <c r="N54" i="18"/>
  <c r="L54" i="18"/>
  <c r="D54" i="18"/>
  <c r="B54" i="18"/>
  <c r="Z53" i="18"/>
  <c r="X53" i="18"/>
  <c r="P53" i="18"/>
  <c r="N53" i="18"/>
  <c r="L53" i="18"/>
  <c r="D53" i="18"/>
  <c r="B53" i="18"/>
  <c r="Z52" i="18"/>
  <c r="X52" i="18"/>
  <c r="P52" i="18"/>
  <c r="N52" i="18"/>
  <c r="D52" i="18"/>
  <c r="L52" i="18" s="1"/>
  <c r="B52" i="18"/>
  <c r="Z51" i="18"/>
  <c r="X51" i="18"/>
  <c r="P51" i="18"/>
  <c r="N51" i="18"/>
  <c r="L51" i="18"/>
  <c r="D51" i="18"/>
  <c r="B51" i="18"/>
  <c r="Z50" i="18"/>
  <c r="P50" i="18"/>
  <c r="X50" i="18" s="1"/>
  <c r="N50" i="18"/>
  <c r="L50" i="18"/>
  <c r="D50" i="18"/>
  <c r="B50" i="18"/>
  <c r="Z49" i="18"/>
  <c r="X49" i="18"/>
  <c r="P49" i="18"/>
  <c r="N49" i="18"/>
  <c r="D49" i="18"/>
  <c r="L49" i="18" s="1"/>
  <c r="B49" i="18"/>
  <c r="Z48" i="18"/>
  <c r="P48" i="18"/>
  <c r="X48" i="18" s="1"/>
  <c r="N48" i="18"/>
  <c r="D48" i="18"/>
  <c r="L48" i="18" s="1"/>
  <c r="B48" i="18"/>
  <c r="Z47" i="18"/>
  <c r="X47" i="18"/>
  <c r="P47" i="18"/>
  <c r="N47" i="18"/>
  <c r="D47" i="18"/>
  <c r="L47" i="18" s="1"/>
  <c r="B47" i="18"/>
  <c r="Z46" i="18"/>
  <c r="P46" i="18"/>
  <c r="X46" i="18" s="1"/>
  <c r="N46" i="18"/>
  <c r="L46" i="18"/>
  <c r="D46" i="18"/>
  <c r="B46" i="18"/>
  <c r="Z45" i="18"/>
  <c r="X45" i="18"/>
  <c r="P45" i="18"/>
  <c r="N45" i="18"/>
  <c r="D45" i="18"/>
  <c r="L45" i="18" s="1"/>
  <c r="B45" i="18"/>
  <c r="Z44" i="18"/>
  <c r="P44" i="18"/>
  <c r="X44" i="18" s="1"/>
  <c r="N44" i="18"/>
  <c r="D44" i="18"/>
  <c r="L44" i="18" s="1"/>
  <c r="B44" i="18"/>
  <c r="Z43" i="18"/>
  <c r="P43" i="18"/>
  <c r="X43" i="18" s="1"/>
  <c r="N43" i="18"/>
  <c r="L43" i="18"/>
  <c r="D43" i="18"/>
  <c r="B43" i="18"/>
  <c r="Z42" i="18"/>
  <c r="X42" i="18"/>
  <c r="P42" i="18"/>
  <c r="N42" i="18"/>
  <c r="L42" i="18"/>
  <c r="D42" i="18"/>
  <c r="B42" i="18"/>
  <c r="Z41" i="18"/>
  <c r="P41" i="18"/>
  <c r="X41" i="18" s="1"/>
  <c r="N41" i="18"/>
  <c r="D41" i="18"/>
  <c r="L41" i="18" s="1"/>
  <c r="B41" i="18"/>
  <c r="Z40" i="18"/>
  <c r="X40" i="18"/>
  <c r="P40" i="18"/>
  <c r="N40" i="18"/>
  <c r="D40" i="18"/>
  <c r="L40" i="18" s="1"/>
  <c r="B40" i="18"/>
  <c r="Z39" i="18"/>
  <c r="X39" i="18"/>
  <c r="P39" i="18"/>
  <c r="N39" i="18"/>
  <c r="L39" i="18"/>
  <c r="D39" i="18"/>
  <c r="B39" i="18"/>
  <c r="Z38" i="18"/>
  <c r="P38" i="18"/>
  <c r="X38" i="18" s="1"/>
  <c r="N38" i="18"/>
  <c r="D38" i="18"/>
  <c r="L38" i="18" s="1"/>
  <c r="B38" i="18"/>
  <c r="P37" i="18"/>
  <c r="X37" i="18" s="1"/>
  <c r="Z37" i="18" s="1"/>
  <c r="D37" i="18"/>
  <c r="L37" i="18" s="1"/>
  <c r="N37" i="18" s="1"/>
  <c r="B37" i="18"/>
  <c r="Z36" i="18"/>
  <c r="P36" i="18"/>
  <c r="X36" i="18" s="1"/>
  <c r="N36" i="18"/>
  <c r="D36" i="18"/>
  <c r="L36" i="18" s="1"/>
  <c r="B36" i="18"/>
  <c r="Z35" i="18"/>
  <c r="X35" i="18"/>
  <c r="P35" i="18"/>
  <c r="N35" i="18"/>
  <c r="D35" i="18"/>
  <c r="L35" i="18" s="1"/>
  <c r="B35" i="18"/>
  <c r="Z34" i="18"/>
  <c r="P34" i="18"/>
  <c r="X34" i="18" s="1"/>
  <c r="N34" i="18"/>
  <c r="L34" i="18"/>
  <c r="D34" i="18"/>
  <c r="B34" i="18"/>
  <c r="Z33" i="18"/>
  <c r="X33" i="18"/>
  <c r="P33" i="18"/>
  <c r="N33" i="18"/>
  <c r="L33" i="18"/>
  <c r="D33" i="18"/>
  <c r="B33" i="18"/>
  <c r="Z32" i="18"/>
  <c r="X32" i="18"/>
  <c r="P32" i="18"/>
  <c r="N32" i="18"/>
  <c r="L32" i="18"/>
  <c r="D32" i="18"/>
  <c r="B32" i="18"/>
  <c r="Z31" i="18"/>
  <c r="P31" i="18"/>
  <c r="X31" i="18" s="1"/>
  <c r="N31" i="18"/>
  <c r="D31" i="18"/>
  <c r="L31" i="18" s="1"/>
  <c r="B31" i="18"/>
  <c r="Z30" i="18"/>
  <c r="P30" i="18"/>
  <c r="X30" i="18" s="1"/>
  <c r="N30" i="18"/>
  <c r="D30" i="18"/>
  <c r="L30" i="18" s="1"/>
  <c r="B30" i="18"/>
  <c r="Z29" i="18"/>
  <c r="P29" i="18"/>
  <c r="X29" i="18" s="1"/>
  <c r="N29" i="18"/>
  <c r="L29" i="18"/>
  <c r="D29" i="18"/>
  <c r="B29" i="18"/>
  <c r="Z28" i="18"/>
  <c r="X28" i="18"/>
  <c r="P28" i="18"/>
  <c r="N28" i="18"/>
  <c r="D28" i="18"/>
  <c r="L28" i="18" s="1"/>
  <c r="B28" i="18"/>
  <c r="Z27" i="18"/>
  <c r="P27" i="18"/>
  <c r="X27" i="18" s="1"/>
  <c r="N27" i="18"/>
  <c r="D27" i="18"/>
  <c r="L27" i="18" s="1"/>
  <c r="B27" i="18"/>
  <c r="Z26" i="18"/>
  <c r="X26" i="18"/>
  <c r="P26" i="18"/>
  <c r="N26" i="18"/>
  <c r="D26" i="18"/>
  <c r="L26" i="18" s="1"/>
  <c r="B26" i="18"/>
  <c r="Z25" i="18"/>
  <c r="X25" i="18"/>
  <c r="P25" i="18"/>
  <c r="N25" i="18"/>
  <c r="L25" i="18"/>
  <c r="D25" i="18"/>
  <c r="B25" i="18"/>
  <c r="Z24" i="18"/>
  <c r="X24" i="18"/>
  <c r="P24" i="18"/>
  <c r="N24" i="18"/>
  <c r="D24" i="18"/>
  <c r="L24" i="18" s="1"/>
  <c r="B24" i="18"/>
  <c r="Z23" i="18"/>
  <c r="X23" i="18"/>
  <c r="P23" i="18"/>
  <c r="N23" i="18"/>
  <c r="L23" i="18"/>
  <c r="D23" i="18"/>
  <c r="B23" i="18"/>
  <c r="Z22" i="18"/>
  <c r="P22" i="18"/>
  <c r="X22" i="18" s="1"/>
  <c r="N22" i="18"/>
  <c r="L22" i="18"/>
  <c r="D22" i="18"/>
  <c r="B22" i="18"/>
  <c r="Z21" i="18"/>
  <c r="P21" i="18"/>
  <c r="X21" i="18" s="1"/>
  <c r="N21" i="18"/>
  <c r="L21" i="18"/>
  <c r="D21" i="18"/>
  <c r="B21" i="18"/>
  <c r="Z20" i="18"/>
  <c r="X20" i="18"/>
  <c r="P20" i="18"/>
  <c r="N20" i="18"/>
  <c r="L20" i="18"/>
  <c r="D20" i="18"/>
  <c r="B20" i="18"/>
  <c r="Z19" i="18"/>
  <c r="P19" i="18"/>
  <c r="X19" i="18" s="1"/>
  <c r="N19" i="18"/>
  <c r="D19" i="18"/>
  <c r="L19" i="18" s="1"/>
  <c r="B19" i="18"/>
  <c r="Z18" i="18"/>
  <c r="P18" i="18"/>
  <c r="X18" i="18" s="1"/>
  <c r="N18" i="18"/>
  <c r="D18" i="18"/>
  <c r="L18" i="18" s="1"/>
  <c r="B18" i="18"/>
  <c r="Z17" i="18"/>
  <c r="P17" i="18"/>
  <c r="X17" i="18" s="1"/>
  <c r="N17" i="18"/>
  <c r="L17" i="18"/>
  <c r="D17" i="18"/>
  <c r="B17" i="18"/>
  <c r="Z16" i="18"/>
  <c r="X16" i="18"/>
  <c r="P16" i="18"/>
  <c r="N16" i="18"/>
  <c r="D16" i="18"/>
  <c r="L16" i="18" s="1"/>
  <c r="B16" i="18"/>
  <c r="Z15" i="18"/>
  <c r="P15" i="18"/>
  <c r="N15" i="18"/>
  <c r="D15" i="18"/>
  <c r="L15" i="18" s="1"/>
  <c r="B15" i="18"/>
  <c r="Z14" i="18"/>
  <c r="X14" i="18"/>
  <c r="P14" i="18"/>
  <c r="N14" i="18"/>
  <c r="D14" i="18"/>
  <c r="L14" i="18" s="1"/>
  <c r="B14" i="18"/>
  <c r="X13" i="18"/>
  <c r="Z13" i="18" s="1"/>
  <c r="P13" i="18"/>
  <c r="N13" i="18"/>
  <c r="L13" i="18"/>
  <c r="D13" i="18"/>
  <c r="B13" i="18"/>
  <c r="T12" i="18"/>
  <c r="V237" i="18" s="1"/>
  <c r="H12" i="18"/>
  <c r="J198" i="18" s="1"/>
  <c r="D4" i="18"/>
  <c r="Z220" i="15"/>
  <c r="X220" i="15"/>
  <c r="L220" i="15"/>
  <c r="N220" i="15" s="1"/>
  <c r="J220" i="15"/>
  <c r="Z216" i="15"/>
  <c r="P216" i="15"/>
  <c r="X216" i="15" s="1"/>
  <c r="N216" i="15"/>
  <c r="D216" i="15"/>
  <c r="L216" i="15" s="1"/>
  <c r="B216" i="15"/>
  <c r="Z215" i="15"/>
  <c r="P215" i="15"/>
  <c r="X215" i="15" s="1"/>
  <c r="N215" i="15"/>
  <c r="D215" i="15"/>
  <c r="L215" i="15" s="1"/>
  <c r="B215" i="15"/>
  <c r="X214" i="15"/>
  <c r="Z214" i="15" s="1"/>
  <c r="P214" i="15"/>
  <c r="L214" i="15"/>
  <c r="N214" i="15" s="1"/>
  <c r="D214" i="15"/>
  <c r="B214" i="15"/>
  <c r="X213" i="15"/>
  <c r="Z213" i="15" s="1"/>
  <c r="P213" i="15"/>
  <c r="D213" i="15"/>
  <c r="L213" i="15" s="1"/>
  <c r="N213" i="15" s="1"/>
  <c r="B213" i="15"/>
  <c r="V212" i="15"/>
  <c r="T212" i="15"/>
  <c r="H212" i="15"/>
  <c r="X210" i="15"/>
  <c r="Z210" i="15" s="1"/>
  <c r="L210" i="15"/>
  <c r="N210" i="15" s="1"/>
  <c r="B210" i="15"/>
  <c r="T209" i="15"/>
  <c r="P209" i="15"/>
  <c r="X209" i="15" s="1"/>
  <c r="H209" i="15"/>
  <c r="D209" i="15"/>
  <c r="L209" i="15" s="1"/>
  <c r="N209" i="15" s="1"/>
  <c r="B209" i="15"/>
  <c r="Z208" i="15"/>
  <c r="X208" i="15"/>
  <c r="L208" i="15"/>
  <c r="N208" i="15" s="1"/>
  <c r="B208" i="15"/>
  <c r="X207" i="15"/>
  <c r="Z207" i="15" s="1"/>
  <c r="L207" i="15"/>
  <c r="N207" i="15" s="1"/>
  <c r="B207" i="15"/>
  <c r="Z206" i="15"/>
  <c r="X206" i="15"/>
  <c r="N206" i="15"/>
  <c r="L206" i="15"/>
  <c r="B206" i="15"/>
  <c r="X205" i="15"/>
  <c r="Z205" i="15" s="1"/>
  <c r="T205" i="15"/>
  <c r="P205" i="15"/>
  <c r="L205" i="15"/>
  <c r="H205" i="15"/>
  <c r="N205" i="15" s="1"/>
  <c r="D205" i="15"/>
  <c r="B205" i="15"/>
  <c r="Z204" i="15"/>
  <c r="X204" i="15"/>
  <c r="N204" i="15"/>
  <c r="L204" i="15"/>
  <c r="B204" i="15"/>
  <c r="T203" i="15"/>
  <c r="P203" i="15"/>
  <c r="H203" i="15"/>
  <c r="D203" i="15"/>
  <c r="L203" i="15" s="1"/>
  <c r="B203" i="15"/>
  <c r="X202" i="15"/>
  <c r="Z202" i="15" s="1"/>
  <c r="V202" i="15"/>
  <c r="L202" i="15"/>
  <c r="N202" i="15" s="1"/>
  <c r="B202" i="15"/>
  <c r="X201" i="15"/>
  <c r="Z201" i="15" s="1"/>
  <c r="L201" i="15"/>
  <c r="N201" i="15" s="1"/>
  <c r="J201" i="15"/>
  <c r="B201" i="15"/>
  <c r="T200" i="15"/>
  <c r="P200" i="15"/>
  <c r="X200" i="15" s="1"/>
  <c r="Z200" i="15" s="1"/>
  <c r="J200" i="15"/>
  <c r="H200" i="15"/>
  <c r="D200" i="15"/>
  <c r="B200" i="15"/>
  <c r="X199" i="15"/>
  <c r="Z199" i="15" s="1"/>
  <c r="L199" i="15"/>
  <c r="N199" i="15" s="1"/>
  <c r="B199" i="15"/>
  <c r="X198" i="15"/>
  <c r="Z198" i="15" s="1"/>
  <c r="N198" i="15"/>
  <c r="L198" i="15"/>
  <c r="B198" i="15"/>
  <c r="X197" i="15"/>
  <c r="Z197" i="15" s="1"/>
  <c r="N197" i="15"/>
  <c r="L197" i="15"/>
  <c r="B197" i="15"/>
  <c r="Z196" i="15"/>
  <c r="X196" i="15"/>
  <c r="N196" i="15"/>
  <c r="L196" i="15"/>
  <c r="B196" i="15"/>
  <c r="X195" i="15"/>
  <c r="Z195" i="15" s="1"/>
  <c r="L195" i="15"/>
  <c r="N195" i="15" s="1"/>
  <c r="B195" i="15"/>
  <c r="X194" i="15"/>
  <c r="Z194" i="15" s="1"/>
  <c r="N194" i="15"/>
  <c r="L194" i="15"/>
  <c r="B194" i="15"/>
  <c r="X193" i="15"/>
  <c r="Z193" i="15" s="1"/>
  <c r="N193" i="15"/>
  <c r="L193" i="15"/>
  <c r="B193" i="15"/>
  <c r="Z192" i="15"/>
  <c r="X192" i="15"/>
  <c r="L192" i="15"/>
  <c r="N192" i="15" s="1"/>
  <c r="B192" i="15"/>
  <c r="X191" i="15"/>
  <c r="Z191" i="15" s="1"/>
  <c r="L191" i="15"/>
  <c r="N191" i="15" s="1"/>
  <c r="B191" i="15"/>
  <c r="X190" i="15"/>
  <c r="T190" i="15"/>
  <c r="Z190" i="15" s="1"/>
  <c r="P190" i="15"/>
  <c r="H190" i="15"/>
  <c r="N190" i="15" s="1"/>
  <c r="D190" i="15"/>
  <c r="L190" i="15" s="1"/>
  <c r="B190" i="15"/>
  <c r="Z189" i="15"/>
  <c r="X189" i="15"/>
  <c r="N189" i="15"/>
  <c r="L189" i="15"/>
  <c r="B189" i="15"/>
  <c r="X188" i="15"/>
  <c r="Z188" i="15" s="1"/>
  <c r="N188" i="15"/>
  <c r="L188" i="15"/>
  <c r="B188" i="15"/>
  <c r="T187" i="15"/>
  <c r="P187" i="15"/>
  <c r="H187" i="15"/>
  <c r="N187" i="15" s="1"/>
  <c r="D187" i="15"/>
  <c r="L187" i="15" s="1"/>
  <c r="B187" i="15"/>
  <c r="X186" i="15"/>
  <c r="Z186" i="15" s="1"/>
  <c r="L186" i="15"/>
  <c r="N186" i="15" s="1"/>
  <c r="B186" i="15"/>
  <c r="X185" i="15"/>
  <c r="Z185" i="15" s="1"/>
  <c r="L185" i="15"/>
  <c r="N185" i="15" s="1"/>
  <c r="J185" i="15"/>
  <c r="B185" i="15"/>
  <c r="Z184" i="15"/>
  <c r="X184" i="15"/>
  <c r="N184" i="15"/>
  <c r="L184" i="15"/>
  <c r="B184" i="15"/>
  <c r="Z183" i="15"/>
  <c r="X183" i="15"/>
  <c r="L183" i="15"/>
  <c r="N183" i="15" s="1"/>
  <c r="B183" i="15"/>
  <c r="T182" i="15"/>
  <c r="P182" i="15"/>
  <c r="H182" i="15"/>
  <c r="D182" i="15"/>
  <c r="L182" i="15" s="1"/>
  <c r="N182" i="15" s="1"/>
  <c r="B182" i="15"/>
  <c r="X181" i="15"/>
  <c r="Z181" i="15" s="1"/>
  <c r="N181" i="15"/>
  <c r="L181" i="15"/>
  <c r="B181" i="15"/>
  <c r="Z180" i="15"/>
  <c r="X180" i="15"/>
  <c r="N180" i="15"/>
  <c r="L180" i="15"/>
  <c r="B180" i="15"/>
  <c r="X179" i="15"/>
  <c r="Z179" i="15" s="1"/>
  <c r="L179" i="15"/>
  <c r="N179" i="15" s="1"/>
  <c r="B179" i="15"/>
  <c r="X178" i="15"/>
  <c r="Z178" i="15" s="1"/>
  <c r="N178" i="15"/>
  <c r="L178" i="15"/>
  <c r="B178" i="15"/>
  <c r="X177" i="15"/>
  <c r="Z177" i="15" s="1"/>
  <c r="V177" i="15"/>
  <c r="T177" i="15"/>
  <c r="P177" i="15"/>
  <c r="L177" i="15"/>
  <c r="H177" i="15"/>
  <c r="N177" i="15" s="1"/>
  <c r="D177" i="15"/>
  <c r="B177" i="15"/>
  <c r="Z176" i="15"/>
  <c r="X176" i="15"/>
  <c r="N176" i="15"/>
  <c r="L176" i="15"/>
  <c r="B176" i="15"/>
  <c r="X175" i="15"/>
  <c r="Z175" i="15" s="1"/>
  <c r="N175" i="15"/>
  <c r="L175" i="15"/>
  <c r="B175" i="15"/>
  <c r="Z174" i="15"/>
  <c r="X174" i="15"/>
  <c r="N174" i="15"/>
  <c r="L174" i="15"/>
  <c r="J174" i="15"/>
  <c r="B174" i="15"/>
  <c r="Z173" i="15"/>
  <c r="X173" i="15"/>
  <c r="N173" i="15"/>
  <c r="L173" i="15"/>
  <c r="B173" i="15"/>
  <c r="Z172" i="15"/>
  <c r="X172" i="15"/>
  <c r="T172" i="15"/>
  <c r="P172" i="15"/>
  <c r="H172" i="15"/>
  <c r="D172" i="15"/>
  <c r="L172" i="15" s="1"/>
  <c r="N172" i="15" s="1"/>
  <c r="B172" i="15"/>
  <c r="Z171" i="15"/>
  <c r="X171" i="15"/>
  <c r="L171" i="15"/>
  <c r="N171" i="15" s="1"/>
  <c r="B171" i="15"/>
  <c r="T170" i="15"/>
  <c r="P170" i="15"/>
  <c r="H170" i="15"/>
  <c r="D170" i="15"/>
  <c r="L170" i="15" s="1"/>
  <c r="N170" i="15" s="1"/>
  <c r="B170" i="15"/>
  <c r="X169" i="15"/>
  <c r="Z169" i="15" s="1"/>
  <c r="N169" i="15"/>
  <c r="L169" i="15"/>
  <c r="B169" i="15"/>
  <c r="T168" i="15"/>
  <c r="Z168" i="15" s="1"/>
  <c r="P168" i="15"/>
  <c r="X168" i="15" s="1"/>
  <c r="L168" i="15"/>
  <c r="H168" i="15"/>
  <c r="N168" i="15" s="1"/>
  <c r="D168" i="15"/>
  <c r="B168" i="15"/>
  <c r="X167" i="15"/>
  <c r="Z167" i="15" s="1"/>
  <c r="N167" i="15"/>
  <c r="L167" i="15"/>
  <c r="B167" i="15"/>
  <c r="T166" i="15"/>
  <c r="P166" i="15"/>
  <c r="X166" i="15" s="1"/>
  <c r="Z166" i="15" s="1"/>
  <c r="N166" i="15"/>
  <c r="L166" i="15"/>
  <c r="H166" i="15"/>
  <c r="D166" i="15"/>
  <c r="B166" i="15"/>
  <c r="X165" i="15"/>
  <c r="Z165" i="15" s="1"/>
  <c r="L165" i="15"/>
  <c r="N165" i="15" s="1"/>
  <c r="J165" i="15"/>
  <c r="B165" i="15"/>
  <c r="T164" i="15"/>
  <c r="P164" i="15"/>
  <c r="X164" i="15" s="1"/>
  <c r="Z164" i="15" s="1"/>
  <c r="H164" i="15"/>
  <c r="D164" i="15"/>
  <c r="B164" i="15"/>
  <c r="X163" i="15"/>
  <c r="Z163" i="15" s="1"/>
  <c r="L163" i="15"/>
  <c r="N163" i="15" s="1"/>
  <c r="J163" i="15"/>
  <c r="B163" i="15"/>
  <c r="X162" i="15"/>
  <c r="Z162" i="15" s="1"/>
  <c r="N162" i="15"/>
  <c r="L162" i="15"/>
  <c r="B162" i="15"/>
  <c r="X161" i="15"/>
  <c r="Z161" i="15" s="1"/>
  <c r="N161" i="15"/>
  <c r="L161" i="15"/>
  <c r="B161" i="15"/>
  <c r="T160" i="15"/>
  <c r="P160" i="15"/>
  <c r="X160" i="15" s="1"/>
  <c r="L160" i="15"/>
  <c r="H160" i="15"/>
  <c r="N160" i="15" s="1"/>
  <c r="D160" i="15"/>
  <c r="B160" i="15"/>
  <c r="X159" i="15"/>
  <c r="Z159" i="15" s="1"/>
  <c r="N159" i="15"/>
  <c r="L159" i="15"/>
  <c r="B159" i="15"/>
  <c r="Z158" i="15"/>
  <c r="X158" i="15"/>
  <c r="L158" i="15"/>
  <c r="N158" i="15" s="1"/>
  <c r="J158" i="15"/>
  <c r="B158" i="15"/>
  <c r="T157" i="15"/>
  <c r="P157" i="15"/>
  <c r="X157" i="15" s="1"/>
  <c r="H157" i="15"/>
  <c r="D157" i="15"/>
  <c r="B157" i="15"/>
  <c r="Z156" i="15"/>
  <c r="X156" i="15"/>
  <c r="N156" i="15"/>
  <c r="L156" i="15"/>
  <c r="B156" i="15"/>
  <c r="Z155" i="15"/>
  <c r="T155" i="15"/>
  <c r="P155" i="15"/>
  <c r="X155" i="15" s="1"/>
  <c r="H155" i="15"/>
  <c r="D155" i="15"/>
  <c r="L155" i="15" s="1"/>
  <c r="B155" i="15"/>
  <c r="X154" i="15"/>
  <c r="Z154" i="15" s="1"/>
  <c r="N154" i="15"/>
  <c r="L154" i="15"/>
  <c r="B154" i="15"/>
  <c r="X153" i="15"/>
  <c r="Z153" i="15" s="1"/>
  <c r="T153" i="15"/>
  <c r="P153" i="15"/>
  <c r="L153" i="15"/>
  <c r="H153" i="15"/>
  <c r="N153" i="15" s="1"/>
  <c r="D153" i="15"/>
  <c r="B153" i="15"/>
  <c r="Z152" i="15"/>
  <c r="X152" i="15"/>
  <c r="N152" i="15"/>
  <c r="L152" i="15"/>
  <c r="B152" i="15"/>
  <c r="Z151" i="15"/>
  <c r="X151" i="15"/>
  <c r="N151" i="15"/>
  <c r="L151" i="15"/>
  <c r="B151" i="15"/>
  <c r="T150" i="15"/>
  <c r="P150" i="15"/>
  <c r="X150" i="15" s="1"/>
  <c r="Z150" i="15" s="1"/>
  <c r="N150" i="15"/>
  <c r="L150" i="15"/>
  <c r="H150" i="15"/>
  <c r="D150" i="15"/>
  <c r="B150" i="15"/>
  <c r="Z149" i="15"/>
  <c r="X149" i="15"/>
  <c r="N149" i="15"/>
  <c r="L149" i="15"/>
  <c r="J149" i="15"/>
  <c r="B149" i="15"/>
  <c r="Z148" i="15"/>
  <c r="X148" i="15"/>
  <c r="N148" i="15"/>
  <c r="L148" i="15"/>
  <c r="B148" i="15"/>
  <c r="Z147" i="15"/>
  <c r="T147" i="15"/>
  <c r="P147" i="15"/>
  <c r="X147" i="15" s="1"/>
  <c r="H147" i="15"/>
  <c r="N147" i="15" s="1"/>
  <c r="D147" i="15"/>
  <c r="L147" i="15" s="1"/>
  <c r="B147" i="15"/>
  <c r="X146" i="15"/>
  <c r="Z146" i="15" s="1"/>
  <c r="N146" i="15"/>
  <c r="L146" i="15"/>
  <c r="B146" i="15"/>
  <c r="Z145" i="15"/>
  <c r="X145" i="15"/>
  <c r="N145" i="15"/>
  <c r="L145" i="15"/>
  <c r="B145" i="15"/>
  <c r="T144" i="15"/>
  <c r="P144" i="15"/>
  <c r="X144" i="15" s="1"/>
  <c r="L144" i="15"/>
  <c r="H144" i="15"/>
  <c r="N144" i="15" s="1"/>
  <c r="D144" i="15"/>
  <c r="B144" i="15"/>
  <c r="X143" i="15"/>
  <c r="Z143" i="15" s="1"/>
  <c r="N143" i="15"/>
  <c r="L143" i="15"/>
  <c r="B143" i="15"/>
  <c r="T142" i="15"/>
  <c r="P142" i="15"/>
  <c r="X142" i="15" s="1"/>
  <c r="Z142" i="15" s="1"/>
  <c r="L142" i="15"/>
  <c r="N142" i="15" s="1"/>
  <c r="H142" i="15"/>
  <c r="D142" i="15"/>
  <c r="B142" i="15"/>
  <c r="X141" i="15"/>
  <c r="Z141" i="15" s="1"/>
  <c r="L141" i="15"/>
  <c r="N141" i="15" s="1"/>
  <c r="J141" i="15"/>
  <c r="B141" i="15"/>
  <c r="Z140" i="15"/>
  <c r="X140" i="15"/>
  <c r="N140" i="15"/>
  <c r="L140" i="15"/>
  <c r="B140" i="15"/>
  <c r="T139" i="15"/>
  <c r="P139" i="15"/>
  <c r="X139" i="15" s="1"/>
  <c r="Z139" i="15" s="1"/>
  <c r="H139" i="15"/>
  <c r="D139" i="15"/>
  <c r="L139" i="15" s="1"/>
  <c r="B139" i="15"/>
  <c r="X138" i="15"/>
  <c r="Z138" i="15" s="1"/>
  <c r="N138" i="15"/>
  <c r="L138" i="15"/>
  <c r="B138" i="15"/>
  <c r="X137" i="15"/>
  <c r="Z137" i="15" s="1"/>
  <c r="V137" i="15"/>
  <c r="T137" i="15"/>
  <c r="P137" i="15"/>
  <c r="L137" i="15"/>
  <c r="H137" i="15"/>
  <c r="N137" i="15" s="1"/>
  <c r="D137" i="15"/>
  <c r="B137" i="15"/>
  <c r="Z136" i="15"/>
  <c r="X136" i="15"/>
  <c r="N136" i="15"/>
  <c r="L136" i="15"/>
  <c r="J136" i="15"/>
  <c r="B136" i="15"/>
  <c r="Z135" i="15"/>
  <c r="X135" i="15"/>
  <c r="N135" i="15"/>
  <c r="L135" i="15"/>
  <c r="B135" i="15"/>
  <c r="Z134" i="15"/>
  <c r="X134" i="15"/>
  <c r="L134" i="15"/>
  <c r="N134" i="15" s="1"/>
  <c r="J134" i="15"/>
  <c r="B134" i="15"/>
  <c r="Z133" i="15"/>
  <c r="X133" i="15"/>
  <c r="L133" i="15"/>
  <c r="N133" i="15" s="1"/>
  <c r="B133" i="15"/>
  <c r="Z132" i="15"/>
  <c r="X132" i="15"/>
  <c r="N132" i="15"/>
  <c r="L132" i="15"/>
  <c r="J132" i="15"/>
  <c r="B132" i="15"/>
  <c r="X131" i="15"/>
  <c r="Z131" i="15" s="1"/>
  <c r="N131" i="15"/>
  <c r="L131" i="15"/>
  <c r="B131" i="15"/>
  <c r="Z130" i="15"/>
  <c r="X130" i="15"/>
  <c r="L130" i="15"/>
  <c r="N130" i="15" s="1"/>
  <c r="J130" i="15"/>
  <c r="B130" i="15"/>
  <c r="Z129" i="15"/>
  <c r="X129" i="15"/>
  <c r="N129" i="15"/>
  <c r="L129" i="15"/>
  <c r="B129" i="15"/>
  <c r="Z128" i="15"/>
  <c r="X128" i="15"/>
  <c r="N128" i="15"/>
  <c r="L128" i="15"/>
  <c r="J128" i="15"/>
  <c r="B128" i="15"/>
  <c r="X127" i="15"/>
  <c r="Z127" i="15" s="1"/>
  <c r="N127" i="15"/>
  <c r="L127" i="15"/>
  <c r="B127" i="15"/>
  <c r="T126" i="15"/>
  <c r="P126" i="15"/>
  <c r="X126" i="15" s="1"/>
  <c r="Z126" i="15" s="1"/>
  <c r="L126" i="15"/>
  <c r="N126" i="15" s="1"/>
  <c r="H126" i="15"/>
  <c r="D126" i="15"/>
  <c r="B126" i="15"/>
  <c r="X125" i="15"/>
  <c r="Z125" i="15" s="1"/>
  <c r="L125" i="15"/>
  <c r="N125" i="15" s="1"/>
  <c r="J125" i="15"/>
  <c r="B125" i="15"/>
  <c r="Z124" i="15"/>
  <c r="X124" i="15"/>
  <c r="N124" i="15"/>
  <c r="L124" i="15"/>
  <c r="B124" i="15"/>
  <c r="Z123" i="15"/>
  <c r="X123" i="15"/>
  <c r="L123" i="15"/>
  <c r="N123" i="15" s="1"/>
  <c r="B123" i="15"/>
  <c r="Z122" i="15"/>
  <c r="X122" i="15"/>
  <c r="V122" i="15"/>
  <c r="N122" i="15"/>
  <c r="L122" i="15"/>
  <c r="B122" i="15"/>
  <c r="Z121" i="15"/>
  <c r="X121" i="15"/>
  <c r="N121" i="15"/>
  <c r="L121" i="15"/>
  <c r="J121" i="15"/>
  <c r="B121" i="15"/>
  <c r="Z120" i="15"/>
  <c r="X120" i="15"/>
  <c r="N120" i="15"/>
  <c r="L120" i="15"/>
  <c r="B120" i="15"/>
  <c r="Z119" i="15"/>
  <c r="X119" i="15"/>
  <c r="L119" i="15"/>
  <c r="N119" i="15" s="1"/>
  <c r="B119" i="15"/>
  <c r="X118" i="15"/>
  <c r="Z118" i="15" s="1"/>
  <c r="L118" i="15"/>
  <c r="N118" i="15" s="1"/>
  <c r="B118" i="15"/>
  <c r="X117" i="15"/>
  <c r="Z117" i="15" s="1"/>
  <c r="L117" i="15"/>
  <c r="N117" i="15" s="1"/>
  <c r="J117" i="15"/>
  <c r="B117" i="15"/>
  <c r="Z116" i="15"/>
  <c r="X116" i="15"/>
  <c r="N116" i="15"/>
  <c r="L116" i="15"/>
  <c r="B116" i="15"/>
  <c r="T115" i="15"/>
  <c r="P115" i="15"/>
  <c r="X115" i="15" s="1"/>
  <c r="Z115" i="15" s="1"/>
  <c r="H115" i="15"/>
  <c r="N115" i="15" s="1"/>
  <c r="D115" i="15"/>
  <c r="L115" i="15" s="1"/>
  <c r="B115" i="15"/>
  <c r="T114" i="15"/>
  <c r="P114" i="15"/>
  <c r="X114" i="15" s="1"/>
  <c r="H114" i="15"/>
  <c r="D114" i="15"/>
  <c r="L114" i="15" s="1"/>
  <c r="H112" i="15"/>
  <c r="Z110" i="15"/>
  <c r="X110" i="15"/>
  <c r="N110" i="15"/>
  <c r="L110" i="15"/>
  <c r="B110" i="15"/>
  <c r="Z109" i="15"/>
  <c r="X109" i="15"/>
  <c r="N109" i="15"/>
  <c r="L109" i="15"/>
  <c r="B109" i="15"/>
  <c r="Z108" i="15"/>
  <c r="X108" i="15"/>
  <c r="N108" i="15"/>
  <c r="L108" i="15"/>
  <c r="B108" i="15"/>
  <c r="Z107" i="15"/>
  <c r="X107" i="15"/>
  <c r="N107" i="15"/>
  <c r="L107" i="15"/>
  <c r="J107" i="15"/>
  <c r="B107" i="15"/>
  <c r="Z106" i="15"/>
  <c r="X106" i="15"/>
  <c r="N106" i="15"/>
  <c r="L106" i="15"/>
  <c r="B106" i="15"/>
  <c r="Z105" i="15"/>
  <c r="X105" i="15"/>
  <c r="N105" i="15"/>
  <c r="L105" i="15"/>
  <c r="B105" i="15"/>
  <c r="Z104" i="15"/>
  <c r="X104" i="15"/>
  <c r="N104" i="15"/>
  <c r="L104" i="15"/>
  <c r="B104" i="15"/>
  <c r="Z103" i="15"/>
  <c r="X103" i="15"/>
  <c r="N103" i="15"/>
  <c r="L103" i="15"/>
  <c r="J103" i="15"/>
  <c r="B103" i="15"/>
  <c r="Z102" i="15"/>
  <c r="X102" i="15"/>
  <c r="N102" i="15"/>
  <c r="L102" i="15"/>
  <c r="B102" i="15"/>
  <c r="Z101" i="15"/>
  <c r="X101" i="15"/>
  <c r="N101" i="15"/>
  <c r="L101" i="15"/>
  <c r="B101" i="15"/>
  <c r="Z100" i="15"/>
  <c r="X100" i="15"/>
  <c r="N100" i="15"/>
  <c r="L100" i="15"/>
  <c r="B100" i="15"/>
  <c r="Z99" i="15"/>
  <c r="X99" i="15"/>
  <c r="N99" i="15"/>
  <c r="L99" i="15"/>
  <c r="J99" i="15"/>
  <c r="B99" i="15"/>
  <c r="Z98" i="15"/>
  <c r="X98" i="15"/>
  <c r="N98" i="15"/>
  <c r="L98" i="15"/>
  <c r="J98" i="15"/>
  <c r="B98" i="15"/>
  <c r="Z97" i="15"/>
  <c r="X97" i="15"/>
  <c r="N97" i="15"/>
  <c r="L97" i="15"/>
  <c r="B97" i="15"/>
  <c r="Z96" i="15"/>
  <c r="X96" i="15"/>
  <c r="N96" i="15"/>
  <c r="L96" i="15"/>
  <c r="B96" i="15"/>
  <c r="Z95" i="15"/>
  <c r="X95" i="15"/>
  <c r="N95" i="15"/>
  <c r="L95" i="15"/>
  <c r="J95" i="15"/>
  <c r="B95" i="15"/>
  <c r="Z94" i="15"/>
  <c r="X94" i="15"/>
  <c r="N94" i="15"/>
  <c r="L94" i="15"/>
  <c r="J94" i="15"/>
  <c r="B94" i="15"/>
  <c r="Z93" i="15"/>
  <c r="X93" i="15"/>
  <c r="N93" i="15"/>
  <c r="L93" i="15"/>
  <c r="B93" i="15"/>
  <c r="Z92" i="15"/>
  <c r="X92" i="15"/>
  <c r="N92" i="15"/>
  <c r="L92" i="15"/>
  <c r="B92" i="15"/>
  <c r="Z91" i="15"/>
  <c r="X91" i="15"/>
  <c r="N91" i="15"/>
  <c r="L91" i="15"/>
  <c r="J91" i="15"/>
  <c r="B91" i="15"/>
  <c r="Z90" i="15"/>
  <c r="X90" i="15"/>
  <c r="N90" i="15"/>
  <c r="L90" i="15"/>
  <c r="J90" i="15"/>
  <c r="B90" i="15"/>
  <c r="Z89" i="15"/>
  <c r="X89" i="15"/>
  <c r="N89" i="15"/>
  <c r="L89" i="15"/>
  <c r="B89" i="15"/>
  <c r="Z88" i="15"/>
  <c r="X88" i="15"/>
  <c r="N88" i="15"/>
  <c r="L88" i="15"/>
  <c r="B88" i="15"/>
  <c r="Z87" i="15"/>
  <c r="X87" i="15"/>
  <c r="N87" i="15"/>
  <c r="L87" i="15"/>
  <c r="J87" i="15"/>
  <c r="B87" i="15"/>
  <c r="Z86" i="15"/>
  <c r="X86" i="15"/>
  <c r="N86" i="15"/>
  <c r="L86" i="15"/>
  <c r="J86" i="15"/>
  <c r="B86" i="15"/>
  <c r="Z85" i="15"/>
  <c r="X85" i="15"/>
  <c r="N85" i="15"/>
  <c r="L85" i="15"/>
  <c r="B85" i="15"/>
  <c r="Z84" i="15"/>
  <c r="X84" i="15"/>
  <c r="N84" i="15"/>
  <c r="L84" i="15"/>
  <c r="B84" i="15"/>
  <c r="Z83" i="15"/>
  <c r="X83" i="15"/>
  <c r="N83" i="15"/>
  <c r="L83" i="15"/>
  <c r="J83" i="15"/>
  <c r="B83" i="15"/>
  <c r="Z82" i="15"/>
  <c r="X82" i="15"/>
  <c r="N82" i="15"/>
  <c r="L82" i="15"/>
  <c r="J82" i="15"/>
  <c r="B82" i="15"/>
  <c r="Z81" i="15"/>
  <c r="X81" i="15"/>
  <c r="N81" i="15"/>
  <c r="L81" i="15"/>
  <c r="B81" i="15"/>
  <c r="Z80" i="15"/>
  <c r="X80" i="15"/>
  <c r="N80" i="15"/>
  <c r="L80" i="15"/>
  <c r="B80" i="15"/>
  <c r="Z79" i="15"/>
  <c r="X79" i="15"/>
  <c r="N79" i="15"/>
  <c r="L79" i="15"/>
  <c r="J79" i="15"/>
  <c r="B79" i="15"/>
  <c r="Z78" i="15"/>
  <c r="X78" i="15"/>
  <c r="N78" i="15"/>
  <c r="L78" i="15"/>
  <c r="J78" i="15"/>
  <c r="B78" i="15"/>
  <c r="X77" i="15"/>
  <c r="Z77" i="15" s="1"/>
  <c r="V77" i="15"/>
  <c r="L77" i="15"/>
  <c r="N77" i="15" s="1"/>
  <c r="B77" i="15"/>
  <c r="T76" i="15"/>
  <c r="P76" i="15"/>
  <c r="X76" i="15" s="1"/>
  <c r="L76" i="15"/>
  <c r="H76" i="15"/>
  <c r="N76" i="15" s="1"/>
  <c r="D76" i="15"/>
  <c r="Z74" i="15"/>
  <c r="P74" i="15"/>
  <c r="X74" i="15" s="1"/>
  <c r="N74" i="15"/>
  <c r="L74" i="15"/>
  <c r="D74" i="15"/>
  <c r="B74" i="15"/>
  <c r="Z73" i="15"/>
  <c r="X73" i="15"/>
  <c r="P73" i="15"/>
  <c r="N73" i="15"/>
  <c r="D73" i="15"/>
  <c r="L73" i="15" s="1"/>
  <c r="B73" i="15"/>
  <c r="Z72" i="15"/>
  <c r="P72" i="15"/>
  <c r="X72" i="15" s="1"/>
  <c r="N72" i="15"/>
  <c r="D72" i="15"/>
  <c r="L72" i="15" s="1"/>
  <c r="B72" i="15"/>
  <c r="Z71" i="15"/>
  <c r="X71" i="15"/>
  <c r="P71" i="15"/>
  <c r="N71" i="15"/>
  <c r="D71" i="15"/>
  <c r="L71" i="15" s="1"/>
  <c r="B71" i="15"/>
  <c r="Z70" i="15"/>
  <c r="X70" i="15"/>
  <c r="P70" i="15"/>
  <c r="N70" i="15"/>
  <c r="L70" i="15"/>
  <c r="D70" i="15"/>
  <c r="B70" i="15"/>
  <c r="Z69" i="15"/>
  <c r="X69" i="15"/>
  <c r="P69" i="15"/>
  <c r="N69" i="15"/>
  <c r="D69" i="15"/>
  <c r="L69" i="15" s="1"/>
  <c r="B69" i="15"/>
  <c r="Z68" i="15"/>
  <c r="P68" i="15"/>
  <c r="X68" i="15" s="1"/>
  <c r="N68" i="15"/>
  <c r="L68" i="15"/>
  <c r="D68" i="15"/>
  <c r="B68" i="15"/>
  <c r="Z67" i="15"/>
  <c r="P67" i="15"/>
  <c r="X67" i="15" s="1"/>
  <c r="N67" i="15"/>
  <c r="L67" i="15"/>
  <c r="D67" i="15"/>
  <c r="B67" i="15"/>
  <c r="Z66" i="15"/>
  <c r="P66" i="15"/>
  <c r="X66" i="15" s="1"/>
  <c r="N66" i="15"/>
  <c r="L66" i="15"/>
  <c r="D66" i="15"/>
  <c r="B66" i="15"/>
  <c r="Z65" i="15"/>
  <c r="P65" i="15"/>
  <c r="X65" i="15" s="1"/>
  <c r="N65" i="15"/>
  <c r="D65" i="15"/>
  <c r="L65" i="15" s="1"/>
  <c r="B65" i="15"/>
  <c r="Z64" i="15"/>
  <c r="P64" i="15"/>
  <c r="X64" i="15" s="1"/>
  <c r="N64" i="15"/>
  <c r="D64" i="15"/>
  <c r="L64" i="15" s="1"/>
  <c r="B64" i="15"/>
  <c r="Z63" i="15"/>
  <c r="P63" i="15"/>
  <c r="X63" i="15" s="1"/>
  <c r="N63" i="15"/>
  <c r="D63" i="15"/>
  <c r="L63" i="15" s="1"/>
  <c r="B63" i="15"/>
  <c r="Z62" i="15"/>
  <c r="P62" i="15"/>
  <c r="X62" i="15" s="1"/>
  <c r="N62" i="15"/>
  <c r="L62" i="15"/>
  <c r="D62" i="15"/>
  <c r="B62" i="15"/>
  <c r="Z61" i="15"/>
  <c r="X61" i="15"/>
  <c r="P61" i="15"/>
  <c r="N61" i="15"/>
  <c r="D61" i="15"/>
  <c r="L61" i="15" s="1"/>
  <c r="B61" i="15"/>
  <c r="Z60" i="15"/>
  <c r="P60" i="15"/>
  <c r="X60" i="15" s="1"/>
  <c r="N60" i="15"/>
  <c r="D60" i="15"/>
  <c r="L60" i="15" s="1"/>
  <c r="B60" i="15"/>
  <c r="Z59" i="15"/>
  <c r="X59" i="15"/>
  <c r="P59" i="15"/>
  <c r="N59" i="15"/>
  <c r="D59" i="15"/>
  <c r="L59" i="15" s="1"/>
  <c r="B59" i="15"/>
  <c r="Z58" i="15"/>
  <c r="X58" i="15"/>
  <c r="P58" i="15"/>
  <c r="N58" i="15"/>
  <c r="L58" i="15"/>
  <c r="D58" i="15"/>
  <c r="B58" i="15"/>
  <c r="Z57" i="15"/>
  <c r="X57" i="15"/>
  <c r="P57" i="15"/>
  <c r="N57" i="15"/>
  <c r="D57" i="15"/>
  <c r="L57" i="15" s="1"/>
  <c r="B57" i="15"/>
  <c r="Z56" i="15"/>
  <c r="P56" i="15"/>
  <c r="X56" i="15" s="1"/>
  <c r="N56" i="15"/>
  <c r="L56" i="15"/>
  <c r="D56" i="15"/>
  <c r="B56" i="15"/>
  <c r="Z55" i="15"/>
  <c r="P55" i="15"/>
  <c r="X55" i="15" s="1"/>
  <c r="N55" i="15"/>
  <c r="L55" i="15"/>
  <c r="D55" i="15"/>
  <c r="B55" i="15"/>
  <c r="Z54" i="15"/>
  <c r="P54" i="15"/>
  <c r="X54" i="15" s="1"/>
  <c r="N54" i="15"/>
  <c r="L54" i="15"/>
  <c r="D54" i="15"/>
  <c r="B54" i="15"/>
  <c r="Z53" i="15"/>
  <c r="P53" i="15"/>
  <c r="X53" i="15" s="1"/>
  <c r="N53" i="15"/>
  <c r="D53" i="15"/>
  <c r="L53" i="15" s="1"/>
  <c r="B53" i="15"/>
  <c r="Z52" i="15"/>
  <c r="P52" i="15"/>
  <c r="X52" i="15" s="1"/>
  <c r="N52" i="15"/>
  <c r="D52" i="15"/>
  <c r="L52" i="15" s="1"/>
  <c r="B52" i="15"/>
  <c r="Z51" i="15"/>
  <c r="P51" i="15"/>
  <c r="X51" i="15" s="1"/>
  <c r="N51" i="15"/>
  <c r="D51" i="15"/>
  <c r="L51" i="15" s="1"/>
  <c r="B51" i="15"/>
  <c r="Z50" i="15"/>
  <c r="P50" i="15"/>
  <c r="X50" i="15" s="1"/>
  <c r="N50" i="15"/>
  <c r="L50" i="15"/>
  <c r="D50" i="15"/>
  <c r="B50" i="15"/>
  <c r="Z49" i="15"/>
  <c r="X49" i="15"/>
  <c r="P49" i="15"/>
  <c r="N49" i="15"/>
  <c r="D49" i="15"/>
  <c r="L49" i="15" s="1"/>
  <c r="B49" i="15"/>
  <c r="Z48" i="15"/>
  <c r="P48" i="15"/>
  <c r="X48" i="15" s="1"/>
  <c r="N48" i="15"/>
  <c r="D48" i="15"/>
  <c r="L48" i="15" s="1"/>
  <c r="B48" i="15"/>
  <c r="Z47" i="15"/>
  <c r="X47" i="15"/>
  <c r="P47" i="15"/>
  <c r="N47" i="15"/>
  <c r="D47" i="15"/>
  <c r="L47" i="15" s="1"/>
  <c r="B47" i="15"/>
  <c r="Z46" i="15"/>
  <c r="X46" i="15"/>
  <c r="P46" i="15"/>
  <c r="N46" i="15"/>
  <c r="L46" i="15"/>
  <c r="D46" i="15"/>
  <c r="B46" i="15"/>
  <c r="Z45" i="15"/>
  <c r="X45" i="15"/>
  <c r="P45" i="15"/>
  <c r="N45" i="15"/>
  <c r="D45" i="15"/>
  <c r="L45" i="15" s="1"/>
  <c r="B45" i="15"/>
  <c r="Z44" i="15"/>
  <c r="P44" i="15"/>
  <c r="X44" i="15" s="1"/>
  <c r="N44" i="15"/>
  <c r="L44" i="15"/>
  <c r="D44" i="15"/>
  <c r="B44" i="15"/>
  <c r="Z43" i="15"/>
  <c r="P43" i="15"/>
  <c r="X43" i="15" s="1"/>
  <c r="N43" i="15"/>
  <c r="L43" i="15"/>
  <c r="D43" i="15"/>
  <c r="B43" i="15"/>
  <c r="Z42" i="15"/>
  <c r="P42" i="15"/>
  <c r="X42" i="15" s="1"/>
  <c r="N42" i="15"/>
  <c r="L42" i="15"/>
  <c r="D42" i="15"/>
  <c r="B42" i="15"/>
  <c r="Z41" i="15"/>
  <c r="X41" i="15"/>
  <c r="P41" i="15"/>
  <c r="N41" i="15"/>
  <c r="D41" i="15"/>
  <c r="L41" i="15" s="1"/>
  <c r="B41" i="15"/>
  <c r="Z40" i="15"/>
  <c r="P40" i="15"/>
  <c r="X40" i="15" s="1"/>
  <c r="N40" i="15"/>
  <c r="D40" i="15"/>
  <c r="L40" i="15" s="1"/>
  <c r="B40" i="15"/>
  <c r="Z39" i="15"/>
  <c r="P39" i="15"/>
  <c r="X39" i="15" s="1"/>
  <c r="N39" i="15"/>
  <c r="D39" i="15"/>
  <c r="L39" i="15" s="1"/>
  <c r="B39" i="15"/>
  <c r="Z38" i="15"/>
  <c r="P38" i="15"/>
  <c r="X38" i="15" s="1"/>
  <c r="N38" i="15"/>
  <c r="D38" i="15"/>
  <c r="L38" i="15" s="1"/>
  <c r="B38" i="15"/>
  <c r="Z37" i="15"/>
  <c r="X37" i="15"/>
  <c r="P37" i="15"/>
  <c r="N37" i="15"/>
  <c r="D37" i="15"/>
  <c r="L37" i="15" s="1"/>
  <c r="B37" i="15"/>
  <c r="Z36" i="15"/>
  <c r="P36" i="15"/>
  <c r="X36" i="15" s="1"/>
  <c r="N36" i="15"/>
  <c r="D36" i="15"/>
  <c r="L36" i="15" s="1"/>
  <c r="B36" i="15"/>
  <c r="Z35" i="15"/>
  <c r="X35" i="15"/>
  <c r="P35" i="15"/>
  <c r="N35" i="15"/>
  <c r="D35" i="15"/>
  <c r="L35" i="15" s="1"/>
  <c r="B35" i="15"/>
  <c r="X34" i="15"/>
  <c r="Z34" i="15" s="1"/>
  <c r="P34" i="15"/>
  <c r="L34" i="15"/>
  <c r="N34" i="15" s="1"/>
  <c r="D34" i="15"/>
  <c r="B34" i="15"/>
  <c r="Z33" i="15"/>
  <c r="X33" i="15"/>
  <c r="P33" i="15"/>
  <c r="N33" i="15"/>
  <c r="D33" i="15"/>
  <c r="L33" i="15" s="1"/>
  <c r="B33" i="15"/>
  <c r="Z32" i="15"/>
  <c r="P32" i="15"/>
  <c r="X32" i="15" s="1"/>
  <c r="N32" i="15"/>
  <c r="L32" i="15"/>
  <c r="D32" i="15"/>
  <c r="B32" i="15"/>
  <c r="Z31" i="15"/>
  <c r="P31" i="15"/>
  <c r="X31" i="15" s="1"/>
  <c r="N31" i="15"/>
  <c r="L31" i="15"/>
  <c r="D31" i="15"/>
  <c r="B31" i="15"/>
  <c r="Z30" i="15"/>
  <c r="P30" i="15"/>
  <c r="X30" i="15" s="1"/>
  <c r="N30" i="15"/>
  <c r="L30" i="15"/>
  <c r="D30" i="15"/>
  <c r="B30" i="15"/>
  <c r="Z29" i="15"/>
  <c r="P29" i="15"/>
  <c r="X29" i="15" s="1"/>
  <c r="N29" i="15"/>
  <c r="D29" i="15"/>
  <c r="L29" i="15" s="1"/>
  <c r="B29" i="15"/>
  <c r="Z28" i="15"/>
  <c r="P28" i="15"/>
  <c r="X28" i="15" s="1"/>
  <c r="N28" i="15"/>
  <c r="D28" i="15"/>
  <c r="L28" i="15" s="1"/>
  <c r="B28" i="15"/>
  <c r="Z27" i="15"/>
  <c r="P27" i="15"/>
  <c r="X27" i="15" s="1"/>
  <c r="N27" i="15"/>
  <c r="D27" i="15"/>
  <c r="L27" i="15" s="1"/>
  <c r="B27" i="15"/>
  <c r="Z26" i="15"/>
  <c r="P26" i="15"/>
  <c r="X26" i="15" s="1"/>
  <c r="N26" i="15"/>
  <c r="D26" i="15"/>
  <c r="L26" i="15" s="1"/>
  <c r="B26" i="15"/>
  <c r="Z25" i="15"/>
  <c r="X25" i="15"/>
  <c r="P25" i="15"/>
  <c r="N25" i="15"/>
  <c r="D25" i="15"/>
  <c r="L25" i="15" s="1"/>
  <c r="B25" i="15"/>
  <c r="Z24" i="15"/>
  <c r="P24" i="15"/>
  <c r="X24" i="15" s="1"/>
  <c r="N24" i="15"/>
  <c r="D24" i="15"/>
  <c r="L24" i="15" s="1"/>
  <c r="B24" i="15"/>
  <c r="Z23" i="15"/>
  <c r="X23" i="15"/>
  <c r="P23" i="15"/>
  <c r="N23" i="15"/>
  <c r="D23" i="15"/>
  <c r="L23" i="15" s="1"/>
  <c r="B23" i="15"/>
  <c r="Z22" i="15"/>
  <c r="X22" i="15"/>
  <c r="P22" i="15"/>
  <c r="N22" i="15"/>
  <c r="L22" i="15"/>
  <c r="D22" i="15"/>
  <c r="B22" i="15"/>
  <c r="Z21" i="15"/>
  <c r="X21" i="15"/>
  <c r="P21" i="15"/>
  <c r="N21" i="15"/>
  <c r="D21" i="15"/>
  <c r="L21" i="15" s="1"/>
  <c r="B21" i="15"/>
  <c r="Z20" i="15"/>
  <c r="P20" i="15"/>
  <c r="X20" i="15" s="1"/>
  <c r="N20" i="15"/>
  <c r="L20" i="15"/>
  <c r="D20" i="15"/>
  <c r="B20" i="15"/>
  <c r="Z19" i="15"/>
  <c r="P19" i="15"/>
  <c r="X19" i="15" s="1"/>
  <c r="N19" i="15"/>
  <c r="L19" i="15"/>
  <c r="D19" i="15"/>
  <c r="B19" i="15"/>
  <c r="Z18" i="15"/>
  <c r="P18" i="15"/>
  <c r="X18" i="15" s="1"/>
  <c r="N18" i="15"/>
  <c r="L18" i="15"/>
  <c r="D18" i="15"/>
  <c r="B18" i="15"/>
  <c r="Z17" i="15"/>
  <c r="X17" i="15"/>
  <c r="P17" i="15"/>
  <c r="P12" i="15" s="1"/>
  <c r="N17" i="15"/>
  <c r="D17" i="15"/>
  <c r="L17" i="15" s="1"/>
  <c r="B17" i="15"/>
  <c r="Z16" i="15"/>
  <c r="P16" i="15"/>
  <c r="X16" i="15" s="1"/>
  <c r="N16" i="15"/>
  <c r="D16" i="15"/>
  <c r="L16" i="15" s="1"/>
  <c r="B16" i="15"/>
  <c r="Z15" i="15"/>
  <c r="P15" i="15"/>
  <c r="X15" i="15" s="1"/>
  <c r="N15" i="15"/>
  <c r="D15" i="15"/>
  <c r="L15" i="15" s="1"/>
  <c r="B15" i="15"/>
  <c r="Z14" i="15"/>
  <c r="P14" i="15"/>
  <c r="X14" i="15" s="1"/>
  <c r="N14" i="15"/>
  <c r="L14" i="15"/>
  <c r="D14" i="15"/>
  <c r="B14" i="15"/>
  <c r="X13" i="15"/>
  <c r="Z13" i="15" s="1"/>
  <c r="P13" i="15"/>
  <c r="D13" i="15"/>
  <c r="B13" i="15"/>
  <c r="T12" i="15"/>
  <c r="V197" i="15" s="1"/>
  <c r="H12" i="15"/>
  <c r="J209" i="15" s="1"/>
  <c r="D4" i="15"/>
  <c r="X227" i="12"/>
  <c r="Z227" i="12" s="1"/>
  <c r="N227" i="12"/>
  <c r="L227" i="12"/>
  <c r="Z223" i="12"/>
  <c r="X223" i="12"/>
  <c r="P223" i="12"/>
  <c r="N223" i="12"/>
  <c r="L223" i="12"/>
  <c r="J223" i="12"/>
  <c r="D223" i="12"/>
  <c r="B223" i="12"/>
  <c r="Z222" i="12"/>
  <c r="P222" i="12"/>
  <c r="X222" i="12" s="1"/>
  <c r="N222" i="12"/>
  <c r="D222" i="12"/>
  <c r="L222" i="12" s="1"/>
  <c r="B222" i="12"/>
  <c r="X221" i="12"/>
  <c r="Z221" i="12" s="1"/>
  <c r="P221" i="12"/>
  <c r="D221" i="12"/>
  <c r="L221" i="12" s="1"/>
  <c r="N221" i="12" s="1"/>
  <c r="B221" i="12"/>
  <c r="P220" i="12"/>
  <c r="X220" i="12" s="1"/>
  <c r="Z220" i="12" s="1"/>
  <c r="D220" i="12"/>
  <c r="L220" i="12" s="1"/>
  <c r="N220" i="12" s="1"/>
  <c r="B220" i="12"/>
  <c r="T219" i="12"/>
  <c r="H219" i="12"/>
  <c r="N219" i="12" s="1"/>
  <c r="D219" i="12"/>
  <c r="L219" i="12" s="1"/>
  <c r="Z217" i="12"/>
  <c r="X217" i="12"/>
  <c r="L217" i="12"/>
  <c r="N217" i="12" s="1"/>
  <c r="B217" i="12"/>
  <c r="T216" i="12"/>
  <c r="P216" i="12"/>
  <c r="N216" i="12"/>
  <c r="L216" i="12"/>
  <c r="H216" i="12"/>
  <c r="D216" i="12"/>
  <c r="B216" i="12"/>
  <c r="X215" i="12"/>
  <c r="Z215" i="12" s="1"/>
  <c r="L215" i="12"/>
  <c r="N215" i="12" s="1"/>
  <c r="B215" i="12"/>
  <c r="Z214" i="12"/>
  <c r="X214" i="12"/>
  <c r="N214" i="12"/>
  <c r="L214" i="12"/>
  <c r="B214" i="12"/>
  <c r="X213" i="12"/>
  <c r="Z213" i="12" s="1"/>
  <c r="N213" i="12"/>
  <c r="L213" i="12"/>
  <c r="B213" i="12"/>
  <c r="X212" i="12"/>
  <c r="T212" i="12"/>
  <c r="Z212" i="12" s="1"/>
  <c r="P212" i="12"/>
  <c r="H212" i="12"/>
  <c r="D212" i="12"/>
  <c r="B212" i="12"/>
  <c r="X211" i="12"/>
  <c r="Z211" i="12" s="1"/>
  <c r="L211" i="12"/>
  <c r="N211" i="12" s="1"/>
  <c r="B211" i="12"/>
  <c r="X210" i="12"/>
  <c r="Z210" i="12" s="1"/>
  <c r="T210" i="12"/>
  <c r="P210" i="12"/>
  <c r="N210" i="12"/>
  <c r="H210" i="12"/>
  <c r="D210" i="12"/>
  <c r="L210" i="12" s="1"/>
  <c r="B210" i="12"/>
  <c r="Z209" i="12"/>
  <c r="X209" i="12"/>
  <c r="L209" i="12"/>
  <c r="N209" i="12" s="1"/>
  <c r="B209" i="12"/>
  <c r="X208" i="12"/>
  <c r="Z208" i="12" s="1"/>
  <c r="L208" i="12"/>
  <c r="N208" i="12" s="1"/>
  <c r="B208" i="12"/>
  <c r="T207" i="12"/>
  <c r="P207" i="12"/>
  <c r="X207" i="12" s="1"/>
  <c r="H207" i="12"/>
  <c r="D207" i="12"/>
  <c r="L207" i="12" s="1"/>
  <c r="N207" i="12" s="1"/>
  <c r="B207" i="12"/>
  <c r="Z206" i="12"/>
  <c r="X206" i="12"/>
  <c r="N206" i="12"/>
  <c r="L206" i="12"/>
  <c r="B206" i="12"/>
  <c r="X205" i="12"/>
  <c r="Z205" i="12" s="1"/>
  <c r="L205" i="12"/>
  <c r="N205" i="12" s="1"/>
  <c r="B205" i="12"/>
  <c r="X204" i="12"/>
  <c r="Z204" i="12" s="1"/>
  <c r="N204" i="12"/>
  <c r="L204" i="12"/>
  <c r="B204" i="12"/>
  <c r="Z203" i="12"/>
  <c r="X203" i="12"/>
  <c r="L203" i="12"/>
  <c r="N203" i="12" s="1"/>
  <c r="B203" i="12"/>
  <c r="Z202" i="12"/>
  <c r="X202" i="12"/>
  <c r="L202" i="12"/>
  <c r="N202" i="12" s="1"/>
  <c r="B202" i="12"/>
  <c r="X201" i="12"/>
  <c r="Z201" i="12" s="1"/>
  <c r="L201" i="12"/>
  <c r="N201" i="12" s="1"/>
  <c r="B201" i="12"/>
  <c r="X200" i="12"/>
  <c r="Z200" i="12" s="1"/>
  <c r="N200" i="12"/>
  <c r="L200" i="12"/>
  <c r="B200" i="12"/>
  <c r="X199" i="12"/>
  <c r="Z199" i="12" s="1"/>
  <c r="L199" i="12"/>
  <c r="N199" i="12" s="1"/>
  <c r="B199" i="12"/>
  <c r="Z198" i="12"/>
  <c r="X198" i="12"/>
  <c r="L198" i="12"/>
  <c r="N198" i="12" s="1"/>
  <c r="B198" i="12"/>
  <c r="X197" i="12"/>
  <c r="T197" i="12"/>
  <c r="Z197" i="12" s="1"/>
  <c r="P197" i="12"/>
  <c r="N197" i="12"/>
  <c r="L197" i="12"/>
  <c r="H197" i="12"/>
  <c r="D197" i="12"/>
  <c r="B197" i="12"/>
  <c r="Z196" i="12"/>
  <c r="X196" i="12"/>
  <c r="L196" i="12"/>
  <c r="N196" i="12" s="1"/>
  <c r="B196" i="12"/>
  <c r="X195" i="12"/>
  <c r="Z195" i="12" s="1"/>
  <c r="L195" i="12"/>
  <c r="N195" i="12" s="1"/>
  <c r="B195" i="12"/>
  <c r="X194" i="12"/>
  <c r="Z194" i="12" s="1"/>
  <c r="T194" i="12"/>
  <c r="P194" i="12"/>
  <c r="H194" i="12"/>
  <c r="D194" i="12"/>
  <c r="L194" i="12" s="1"/>
  <c r="N194" i="12" s="1"/>
  <c r="B194" i="12"/>
  <c r="Z193" i="12"/>
  <c r="X193" i="12"/>
  <c r="L193" i="12"/>
  <c r="N193" i="12" s="1"/>
  <c r="B193" i="12"/>
  <c r="X192" i="12"/>
  <c r="Z192" i="12" s="1"/>
  <c r="L192" i="12"/>
  <c r="N192" i="12" s="1"/>
  <c r="B192" i="12"/>
  <c r="X191" i="12"/>
  <c r="Z191" i="12" s="1"/>
  <c r="N191" i="12"/>
  <c r="L191" i="12"/>
  <c r="B191" i="12"/>
  <c r="Z190" i="12"/>
  <c r="X190" i="12"/>
  <c r="N190" i="12"/>
  <c r="L190" i="12"/>
  <c r="B190" i="12"/>
  <c r="Z189" i="12"/>
  <c r="X189" i="12"/>
  <c r="L189" i="12"/>
  <c r="N189" i="12" s="1"/>
  <c r="B189" i="12"/>
  <c r="X188" i="12"/>
  <c r="T188" i="12"/>
  <c r="P188" i="12"/>
  <c r="H188" i="12"/>
  <c r="D188" i="12"/>
  <c r="L188" i="12" s="1"/>
  <c r="N188" i="12" s="1"/>
  <c r="B188" i="12"/>
  <c r="X187" i="12"/>
  <c r="Z187" i="12" s="1"/>
  <c r="L187" i="12"/>
  <c r="N187" i="12" s="1"/>
  <c r="B187" i="12"/>
  <c r="Z186" i="12"/>
  <c r="X186" i="12"/>
  <c r="L186" i="12"/>
  <c r="N186" i="12" s="1"/>
  <c r="B186" i="12"/>
  <c r="X185" i="12"/>
  <c r="Z185" i="12" s="1"/>
  <c r="L185" i="12"/>
  <c r="N185" i="12" s="1"/>
  <c r="B185" i="12"/>
  <c r="X184" i="12"/>
  <c r="Z184" i="12" s="1"/>
  <c r="N184" i="12"/>
  <c r="L184" i="12"/>
  <c r="B184" i="12"/>
  <c r="X183" i="12"/>
  <c r="Z183" i="12" s="1"/>
  <c r="T183" i="12"/>
  <c r="P183" i="12"/>
  <c r="L183" i="12"/>
  <c r="H183" i="12"/>
  <c r="N183" i="12" s="1"/>
  <c r="D183" i="12"/>
  <c r="B183" i="12"/>
  <c r="X182" i="12"/>
  <c r="Z182" i="12" s="1"/>
  <c r="N182" i="12"/>
  <c r="L182" i="12"/>
  <c r="J182" i="12"/>
  <c r="B182" i="12"/>
  <c r="X181" i="12"/>
  <c r="Z181" i="12" s="1"/>
  <c r="N181" i="12"/>
  <c r="L181" i="12"/>
  <c r="B181" i="12"/>
  <c r="Z180" i="12"/>
  <c r="X180" i="12"/>
  <c r="N180" i="12"/>
  <c r="L180" i="12"/>
  <c r="J180" i="12"/>
  <c r="B180" i="12"/>
  <c r="X179" i="12"/>
  <c r="Z179" i="12" s="1"/>
  <c r="N179" i="12"/>
  <c r="L179" i="12"/>
  <c r="B179" i="12"/>
  <c r="X178" i="12"/>
  <c r="Z178" i="12" s="1"/>
  <c r="T178" i="12"/>
  <c r="P178" i="12"/>
  <c r="N178" i="12"/>
  <c r="H178" i="12"/>
  <c r="D178" i="12"/>
  <c r="L178" i="12" s="1"/>
  <c r="B178" i="12"/>
  <c r="Z177" i="12"/>
  <c r="X177" i="12"/>
  <c r="L177" i="12"/>
  <c r="N177" i="12" s="1"/>
  <c r="B177" i="12"/>
  <c r="T176" i="12"/>
  <c r="P176" i="12"/>
  <c r="J176" i="12"/>
  <c r="H176" i="12"/>
  <c r="D176" i="12"/>
  <c r="L176" i="12" s="1"/>
  <c r="N176" i="12" s="1"/>
  <c r="B176" i="12"/>
  <c r="X175" i="12"/>
  <c r="Z175" i="12" s="1"/>
  <c r="L175" i="12"/>
  <c r="N175" i="12" s="1"/>
  <c r="B175" i="12"/>
  <c r="T174" i="12"/>
  <c r="P174" i="12"/>
  <c r="X174" i="12" s="1"/>
  <c r="L174" i="12"/>
  <c r="H174" i="12"/>
  <c r="N174" i="12" s="1"/>
  <c r="D174" i="12"/>
  <c r="B174" i="12"/>
  <c r="X173" i="12"/>
  <c r="Z173" i="12" s="1"/>
  <c r="N173" i="12"/>
  <c r="L173" i="12"/>
  <c r="B173" i="12"/>
  <c r="Z172" i="12"/>
  <c r="T172" i="12"/>
  <c r="P172" i="12"/>
  <c r="X172" i="12" s="1"/>
  <c r="N172" i="12"/>
  <c r="L172" i="12"/>
  <c r="H172" i="12"/>
  <c r="D172" i="12"/>
  <c r="B172" i="12"/>
  <c r="X171" i="12"/>
  <c r="Z171" i="12" s="1"/>
  <c r="L171" i="12"/>
  <c r="N171" i="12" s="1"/>
  <c r="B171" i="12"/>
  <c r="T170" i="12"/>
  <c r="P170" i="12"/>
  <c r="X170" i="12" s="1"/>
  <c r="Z170" i="12" s="1"/>
  <c r="H170" i="12"/>
  <c r="L170" i="12" s="1"/>
  <c r="D170" i="12"/>
  <c r="B170" i="12"/>
  <c r="X169" i="12"/>
  <c r="Z169" i="12" s="1"/>
  <c r="L169" i="12"/>
  <c r="N169" i="12" s="1"/>
  <c r="B169" i="12"/>
  <c r="X168" i="12"/>
  <c r="T168" i="12"/>
  <c r="Z168" i="12" s="1"/>
  <c r="P168" i="12"/>
  <c r="H168" i="12"/>
  <c r="D168" i="12"/>
  <c r="B168" i="12"/>
  <c r="X167" i="12"/>
  <c r="Z167" i="12" s="1"/>
  <c r="L167" i="12"/>
  <c r="N167" i="12" s="1"/>
  <c r="B167" i="12"/>
  <c r="X166" i="12"/>
  <c r="Z166" i="12" s="1"/>
  <c r="N166" i="12"/>
  <c r="L166" i="12"/>
  <c r="B166" i="12"/>
  <c r="X165" i="12"/>
  <c r="Z165" i="12" s="1"/>
  <c r="N165" i="12"/>
  <c r="L165" i="12"/>
  <c r="B165" i="12"/>
  <c r="T164" i="12"/>
  <c r="P164" i="12"/>
  <c r="X164" i="12" s="1"/>
  <c r="Z164" i="12" s="1"/>
  <c r="N164" i="12"/>
  <c r="L164" i="12"/>
  <c r="H164" i="12"/>
  <c r="D164" i="12"/>
  <c r="B164" i="12"/>
  <c r="X163" i="12"/>
  <c r="Z163" i="12" s="1"/>
  <c r="L163" i="12"/>
  <c r="N163" i="12" s="1"/>
  <c r="B163" i="12"/>
  <c r="Z162" i="12"/>
  <c r="X162" i="12"/>
  <c r="N162" i="12"/>
  <c r="L162" i="12"/>
  <c r="B162" i="12"/>
  <c r="T161" i="12"/>
  <c r="P161" i="12"/>
  <c r="X161" i="12" s="1"/>
  <c r="Z161" i="12" s="1"/>
  <c r="H161" i="12"/>
  <c r="D161" i="12"/>
  <c r="L161" i="12" s="1"/>
  <c r="B161" i="12"/>
  <c r="X160" i="12"/>
  <c r="Z160" i="12" s="1"/>
  <c r="N160" i="12"/>
  <c r="L160" i="12"/>
  <c r="B160" i="12"/>
  <c r="X159" i="12"/>
  <c r="Z159" i="12" s="1"/>
  <c r="T159" i="12"/>
  <c r="P159" i="12"/>
  <c r="L159" i="12"/>
  <c r="H159" i="12"/>
  <c r="N159" i="12" s="1"/>
  <c r="D159" i="12"/>
  <c r="B159" i="12"/>
  <c r="Z158" i="12"/>
  <c r="X158" i="12"/>
  <c r="N158" i="12"/>
  <c r="L158" i="12"/>
  <c r="B158" i="12"/>
  <c r="T157" i="12"/>
  <c r="P157" i="12"/>
  <c r="H157" i="12"/>
  <c r="D157" i="12"/>
  <c r="L157" i="12" s="1"/>
  <c r="B157" i="12"/>
  <c r="X156" i="12"/>
  <c r="Z156" i="12" s="1"/>
  <c r="L156" i="12"/>
  <c r="N156" i="12" s="1"/>
  <c r="B156" i="12"/>
  <c r="Z155" i="12"/>
  <c r="X155" i="12"/>
  <c r="N155" i="12"/>
  <c r="L155" i="12"/>
  <c r="B155" i="12"/>
  <c r="T154" i="12"/>
  <c r="P154" i="12"/>
  <c r="X154" i="12" s="1"/>
  <c r="Z154" i="12" s="1"/>
  <c r="H154" i="12"/>
  <c r="D154" i="12"/>
  <c r="B154" i="12"/>
  <c r="Z153" i="12"/>
  <c r="X153" i="12"/>
  <c r="N153" i="12"/>
  <c r="L153" i="12"/>
  <c r="B153" i="12"/>
  <c r="X152" i="12"/>
  <c r="Z152" i="12" s="1"/>
  <c r="N152" i="12"/>
  <c r="L152" i="12"/>
  <c r="B152" i="12"/>
  <c r="Z151" i="12"/>
  <c r="X151" i="12"/>
  <c r="T151" i="12"/>
  <c r="P151" i="12"/>
  <c r="L151" i="12"/>
  <c r="H151" i="12"/>
  <c r="D151" i="12"/>
  <c r="B151" i="12"/>
  <c r="Z150" i="12"/>
  <c r="X150" i="12"/>
  <c r="N150" i="12"/>
  <c r="L150" i="12"/>
  <c r="B150" i="12"/>
  <c r="Z149" i="12"/>
  <c r="X149" i="12"/>
  <c r="N149" i="12"/>
  <c r="L149" i="12"/>
  <c r="B149" i="12"/>
  <c r="T148" i="12"/>
  <c r="P148" i="12"/>
  <c r="X148" i="12" s="1"/>
  <c r="Z148" i="12" s="1"/>
  <c r="L148" i="12"/>
  <c r="N148" i="12" s="1"/>
  <c r="H148" i="12"/>
  <c r="D148" i="12"/>
  <c r="B148" i="12"/>
  <c r="X147" i="12"/>
  <c r="Z147" i="12" s="1"/>
  <c r="L147" i="12"/>
  <c r="N147" i="12" s="1"/>
  <c r="B147" i="12"/>
  <c r="Z146" i="12"/>
  <c r="X146" i="12"/>
  <c r="T146" i="12"/>
  <c r="P146" i="12"/>
  <c r="L146" i="12"/>
  <c r="H146" i="12"/>
  <c r="D146" i="12"/>
  <c r="B146" i="12"/>
  <c r="X145" i="12"/>
  <c r="Z145" i="12" s="1"/>
  <c r="L145" i="12"/>
  <c r="N145" i="12" s="1"/>
  <c r="J145" i="12"/>
  <c r="B145" i="12"/>
  <c r="X144" i="12"/>
  <c r="Z144" i="12" s="1"/>
  <c r="N144" i="12"/>
  <c r="L144" i="12"/>
  <c r="B144" i="12"/>
  <c r="X143" i="12"/>
  <c r="Z143" i="12" s="1"/>
  <c r="T143" i="12"/>
  <c r="P143" i="12"/>
  <c r="L143" i="12"/>
  <c r="H143" i="12"/>
  <c r="D143" i="12"/>
  <c r="B143" i="12"/>
  <c r="X142" i="12"/>
  <c r="Z142" i="12" s="1"/>
  <c r="N142" i="12"/>
  <c r="L142" i="12"/>
  <c r="B142" i="12"/>
  <c r="T141" i="12"/>
  <c r="P141" i="12"/>
  <c r="H141" i="12"/>
  <c r="D141" i="12"/>
  <c r="L141" i="12" s="1"/>
  <c r="B141" i="12"/>
  <c r="Z140" i="12"/>
  <c r="X140" i="12"/>
  <c r="N140" i="12"/>
  <c r="L140" i="12"/>
  <c r="B140" i="12"/>
  <c r="Z139" i="12"/>
  <c r="X139" i="12"/>
  <c r="N139" i="12"/>
  <c r="L139" i="12"/>
  <c r="B139" i="12"/>
  <c r="Z138" i="12"/>
  <c r="X138" i="12"/>
  <c r="N138" i="12"/>
  <c r="L138" i="12"/>
  <c r="B138" i="12"/>
  <c r="Z137" i="12"/>
  <c r="X137" i="12"/>
  <c r="L137" i="12"/>
  <c r="N137" i="12" s="1"/>
  <c r="B137" i="12"/>
  <c r="Z136" i="12"/>
  <c r="X136" i="12"/>
  <c r="N136" i="12"/>
  <c r="L136" i="12"/>
  <c r="B136" i="12"/>
  <c r="X135" i="12"/>
  <c r="Z135" i="12" s="1"/>
  <c r="N135" i="12"/>
  <c r="L135" i="12"/>
  <c r="J135" i="12"/>
  <c r="B135" i="12"/>
  <c r="Z134" i="12"/>
  <c r="X134" i="12"/>
  <c r="N134" i="12"/>
  <c r="L134" i="12"/>
  <c r="B134" i="12"/>
  <c r="Z133" i="12"/>
  <c r="X133" i="12"/>
  <c r="N133" i="12"/>
  <c r="L133" i="12"/>
  <c r="B133" i="12"/>
  <c r="X132" i="12"/>
  <c r="Z132" i="12" s="1"/>
  <c r="L132" i="12"/>
  <c r="N132" i="12" s="1"/>
  <c r="B132" i="12"/>
  <c r="X131" i="12"/>
  <c r="Z131" i="12" s="1"/>
  <c r="L131" i="12"/>
  <c r="N131" i="12" s="1"/>
  <c r="B131" i="12"/>
  <c r="T130" i="12"/>
  <c r="P130" i="12"/>
  <c r="X130" i="12" s="1"/>
  <c r="Z130" i="12" s="1"/>
  <c r="L130" i="12"/>
  <c r="H130" i="12"/>
  <c r="D130" i="12"/>
  <c r="B130" i="12"/>
  <c r="X129" i="12"/>
  <c r="Z129" i="12" s="1"/>
  <c r="L129" i="12"/>
  <c r="N129" i="12" s="1"/>
  <c r="B129" i="12"/>
  <c r="X128" i="12"/>
  <c r="Z128" i="12" s="1"/>
  <c r="N128" i="12"/>
  <c r="L128" i="12"/>
  <c r="B128" i="12"/>
  <c r="X127" i="12"/>
  <c r="Z127" i="12" s="1"/>
  <c r="L127" i="12"/>
  <c r="N127" i="12" s="1"/>
  <c r="B127" i="12"/>
  <c r="Z126" i="12"/>
  <c r="X126" i="12"/>
  <c r="N126" i="12"/>
  <c r="L126" i="12"/>
  <c r="B126" i="12"/>
  <c r="Z125" i="12"/>
  <c r="X125" i="12"/>
  <c r="N125" i="12"/>
  <c r="L125" i="12"/>
  <c r="J125" i="12"/>
  <c r="B125" i="12"/>
  <c r="X124" i="12"/>
  <c r="Z124" i="12" s="1"/>
  <c r="N124" i="12"/>
  <c r="L124" i="12"/>
  <c r="B124" i="12"/>
  <c r="X123" i="12"/>
  <c r="Z123" i="12" s="1"/>
  <c r="L123" i="12"/>
  <c r="N123" i="12" s="1"/>
  <c r="B123" i="12"/>
  <c r="Z122" i="12"/>
  <c r="X122" i="12"/>
  <c r="L122" i="12"/>
  <c r="N122" i="12" s="1"/>
  <c r="B122" i="12"/>
  <c r="X121" i="12"/>
  <c r="Z121" i="12" s="1"/>
  <c r="L121" i="12"/>
  <c r="N121" i="12" s="1"/>
  <c r="B121" i="12"/>
  <c r="X120" i="12"/>
  <c r="Z120" i="12" s="1"/>
  <c r="N120" i="12"/>
  <c r="L120" i="12"/>
  <c r="B120" i="12"/>
  <c r="X119" i="12"/>
  <c r="Z119" i="12" s="1"/>
  <c r="T119" i="12"/>
  <c r="P119" i="12"/>
  <c r="L119" i="12"/>
  <c r="H119" i="12"/>
  <c r="N119" i="12" s="1"/>
  <c r="D119" i="12"/>
  <c r="B119" i="12"/>
  <c r="T118" i="12"/>
  <c r="P118" i="12"/>
  <c r="X118" i="12" s="1"/>
  <c r="H118" i="12"/>
  <c r="D118" i="12"/>
  <c r="Z114" i="12"/>
  <c r="X114" i="12"/>
  <c r="N114" i="12"/>
  <c r="L114" i="12"/>
  <c r="B114" i="12"/>
  <c r="Z113" i="12"/>
  <c r="X113" i="12"/>
  <c r="N113" i="12"/>
  <c r="L113" i="12"/>
  <c r="B113" i="12"/>
  <c r="Z112" i="12"/>
  <c r="X112" i="12"/>
  <c r="N112" i="12"/>
  <c r="L112" i="12"/>
  <c r="B112" i="12"/>
  <c r="Z111" i="12"/>
  <c r="X111" i="12"/>
  <c r="N111" i="12"/>
  <c r="L111" i="12"/>
  <c r="B111" i="12"/>
  <c r="Z110" i="12"/>
  <c r="X110" i="12"/>
  <c r="N110" i="12"/>
  <c r="L110" i="12"/>
  <c r="B110" i="12"/>
  <c r="Z109" i="12"/>
  <c r="X109" i="12"/>
  <c r="N109" i="12"/>
  <c r="L109" i="12"/>
  <c r="B109" i="12"/>
  <c r="Z108" i="12"/>
  <c r="X108" i="12"/>
  <c r="N108" i="12"/>
  <c r="L108" i="12"/>
  <c r="B108" i="12"/>
  <c r="Z107" i="12"/>
  <c r="X107" i="12"/>
  <c r="N107" i="12"/>
  <c r="L107" i="12"/>
  <c r="B107" i="12"/>
  <c r="Z106" i="12"/>
  <c r="X106" i="12"/>
  <c r="N106" i="12"/>
  <c r="L106" i="12"/>
  <c r="B106" i="12"/>
  <c r="Z105" i="12"/>
  <c r="X105" i="12"/>
  <c r="N105" i="12"/>
  <c r="L105" i="12"/>
  <c r="B105" i="12"/>
  <c r="Z104" i="12"/>
  <c r="X104" i="12"/>
  <c r="N104" i="12"/>
  <c r="L104" i="12"/>
  <c r="B104" i="12"/>
  <c r="Z103" i="12"/>
  <c r="X103" i="12"/>
  <c r="N103" i="12"/>
  <c r="L103" i="12"/>
  <c r="B103" i="12"/>
  <c r="Z102" i="12"/>
  <c r="X102" i="12"/>
  <c r="N102" i="12"/>
  <c r="L102" i="12"/>
  <c r="B102" i="12"/>
  <c r="Z101" i="12"/>
  <c r="X101" i="12"/>
  <c r="N101" i="12"/>
  <c r="L101" i="12"/>
  <c r="B101" i="12"/>
  <c r="Z100" i="12"/>
  <c r="X100" i="12"/>
  <c r="N100" i="12"/>
  <c r="L100" i="12"/>
  <c r="B100" i="12"/>
  <c r="Z99" i="12"/>
  <c r="X99" i="12"/>
  <c r="N99" i="12"/>
  <c r="L99" i="12"/>
  <c r="B99" i="12"/>
  <c r="Z98" i="12"/>
  <c r="X98" i="12"/>
  <c r="N98" i="12"/>
  <c r="L98" i="12"/>
  <c r="J98" i="12"/>
  <c r="B98" i="12"/>
  <c r="Z97" i="12"/>
  <c r="X97" i="12"/>
  <c r="N97" i="12"/>
  <c r="L97" i="12"/>
  <c r="B97" i="12"/>
  <c r="Z96" i="12"/>
  <c r="X96" i="12"/>
  <c r="N96" i="12"/>
  <c r="L96" i="12"/>
  <c r="B96" i="12"/>
  <c r="Z95" i="12"/>
  <c r="X95" i="12"/>
  <c r="N95" i="12"/>
  <c r="L95" i="12"/>
  <c r="B95" i="12"/>
  <c r="Z94" i="12"/>
  <c r="X94" i="12"/>
  <c r="N94" i="12"/>
  <c r="L94" i="12"/>
  <c r="B94" i="12"/>
  <c r="Z93" i="12"/>
  <c r="X93" i="12"/>
  <c r="N93" i="12"/>
  <c r="L93" i="12"/>
  <c r="B93" i="12"/>
  <c r="Z92" i="12"/>
  <c r="X92" i="12"/>
  <c r="N92" i="12"/>
  <c r="L92" i="12"/>
  <c r="B92" i="12"/>
  <c r="Z91" i="12"/>
  <c r="X91" i="12"/>
  <c r="N91" i="12"/>
  <c r="L91" i="12"/>
  <c r="B91" i="12"/>
  <c r="Z90" i="12"/>
  <c r="X90" i="12"/>
  <c r="N90" i="12"/>
  <c r="L90" i="12"/>
  <c r="B90" i="12"/>
  <c r="Z89" i="12"/>
  <c r="X89" i="12"/>
  <c r="N89" i="12"/>
  <c r="L89" i="12"/>
  <c r="B89" i="12"/>
  <c r="Z88" i="12"/>
  <c r="X88" i="12"/>
  <c r="N88" i="12"/>
  <c r="L88" i="12"/>
  <c r="B88" i="12"/>
  <c r="Z87" i="12"/>
  <c r="X87" i="12"/>
  <c r="N87" i="12"/>
  <c r="L87" i="12"/>
  <c r="B87" i="12"/>
  <c r="Z86" i="12"/>
  <c r="X86" i="12"/>
  <c r="N86" i="12"/>
  <c r="L86" i="12"/>
  <c r="B86" i="12"/>
  <c r="Z85" i="12"/>
  <c r="X85" i="12"/>
  <c r="N85" i="12"/>
  <c r="L85" i="12"/>
  <c r="B85" i="12"/>
  <c r="Z84" i="12"/>
  <c r="X84" i="12"/>
  <c r="N84" i="12"/>
  <c r="L84" i="12"/>
  <c r="B84" i="12"/>
  <c r="Z83" i="12"/>
  <c r="X83" i="12"/>
  <c r="N83" i="12"/>
  <c r="L83" i="12"/>
  <c r="B83" i="12"/>
  <c r="Z82" i="12"/>
  <c r="X82" i="12"/>
  <c r="N82" i="12"/>
  <c r="L82" i="12"/>
  <c r="B82" i="12"/>
  <c r="Z81" i="12"/>
  <c r="X81" i="12"/>
  <c r="N81" i="12"/>
  <c r="L81" i="12"/>
  <c r="B81" i="12"/>
  <c r="Z80" i="12"/>
  <c r="X80" i="12"/>
  <c r="N80" i="12"/>
  <c r="L80" i="12"/>
  <c r="B80" i="12"/>
  <c r="X79" i="12"/>
  <c r="Z79" i="12" s="1"/>
  <c r="L79" i="12"/>
  <c r="N79" i="12" s="1"/>
  <c r="B79" i="12"/>
  <c r="X78" i="12"/>
  <c r="Z78" i="12" s="1"/>
  <c r="T78" i="12"/>
  <c r="P78" i="12"/>
  <c r="H78" i="12"/>
  <c r="D78" i="12"/>
  <c r="L78" i="12" s="1"/>
  <c r="N78" i="12" s="1"/>
  <c r="Z76" i="12"/>
  <c r="X76" i="12"/>
  <c r="P76" i="12"/>
  <c r="N76" i="12"/>
  <c r="L76" i="12"/>
  <c r="D76" i="12"/>
  <c r="B76" i="12"/>
  <c r="Z75" i="12"/>
  <c r="X75" i="12"/>
  <c r="P75" i="12"/>
  <c r="N75" i="12"/>
  <c r="L75" i="12"/>
  <c r="D75" i="12"/>
  <c r="B75" i="12"/>
  <c r="Z74" i="12"/>
  <c r="X74" i="12"/>
  <c r="P74" i="12"/>
  <c r="N74" i="12"/>
  <c r="L74" i="12"/>
  <c r="D74" i="12"/>
  <c r="B74" i="12"/>
  <c r="Z73" i="12"/>
  <c r="P73" i="12"/>
  <c r="X73" i="12" s="1"/>
  <c r="N73" i="12"/>
  <c r="L73" i="12"/>
  <c r="D73" i="12"/>
  <c r="B73" i="12"/>
  <c r="Z72" i="12"/>
  <c r="P72" i="12"/>
  <c r="X72" i="12" s="1"/>
  <c r="N72" i="12"/>
  <c r="L72" i="12"/>
  <c r="D72" i="12"/>
  <c r="B72" i="12"/>
  <c r="Z71" i="12"/>
  <c r="P71" i="12"/>
  <c r="X71" i="12" s="1"/>
  <c r="N71" i="12"/>
  <c r="L71" i="12"/>
  <c r="D71" i="12"/>
  <c r="B71" i="12"/>
  <c r="Z70" i="12"/>
  <c r="P70" i="12"/>
  <c r="X70" i="12" s="1"/>
  <c r="N70" i="12"/>
  <c r="D70" i="12"/>
  <c r="L70" i="12" s="1"/>
  <c r="B70" i="12"/>
  <c r="Z69" i="12"/>
  <c r="P69" i="12"/>
  <c r="X69" i="12" s="1"/>
  <c r="N69" i="12"/>
  <c r="D69" i="12"/>
  <c r="L69" i="12" s="1"/>
  <c r="B69" i="12"/>
  <c r="Z68" i="12"/>
  <c r="P68" i="12"/>
  <c r="X68" i="12" s="1"/>
  <c r="N68" i="12"/>
  <c r="D68" i="12"/>
  <c r="L68" i="12" s="1"/>
  <c r="B68" i="12"/>
  <c r="Z67" i="12"/>
  <c r="X67" i="12"/>
  <c r="P67" i="12"/>
  <c r="N67" i="12"/>
  <c r="D67" i="12"/>
  <c r="L67" i="12" s="1"/>
  <c r="B67" i="12"/>
  <c r="Z66" i="12"/>
  <c r="P66" i="12"/>
  <c r="X66" i="12" s="1"/>
  <c r="N66" i="12"/>
  <c r="D66" i="12"/>
  <c r="L66" i="12" s="1"/>
  <c r="B66" i="12"/>
  <c r="Z65" i="12"/>
  <c r="X65" i="12"/>
  <c r="P65" i="12"/>
  <c r="N65" i="12"/>
  <c r="D65" i="12"/>
  <c r="L65" i="12" s="1"/>
  <c r="B65" i="12"/>
  <c r="Z64" i="12"/>
  <c r="X64" i="12"/>
  <c r="P64" i="12"/>
  <c r="N64" i="12"/>
  <c r="L64" i="12"/>
  <c r="D64" i="12"/>
  <c r="B64" i="12"/>
  <c r="Z63" i="12"/>
  <c r="X63" i="12"/>
  <c r="P63" i="12"/>
  <c r="N63" i="12"/>
  <c r="L63" i="12"/>
  <c r="D63" i="12"/>
  <c r="B63" i="12"/>
  <c r="Z62" i="12"/>
  <c r="X62" i="12"/>
  <c r="P62" i="12"/>
  <c r="N62" i="12"/>
  <c r="L62" i="12"/>
  <c r="D62" i="12"/>
  <c r="B62" i="12"/>
  <c r="Z61" i="12"/>
  <c r="P61" i="12"/>
  <c r="X61" i="12" s="1"/>
  <c r="N61" i="12"/>
  <c r="L61" i="12"/>
  <c r="D61" i="12"/>
  <c r="B61" i="12"/>
  <c r="Z60" i="12"/>
  <c r="P60" i="12"/>
  <c r="X60" i="12" s="1"/>
  <c r="N60" i="12"/>
  <c r="L60" i="12"/>
  <c r="D60" i="12"/>
  <c r="B60" i="12"/>
  <c r="Z59" i="12"/>
  <c r="P59" i="12"/>
  <c r="X59" i="12" s="1"/>
  <c r="N59" i="12"/>
  <c r="L59" i="12"/>
  <c r="D59" i="12"/>
  <c r="B59" i="12"/>
  <c r="Z58" i="12"/>
  <c r="P58" i="12"/>
  <c r="X58" i="12" s="1"/>
  <c r="N58" i="12"/>
  <c r="D58" i="12"/>
  <c r="L58" i="12" s="1"/>
  <c r="B58" i="12"/>
  <c r="Z57" i="12"/>
  <c r="P57" i="12"/>
  <c r="X57" i="12" s="1"/>
  <c r="N57" i="12"/>
  <c r="D57" i="12"/>
  <c r="L57" i="12" s="1"/>
  <c r="B57" i="12"/>
  <c r="Z56" i="12"/>
  <c r="P56" i="12"/>
  <c r="X56" i="12" s="1"/>
  <c r="N56" i="12"/>
  <c r="D56" i="12"/>
  <c r="L56" i="12" s="1"/>
  <c r="B56" i="12"/>
  <c r="Z55" i="12"/>
  <c r="X55" i="12"/>
  <c r="P55" i="12"/>
  <c r="N55" i="12"/>
  <c r="D55" i="12"/>
  <c r="L55" i="12" s="1"/>
  <c r="B55" i="12"/>
  <c r="Z54" i="12"/>
  <c r="P54" i="12"/>
  <c r="X54" i="12" s="1"/>
  <c r="N54" i="12"/>
  <c r="D54" i="12"/>
  <c r="L54" i="12" s="1"/>
  <c r="B54" i="12"/>
  <c r="Z53" i="12"/>
  <c r="X53" i="12"/>
  <c r="P53" i="12"/>
  <c r="N53" i="12"/>
  <c r="D53" i="12"/>
  <c r="L53" i="12" s="1"/>
  <c r="B53" i="12"/>
  <c r="Z52" i="12"/>
  <c r="X52" i="12"/>
  <c r="P52" i="12"/>
  <c r="N52" i="12"/>
  <c r="L52" i="12"/>
  <c r="D52" i="12"/>
  <c r="B52" i="12"/>
  <c r="Z51" i="12"/>
  <c r="X51" i="12"/>
  <c r="P51" i="12"/>
  <c r="N51" i="12"/>
  <c r="D51" i="12"/>
  <c r="L51" i="12" s="1"/>
  <c r="B51" i="12"/>
  <c r="Z50" i="12"/>
  <c r="X50" i="12"/>
  <c r="P50" i="12"/>
  <c r="N50" i="12"/>
  <c r="L50" i="12"/>
  <c r="D50" i="12"/>
  <c r="B50" i="12"/>
  <c r="Z49" i="12"/>
  <c r="P49" i="12"/>
  <c r="X49" i="12" s="1"/>
  <c r="N49" i="12"/>
  <c r="L49" i="12"/>
  <c r="D49" i="12"/>
  <c r="B49" i="12"/>
  <c r="Z48" i="12"/>
  <c r="P48" i="12"/>
  <c r="X48" i="12" s="1"/>
  <c r="N48" i="12"/>
  <c r="L48" i="12"/>
  <c r="D48" i="12"/>
  <c r="B48" i="12"/>
  <c r="Z47" i="12"/>
  <c r="X47" i="12"/>
  <c r="P47" i="12"/>
  <c r="N47" i="12"/>
  <c r="L47" i="12"/>
  <c r="D47" i="12"/>
  <c r="B47" i="12"/>
  <c r="Z46" i="12"/>
  <c r="P46" i="12"/>
  <c r="X46" i="12" s="1"/>
  <c r="N46" i="12"/>
  <c r="D46" i="12"/>
  <c r="L46" i="12" s="1"/>
  <c r="B46" i="12"/>
  <c r="Z45" i="12"/>
  <c r="P45" i="12"/>
  <c r="X45" i="12" s="1"/>
  <c r="N45" i="12"/>
  <c r="D45" i="12"/>
  <c r="L45" i="12" s="1"/>
  <c r="B45" i="12"/>
  <c r="Z44" i="12"/>
  <c r="P44" i="12"/>
  <c r="X44" i="12" s="1"/>
  <c r="N44" i="12"/>
  <c r="L44" i="12"/>
  <c r="D44" i="12"/>
  <c r="B44" i="12"/>
  <c r="Z43" i="12"/>
  <c r="X43" i="12"/>
  <c r="P43" i="12"/>
  <c r="N43" i="12"/>
  <c r="D43" i="12"/>
  <c r="L43" i="12" s="1"/>
  <c r="B43" i="12"/>
  <c r="Z42" i="12"/>
  <c r="P42" i="12"/>
  <c r="X42" i="12" s="1"/>
  <c r="N42" i="12"/>
  <c r="D42" i="12"/>
  <c r="L42" i="12" s="1"/>
  <c r="B42" i="12"/>
  <c r="Z41" i="12"/>
  <c r="X41" i="12"/>
  <c r="P41" i="12"/>
  <c r="N41" i="12"/>
  <c r="D41" i="12"/>
  <c r="L41" i="12" s="1"/>
  <c r="B41" i="12"/>
  <c r="Z40" i="12"/>
  <c r="X40" i="12"/>
  <c r="P40" i="12"/>
  <c r="N40" i="12"/>
  <c r="L40" i="12"/>
  <c r="D40" i="12"/>
  <c r="B40" i="12"/>
  <c r="Z39" i="12"/>
  <c r="X39" i="12"/>
  <c r="P39" i="12"/>
  <c r="N39" i="12"/>
  <c r="D39" i="12"/>
  <c r="L39" i="12" s="1"/>
  <c r="B39" i="12"/>
  <c r="Z38" i="12"/>
  <c r="P38" i="12"/>
  <c r="X38" i="12" s="1"/>
  <c r="N38" i="12"/>
  <c r="L38" i="12"/>
  <c r="D38" i="12"/>
  <c r="B38" i="12"/>
  <c r="Z37" i="12"/>
  <c r="P37" i="12"/>
  <c r="X37" i="12" s="1"/>
  <c r="N37" i="12"/>
  <c r="L37" i="12"/>
  <c r="D37" i="12"/>
  <c r="B37" i="12"/>
  <c r="Z36" i="12"/>
  <c r="P36" i="12"/>
  <c r="X36" i="12" s="1"/>
  <c r="N36" i="12"/>
  <c r="L36" i="12"/>
  <c r="D36" i="12"/>
  <c r="B36" i="12"/>
  <c r="P35" i="12"/>
  <c r="X35" i="12" s="1"/>
  <c r="Z35" i="12" s="1"/>
  <c r="D35" i="12"/>
  <c r="L35" i="12" s="1"/>
  <c r="N35" i="12" s="1"/>
  <c r="B35" i="12"/>
  <c r="Z34" i="12"/>
  <c r="P34" i="12"/>
  <c r="X34" i="12" s="1"/>
  <c r="N34" i="12"/>
  <c r="D34" i="12"/>
  <c r="L34" i="12" s="1"/>
  <c r="B34" i="12"/>
  <c r="Z33" i="12"/>
  <c r="P33" i="12"/>
  <c r="X33" i="12" s="1"/>
  <c r="N33" i="12"/>
  <c r="D33" i="12"/>
  <c r="L33" i="12" s="1"/>
  <c r="B33" i="12"/>
  <c r="Z32" i="12"/>
  <c r="P32" i="12"/>
  <c r="X32" i="12" s="1"/>
  <c r="N32" i="12"/>
  <c r="L32" i="12"/>
  <c r="D32" i="12"/>
  <c r="B32" i="12"/>
  <c r="Z31" i="12"/>
  <c r="X31" i="12"/>
  <c r="P31" i="12"/>
  <c r="N31" i="12"/>
  <c r="D31" i="12"/>
  <c r="L31" i="12" s="1"/>
  <c r="B31" i="12"/>
  <c r="Z30" i="12"/>
  <c r="X30" i="12"/>
  <c r="P30" i="12"/>
  <c r="N30" i="12"/>
  <c r="D30" i="12"/>
  <c r="L30" i="12" s="1"/>
  <c r="B30" i="12"/>
  <c r="Z29" i="12"/>
  <c r="X29" i="12"/>
  <c r="P29" i="12"/>
  <c r="N29" i="12"/>
  <c r="D29" i="12"/>
  <c r="L29" i="12" s="1"/>
  <c r="B29" i="12"/>
  <c r="Z28" i="12"/>
  <c r="X28" i="12"/>
  <c r="P28" i="12"/>
  <c r="N28" i="12"/>
  <c r="L28" i="12"/>
  <c r="D28" i="12"/>
  <c r="B28" i="12"/>
  <c r="Z27" i="12"/>
  <c r="X27" i="12"/>
  <c r="P27" i="12"/>
  <c r="N27" i="12"/>
  <c r="D27" i="12"/>
  <c r="L27" i="12" s="1"/>
  <c r="B27" i="12"/>
  <c r="Z26" i="12"/>
  <c r="P26" i="12"/>
  <c r="X26" i="12" s="1"/>
  <c r="N26" i="12"/>
  <c r="L26" i="12"/>
  <c r="D26" i="12"/>
  <c r="B26" i="12"/>
  <c r="Z25" i="12"/>
  <c r="P25" i="12"/>
  <c r="X25" i="12" s="1"/>
  <c r="N25" i="12"/>
  <c r="L25" i="12"/>
  <c r="D25" i="12"/>
  <c r="B25" i="12"/>
  <c r="Z24" i="12"/>
  <c r="P24" i="12"/>
  <c r="X24" i="12" s="1"/>
  <c r="N24" i="12"/>
  <c r="L24" i="12"/>
  <c r="D24" i="12"/>
  <c r="B24" i="12"/>
  <c r="Z23" i="12"/>
  <c r="X23" i="12"/>
  <c r="P23" i="12"/>
  <c r="N23" i="12"/>
  <c r="D23" i="12"/>
  <c r="L23" i="12" s="1"/>
  <c r="B23" i="12"/>
  <c r="Z22" i="12"/>
  <c r="P22" i="12"/>
  <c r="X22" i="12" s="1"/>
  <c r="N22" i="12"/>
  <c r="L22" i="12"/>
  <c r="D22" i="12"/>
  <c r="B22" i="12"/>
  <c r="Z21" i="12"/>
  <c r="P21" i="12"/>
  <c r="X21" i="12" s="1"/>
  <c r="N21" i="12"/>
  <c r="D21" i="12"/>
  <c r="L21" i="12" s="1"/>
  <c r="B21" i="12"/>
  <c r="Z20" i="12"/>
  <c r="P20" i="12"/>
  <c r="X20" i="12" s="1"/>
  <c r="N20" i="12"/>
  <c r="D20" i="12"/>
  <c r="L20" i="12" s="1"/>
  <c r="B20" i="12"/>
  <c r="Z19" i="12"/>
  <c r="X19" i="12"/>
  <c r="P19" i="12"/>
  <c r="N19" i="12"/>
  <c r="D19" i="12"/>
  <c r="L19" i="12" s="1"/>
  <c r="B19" i="12"/>
  <c r="Z18" i="12"/>
  <c r="X18" i="12"/>
  <c r="P18" i="12"/>
  <c r="N18" i="12"/>
  <c r="D18" i="12"/>
  <c r="L18" i="12" s="1"/>
  <c r="B18" i="12"/>
  <c r="Z17" i="12"/>
  <c r="X17" i="12"/>
  <c r="P17" i="12"/>
  <c r="N17" i="12"/>
  <c r="D17" i="12"/>
  <c r="L17" i="12" s="1"/>
  <c r="B17" i="12"/>
  <c r="Z16" i="12"/>
  <c r="X16" i="12"/>
  <c r="P16" i="12"/>
  <c r="N16" i="12"/>
  <c r="L16" i="12"/>
  <c r="D16" i="12"/>
  <c r="B16" i="12"/>
  <c r="Z15" i="12"/>
  <c r="X15" i="12"/>
  <c r="P15" i="12"/>
  <c r="N15" i="12"/>
  <c r="L15" i="12"/>
  <c r="D15" i="12"/>
  <c r="B15" i="12"/>
  <c r="Z14" i="12"/>
  <c r="P14" i="12"/>
  <c r="X14" i="12" s="1"/>
  <c r="N14" i="12"/>
  <c r="L14" i="12"/>
  <c r="D14" i="12"/>
  <c r="B14" i="12"/>
  <c r="P13" i="12"/>
  <c r="N13" i="12"/>
  <c r="L13" i="12"/>
  <c r="D13" i="12"/>
  <c r="B13" i="12"/>
  <c r="T12" i="12"/>
  <c r="V203" i="12" s="1"/>
  <c r="H12" i="12"/>
  <c r="J166" i="12" s="1"/>
  <c r="D4" i="12"/>
  <c r="V109" i="9"/>
  <c r="Z104" i="9"/>
  <c r="X104" i="9"/>
  <c r="N104" i="9"/>
  <c r="L104" i="9"/>
  <c r="J104" i="9"/>
  <c r="Z100" i="9"/>
  <c r="P100" i="9"/>
  <c r="X100" i="9" s="1"/>
  <c r="N100" i="9"/>
  <c r="D100" i="9"/>
  <c r="L100" i="9" s="1"/>
  <c r="B100" i="9"/>
  <c r="Z99" i="9"/>
  <c r="X99" i="9"/>
  <c r="P99" i="9"/>
  <c r="N99" i="9"/>
  <c r="L99" i="9"/>
  <c r="D99" i="9"/>
  <c r="B99" i="9"/>
  <c r="Z98" i="9"/>
  <c r="P98" i="9"/>
  <c r="X98" i="9" s="1"/>
  <c r="N98" i="9"/>
  <c r="L98" i="9"/>
  <c r="D98" i="9"/>
  <c r="B98" i="9"/>
  <c r="Z97" i="9"/>
  <c r="V97" i="9"/>
  <c r="T97" i="9"/>
  <c r="P97" i="9"/>
  <c r="X97" i="9" s="1"/>
  <c r="H97" i="9"/>
  <c r="N97" i="9" s="1"/>
  <c r="X95" i="9"/>
  <c r="Z95" i="9" s="1"/>
  <c r="N95" i="9"/>
  <c r="L95" i="9"/>
  <c r="J95" i="9"/>
  <c r="B95" i="9"/>
  <c r="Z94" i="9"/>
  <c r="X94" i="9"/>
  <c r="N94" i="9"/>
  <c r="L94" i="9"/>
  <c r="J94" i="9"/>
  <c r="B94" i="9"/>
  <c r="T93" i="9"/>
  <c r="X93" i="9" s="1"/>
  <c r="Z93" i="9" s="1"/>
  <c r="P93" i="9"/>
  <c r="H93" i="9"/>
  <c r="D93" i="9"/>
  <c r="B93" i="9"/>
  <c r="X92" i="9"/>
  <c r="Z92" i="9" s="1"/>
  <c r="L92" i="9"/>
  <c r="N92" i="9" s="1"/>
  <c r="B92" i="9"/>
  <c r="V91" i="9"/>
  <c r="T91" i="9"/>
  <c r="P91" i="9"/>
  <c r="X91" i="9" s="1"/>
  <c r="Z91" i="9" s="1"/>
  <c r="H91" i="9"/>
  <c r="D91" i="9"/>
  <c r="L91" i="9" s="1"/>
  <c r="B91" i="9"/>
  <c r="X90" i="9"/>
  <c r="Z90" i="9" s="1"/>
  <c r="N90" i="9"/>
  <c r="L90" i="9"/>
  <c r="B90" i="9"/>
  <c r="X89" i="9"/>
  <c r="Z89" i="9" s="1"/>
  <c r="N89" i="9"/>
  <c r="L89" i="9"/>
  <c r="B89" i="9"/>
  <c r="X88" i="9"/>
  <c r="T88" i="9"/>
  <c r="Z88" i="9" s="1"/>
  <c r="P88" i="9"/>
  <c r="L88" i="9"/>
  <c r="H88" i="9"/>
  <c r="N88" i="9" s="1"/>
  <c r="D88" i="9"/>
  <c r="B88" i="9"/>
  <c r="X87" i="9"/>
  <c r="Z87" i="9" s="1"/>
  <c r="N87" i="9"/>
  <c r="L87" i="9"/>
  <c r="J87" i="9"/>
  <c r="B87" i="9"/>
  <c r="Z86" i="9"/>
  <c r="X86" i="9"/>
  <c r="N86" i="9"/>
  <c r="L86" i="9"/>
  <c r="J86" i="9"/>
  <c r="B86" i="9"/>
  <c r="Z85" i="9"/>
  <c r="X85" i="9"/>
  <c r="N85" i="9"/>
  <c r="L85" i="9"/>
  <c r="B85" i="9"/>
  <c r="Z84" i="9"/>
  <c r="X84" i="9"/>
  <c r="L84" i="9"/>
  <c r="N84" i="9" s="1"/>
  <c r="B84" i="9"/>
  <c r="X83" i="9"/>
  <c r="Z83" i="9" s="1"/>
  <c r="N83" i="9"/>
  <c r="L83" i="9"/>
  <c r="J83" i="9"/>
  <c r="B83" i="9"/>
  <c r="T82" i="9"/>
  <c r="Z82" i="9" s="1"/>
  <c r="P82" i="9"/>
  <c r="X82" i="9" s="1"/>
  <c r="H82" i="9"/>
  <c r="D82" i="9"/>
  <c r="L82" i="9" s="1"/>
  <c r="B82" i="9"/>
  <c r="Z81" i="9"/>
  <c r="X81" i="9"/>
  <c r="L81" i="9"/>
  <c r="N81" i="9" s="1"/>
  <c r="B81" i="9"/>
  <c r="X80" i="9"/>
  <c r="Z80" i="9" s="1"/>
  <c r="L80" i="9"/>
  <c r="N80" i="9" s="1"/>
  <c r="B80" i="9"/>
  <c r="V79" i="9"/>
  <c r="T79" i="9"/>
  <c r="P79" i="9"/>
  <c r="X79" i="9" s="1"/>
  <c r="Z79" i="9" s="1"/>
  <c r="H79" i="9"/>
  <c r="N79" i="9" s="1"/>
  <c r="D79" i="9"/>
  <c r="L79" i="9" s="1"/>
  <c r="B79" i="9"/>
  <c r="X78" i="9"/>
  <c r="Z78" i="9" s="1"/>
  <c r="N78" i="9"/>
  <c r="L78" i="9"/>
  <c r="B78" i="9"/>
  <c r="X77" i="9"/>
  <c r="Z77" i="9" s="1"/>
  <c r="N77" i="9"/>
  <c r="L77" i="9"/>
  <c r="B77" i="9"/>
  <c r="X76" i="9"/>
  <c r="T76" i="9"/>
  <c r="Z76" i="9" s="1"/>
  <c r="P76" i="9"/>
  <c r="L76" i="9"/>
  <c r="H76" i="9"/>
  <c r="N76" i="9" s="1"/>
  <c r="D76" i="9"/>
  <c r="B76" i="9"/>
  <c r="Z75" i="9"/>
  <c r="X75" i="9"/>
  <c r="N75" i="9"/>
  <c r="L75" i="9"/>
  <c r="J75" i="9"/>
  <c r="B75" i="9"/>
  <c r="Z74" i="9"/>
  <c r="X74" i="9"/>
  <c r="N74" i="9"/>
  <c r="L74" i="9"/>
  <c r="J74" i="9"/>
  <c r="B74" i="9"/>
  <c r="Z73" i="9"/>
  <c r="X73" i="9"/>
  <c r="N73" i="9"/>
  <c r="L73" i="9"/>
  <c r="B73" i="9"/>
  <c r="Z72" i="9"/>
  <c r="X72" i="9"/>
  <c r="L72" i="9"/>
  <c r="N72" i="9" s="1"/>
  <c r="B72" i="9"/>
  <c r="T71" i="9"/>
  <c r="P71" i="9"/>
  <c r="H71" i="9"/>
  <c r="L71" i="9" s="1"/>
  <c r="N71" i="9" s="1"/>
  <c r="D71" i="9"/>
  <c r="B71" i="9"/>
  <c r="Z70" i="9"/>
  <c r="X70" i="9"/>
  <c r="V70" i="9"/>
  <c r="L70" i="9"/>
  <c r="N70" i="9" s="1"/>
  <c r="B70" i="9"/>
  <c r="Z69" i="9"/>
  <c r="X69" i="9"/>
  <c r="L69" i="9"/>
  <c r="N69" i="9" s="1"/>
  <c r="B69" i="9"/>
  <c r="X68" i="9"/>
  <c r="Z68" i="9" s="1"/>
  <c r="L68" i="9"/>
  <c r="N68" i="9" s="1"/>
  <c r="B68" i="9"/>
  <c r="Z67" i="9"/>
  <c r="X67" i="9"/>
  <c r="V67" i="9"/>
  <c r="N67" i="9"/>
  <c r="L67" i="9"/>
  <c r="B67" i="9"/>
  <c r="V66" i="9"/>
  <c r="T66" i="9"/>
  <c r="P66" i="9"/>
  <c r="X66" i="9" s="1"/>
  <c r="Z66" i="9" s="1"/>
  <c r="L66" i="9"/>
  <c r="H66" i="9"/>
  <c r="N66" i="9" s="1"/>
  <c r="D66" i="9"/>
  <c r="B66" i="9"/>
  <c r="X65" i="9"/>
  <c r="Z65" i="9" s="1"/>
  <c r="N65" i="9"/>
  <c r="L65" i="9"/>
  <c r="B65" i="9"/>
  <c r="X64" i="9"/>
  <c r="Z64" i="9" s="1"/>
  <c r="N64" i="9"/>
  <c r="L64" i="9"/>
  <c r="B64" i="9"/>
  <c r="T63" i="9"/>
  <c r="P63" i="9"/>
  <c r="X63" i="9" s="1"/>
  <c r="Z63" i="9" s="1"/>
  <c r="L63" i="9"/>
  <c r="N63" i="9" s="1"/>
  <c r="H63" i="9"/>
  <c r="D63" i="9"/>
  <c r="B63" i="9"/>
  <c r="X62" i="9"/>
  <c r="Z62" i="9" s="1"/>
  <c r="N62" i="9"/>
  <c r="L62" i="9"/>
  <c r="J62" i="9"/>
  <c r="B62" i="9"/>
  <c r="T61" i="9"/>
  <c r="X61" i="9" s="1"/>
  <c r="Z61" i="9" s="1"/>
  <c r="P61" i="9"/>
  <c r="H61" i="9"/>
  <c r="D61" i="9"/>
  <c r="B61" i="9"/>
  <c r="X60" i="9"/>
  <c r="Z60" i="9" s="1"/>
  <c r="L60" i="9"/>
  <c r="N60" i="9" s="1"/>
  <c r="B60" i="9"/>
  <c r="Z59" i="9"/>
  <c r="X59" i="9"/>
  <c r="V59" i="9"/>
  <c r="N59" i="9"/>
  <c r="L59" i="9"/>
  <c r="B59" i="9"/>
  <c r="V58" i="9"/>
  <c r="T58" i="9"/>
  <c r="P58" i="9"/>
  <c r="X58" i="9" s="1"/>
  <c r="Z58" i="9" s="1"/>
  <c r="L58" i="9"/>
  <c r="H58" i="9"/>
  <c r="N58" i="9" s="1"/>
  <c r="D58" i="9"/>
  <c r="B58" i="9"/>
  <c r="X57" i="9"/>
  <c r="Z57" i="9" s="1"/>
  <c r="N57" i="9"/>
  <c r="L57" i="9"/>
  <c r="B57" i="9"/>
  <c r="X56" i="9"/>
  <c r="T56" i="9"/>
  <c r="Z56" i="9" s="1"/>
  <c r="P56" i="9"/>
  <c r="L56" i="9"/>
  <c r="H56" i="9"/>
  <c r="N56" i="9" s="1"/>
  <c r="D56" i="9"/>
  <c r="B56" i="9"/>
  <c r="X55" i="9"/>
  <c r="Z55" i="9" s="1"/>
  <c r="N55" i="9"/>
  <c r="L55" i="9"/>
  <c r="J55" i="9"/>
  <c r="B55" i="9"/>
  <c r="T54" i="9"/>
  <c r="P54" i="9"/>
  <c r="H54" i="9"/>
  <c r="N54" i="9" s="1"/>
  <c r="D54" i="9"/>
  <c r="L54" i="9" s="1"/>
  <c r="B54" i="9"/>
  <c r="Z53" i="9"/>
  <c r="X53" i="9"/>
  <c r="L53" i="9"/>
  <c r="N53" i="9" s="1"/>
  <c r="B53" i="9"/>
  <c r="X52" i="9"/>
  <c r="T52" i="9"/>
  <c r="Z52" i="9" s="1"/>
  <c r="P52" i="9"/>
  <c r="J52" i="9"/>
  <c r="H52" i="9"/>
  <c r="D52" i="9"/>
  <c r="L52" i="9" s="1"/>
  <c r="N52" i="9" s="1"/>
  <c r="B52" i="9"/>
  <c r="Z51" i="9"/>
  <c r="X51" i="9"/>
  <c r="N51" i="9"/>
  <c r="L51" i="9"/>
  <c r="B51" i="9"/>
  <c r="X50" i="9"/>
  <c r="Z50" i="9" s="1"/>
  <c r="L50" i="9"/>
  <c r="N50" i="9" s="1"/>
  <c r="B50" i="9"/>
  <c r="X49" i="9"/>
  <c r="Z49" i="9" s="1"/>
  <c r="T49" i="9"/>
  <c r="P49" i="9"/>
  <c r="H49" i="9"/>
  <c r="D49" i="9"/>
  <c r="L49" i="9" s="1"/>
  <c r="N49" i="9" s="1"/>
  <c r="B49" i="9"/>
  <c r="Z48" i="9"/>
  <c r="X48" i="9"/>
  <c r="L48" i="9"/>
  <c r="N48" i="9" s="1"/>
  <c r="B48" i="9"/>
  <c r="T47" i="9"/>
  <c r="P47" i="9"/>
  <c r="H47" i="9"/>
  <c r="L47" i="9" s="1"/>
  <c r="N47" i="9" s="1"/>
  <c r="D47" i="9"/>
  <c r="B47" i="9"/>
  <c r="Z46" i="9"/>
  <c r="X46" i="9"/>
  <c r="V46" i="9"/>
  <c r="L46" i="9"/>
  <c r="N46" i="9" s="1"/>
  <c r="B46" i="9"/>
  <c r="T45" i="9"/>
  <c r="P45" i="9"/>
  <c r="X45" i="9" s="1"/>
  <c r="J45" i="9"/>
  <c r="H45" i="9"/>
  <c r="D45" i="9"/>
  <c r="L45" i="9" s="1"/>
  <c r="N45" i="9" s="1"/>
  <c r="B45" i="9"/>
  <c r="X44" i="9"/>
  <c r="Z44" i="9" s="1"/>
  <c r="V44" i="9"/>
  <c r="N44" i="9"/>
  <c r="L44" i="9"/>
  <c r="B44" i="9"/>
  <c r="T43" i="9"/>
  <c r="P43" i="9"/>
  <c r="X43" i="9" s="1"/>
  <c r="Z43" i="9" s="1"/>
  <c r="L43" i="9"/>
  <c r="N43" i="9" s="1"/>
  <c r="H43" i="9"/>
  <c r="D43" i="9"/>
  <c r="B43" i="9"/>
  <c r="Z42" i="9"/>
  <c r="X42" i="9"/>
  <c r="N42" i="9"/>
  <c r="L42" i="9"/>
  <c r="J42" i="9"/>
  <c r="B42" i="9"/>
  <c r="Z41" i="9"/>
  <c r="X41" i="9"/>
  <c r="N41" i="9"/>
  <c r="L41" i="9"/>
  <c r="B41" i="9"/>
  <c r="Z40" i="9"/>
  <c r="X40" i="9"/>
  <c r="L40" i="9"/>
  <c r="N40" i="9" s="1"/>
  <c r="B40" i="9"/>
  <c r="X39" i="9"/>
  <c r="Z39" i="9" s="1"/>
  <c r="N39" i="9"/>
  <c r="L39" i="9"/>
  <c r="J39" i="9"/>
  <c r="B39" i="9"/>
  <c r="Z38" i="9"/>
  <c r="X38" i="9"/>
  <c r="N38" i="9"/>
  <c r="L38" i="9"/>
  <c r="J38" i="9"/>
  <c r="B38" i="9"/>
  <c r="Z37" i="9"/>
  <c r="X37" i="9"/>
  <c r="V37" i="9"/>
  <c r="N37" i="9"/>
  <c r="L37" i="9"/>
  <c r="B37" i="9"/>
  <c r="Z36" i="9"/>
  <c r="X36" i="9"/>
  <c r="L36" i="9"/>
  <c r="N36" i="9" s="1"/>
  <c r="B36" i="9"/>
  <c r="Z35" i="9"/>
  <c r="X35" i="9"/>
  <c r="N35" i="9"/>
  <c r="L35" i="9"/>
  <c r="J35" i="9"/>
  <c r="B35" i="9"/>
  <c r="X34" i="9"/>
  <c r="Z34" i="9" s="1"/>
  <c r="N34" i="9"/>
  <c r="L34" i="9"/>
  <c r="J34" i="9"/>
  <c r="B34" i="9"/>
  <c r="Z33" i="9"/>
  <c r="X33" i="9"/>
  <c r="V33" i="9"/>
  <c r="N33" i="9"/>
  <c r="L33" i="9"/>
  <c r="B33" i="9"/>
  <c r="T32" i="9"/>
  <c r="Z32" i="9" s="1"/>
  <c r="P32" i="9"/>
  <c r="X32" i="9" s="1"/>
  <c r="H32" i="9"/>
  <c r="D32" i="9"/>
  <c r="L32" i="9" s="1"/>
  <c r="B32" i="9"/>
  <c r="Z31" i="9"/>
  <c r="X31" i="9"/>
  <c r="V31" i="9"/>
  <c r="N31" i="9"/>
  <c r="L31" i="9"/>
  <c r="B31" i="9"/>
  <c r="Z30" i="9"/>
  <c r="X30" i="9"/>
  <c r="V30" i="9"/>
  <c r="L30" i="9"/>
  <c r="N30" i="9" s="1"/>
  <c r="B30" i="9"/>
  <c r="Z29" i="9"/>
  <c r="X29" i="9"/>
  <c r="L29" i="9"/>
  <c r="N29" i="9" s="1"/>
  <c r="B29" i="9"/>
  <c r="X28" i="9"/>
  <c r="Z28" i="9" s="1"/>
  <c r="L28" i="9"/>
  <c r="N28" i="9" s="1"/>
  <c r="J28" i="9"/>
  <c r="B28" i="9"/>
  <c r="Z27" i="9"/>
  <c r="X27" i="9"/>
  <c r="V27" i="9"/>
  <c r="N27" i="9"/>
  <c r="L27" i="9"/>
  <c r="B27" i="9"/>
  <c r="Z26" i="9"/>
  <c r="X26" i="9"/>
  <c r="V26" i="9"/>
  <c r="L26" i="9"/>
  <c r="N26" i="9" s="1"/>
  <c r="B26" i="9"/>
  <c r="Z25" i="9"/>
  <c r="X25" i="9"/>
  <c r="L25" i="9"/>
  <c r="N25" i="9" s="1"/>
  <c r="B25" i="9"/>
  <c r="X24" i="9"/>
  <c r="Z24" i="9" s="1"/>
  <c r="L24" i="9"/>
  <c r="N24" i="9" s="1"/>
  <c r="J24" i="9"/>
  <c r="B24" i="9"/>
  <c r="Z23" i="9"/>
  <c r="X23" i="9"/>
  <c r="V23" i="9"/>
  <c r="N23" i="9"/>
  <c r="L23" i="9"/>
  <c r="B23" i="9"/>
  <c r="Z22" i="9"/>
  <c r="X22" i="9"/>
  <c r="V22" i="9"/>
  <c r="L22" i="9"/>
  <c r="N22" i="9" s="1"/>
  <c r="B22" i="9"/>
  <c r="Z21" i="9"/>
  <c r="X21" i="9"/>
  <c r="V21" i="9"/>
  <c r="L21" i="9"/>
  <c r="N21" i="9" s="1"/>
  <c r="B21" i="9"/>
  <c r="X20" i="9"/>
  <c r="T20" i="9"/>
  <c r="Z20" i="9" s="1"/>
  <c r="P20" i="9"/>
  <c r="J20" i="9"/>
  <c r="H20" i="9"/>
  <c r="D20" i="9"/>
  <c r="L20" i="9" s="1"/>
  <c r="N20" i="9" s="1"/>
  <c r="B20" i="9"/>
  <c r="T19" i="9"/>
  <c r="P19" i="9"/>
  <c r="H19" i="9"/>
  <c r="D19" i="9"/>
  <c r="L19" i="9" s="1"/>
  <c r="N19" i="9" s="1"/>
  <c r="Z15" i="9"/>
  <c r="T15" i="9"/>
  <c r="P15" i="9"/>
  <c r="X15" i="9" s="1"/>
  <c r="N15" i="9"/>
  <c r="L15" i="9"/>
  <c r="H15" i="9"/>
  <c r="D15" i="9"/>
  <c r="Z13" i="9"/>
  <c r="P13" i="9"/>
  <c r="X13" i="9" s="1"/>
  <c r="N13" i="9"/>
  <c r="D13" i="9"/>
  <c r="D12" i="9" s="1"/>
  <c r="F43" i="9" s="1"/>
  <c r="B13" i="9"/>
  <c r="Z12" i="9"/>
  <c r="T12" i="9"/>
  <c r="V100" i="9" s="1"/>
  <c r="P12" i="9"/>
  <c r="R104" i="9" s="1"/>
  <c r="N12" i="9"/>
  <c r="H12" i="9"/>
  <c r="J102" i="9" s="1"/>
  <c r="D4" i="9"/>
  <c r="R31" i="6"/>
  <c r="X29" i="6"/>
  <c r="T29" i="6"/>
  <c r="Z29" i="6" s="1"/>
  <c r="R29" i="6"/>
  <c r="P29" i="6"/>
  <c r="H29" i="6"/>
  <c r="D29" i="6"/>
  <c r="L29" i="6" s="1"/>
  <c r="N29" i="6" s="1"/>
  <c r="X28" i="6"/>
  <c r="T28" i="6"/>
  <c r="Z28" i="6" s="1"/>
  <c r="R28" i="6"/>
  <c r="P28" i="6"/>
  <c r="H28" i="6"/>
  <c r="D28" i="6"/>
  <c r="L28" i="6" s="1"/>
  <c r="N28" i="6" s="1"/>
  <c r="R26" i="6"/>
  <c r="Z24" i="6"/>
  <c r="X24" i="6"/>
  <c r="N24" i="6"/>
  <c r="L24" i="6"/>
  <c r="J24" i="6"/>
  <c r="J22" i="6"/>
  <c r="F22" i="6"/>
  <c r="T20" i="6"/>
  <c r="Z20" i="6" s="1"/>
  <c r="P20" i="6"/>
  <c r="X20" i="6" s="1"/>
  <c r="J20" i="6"/>
  <c r="H20" i="6"/>
  <c r="N20" i="6" s="1"/>
  <c r="F20" i="6"/>
  <c r="D20" i="6"/>
  <c r="L20" i="6" s="1"/>
  <c r="T18" i="6"/>
  <c r="Z18" i="6" s="1"/>
  <c r="P18" i="6"/>
  <c r="X18" i="6" s="1"/>
  <c r="J18" i="6"/>
  <c r="H18" i="6"/>
  <c r="N18" i="6" s="1"/>
  <c r="F18" i="6"/>
  <c r="D18" i="6"/>
  <c r="L18" i="6" s="1"/>
  <c r="P16" i="6"/>
  <c r="J16" i="6"/>
  <c r="F16" i="6"/>
  <c r="T14" i="6"/>
  <c r="Z14" i="6" s="1"/>
  <c r="P14" i="6"/>
  <c r="X14" i="6" s="1"/>
  <c r="J14" i="6"/>
  <c r="H14" i="6"/>
  <c r="N14" i="6" s="1"/>
  <c r="F14" i="6"/>
  <c r="D14" i="6"/>
  <c r="L14" i="6" s="1"/>
  <c r="T12" i="6"/>
  <c r="Z12" i="6" s="1"/>
  <c r="P12" i="6"/>
  <c r="X12" i="6" s="1"/>
  <c r="N12" i="6"/>
  <c r="L12" i="6"/>
  <c r="H12" i="6"/>
  <c r="J31" i="6" s="1"/>
  <c r="D12" i="6"/>
  <c r="F24" i="6" s="1"/>
  <c r="D4" i="6"/>
  <c r="X268" i="3"/>
  <c r="Z268" i="3" s="1"/>
  <c r="T268" i="3"/>
  <c r="P268" i="3"/>
  <c r="H268" i="3"/>
  <c r="D268" i="3"/>
  <c r="L268" i="3" s="1"/>
  <c r="X267" i="3"/>
  <c r="Z267" i="3" s="1"/>
  <c r="T267" i="3"/>
  <c r="P267" i="3"/>
  <c r="H267" i="3"/>
  <c r="D267" i="3"/>
  <c r="L267" i="3" s="1"/>
  <c r="X263" i="3"/>
  <c r="Z263" i="3" s="1"/>
  <c r="N263" i="3"/>
  <c r="L263" i="3"/>
  <c r="Z259" i="3"/>
  <c r="X259" i="3"/>
  <c r="P259" i="3"/>
  <c r="N259" i="3"/>
  <c r="D259" i="3"/>
  <c r="L259" i="3" s="1"/>
  <c r="B259" i="3"/>
  <c r="Z258" i="3"/>
  <c r="V258" i="3"/>
  <c r="P258" i="3"/>
  <c r="X258" i="3" s="1"/>
  <c r="N258" i="3"/>
  <c r="L258" i="3"/>
  <c r="D258" i="3"/>
  <c r="B258" i="3"/>
  <c r="Z257" i="3"/>
  <c r="X257" i="3"/>
  <c r="P257" i="3"/>
  <c r="D257" i="3"/>
  <c r="L257" i="3" s="1"/>
  <c r="N257" i="3" s="1"/>
  <c r="B257" i="3"/>
  <c r="Z256" i="3"/>
  <c r="P256" i="3"/>
  <c r="N256" i="3"/>
  <c r="L256" i="3"/>
  <c r="D256" i="3"/>
  <c r="B256" i="3"/>
  <c r="Z255" i="3"/>
  <c r="X255" i="3"/>
  <c r="V255" i="3"/>
  <c r="P255" i="3"/>
  <c r="D255" i="3"/>
  <c r="L255" i="3" s="1"/>
  <c r="N255" i="3" s="1"/>
  <c r="B255" i="3"/>
  <c r="X254" i="3"/>
  <c r="Z254" i="3" s="1"/>
  <c r="P254" i="3"/>
  <c r="L254" i="3"/>
  <c r="N254" i="3" s="1"/>
  <c r="D254" i="3"/>
  <c r="B254" i="3"/>
  <c r="Z253" i="3"/>
  <c r="P253" i="3"/>
  <c r="X253" i="3" s="1"/>
  <c r="N253" i="3"/>
  <c r="D253" i="3"/>
  <c r="D252" i="3" s="1"/>
  <c r="L252" i="3" s="1"/>
  <c r="B253" i="3"/>
  <c r="T252" i="3"/>
  <c r="H252" i="3"/>
  <c r="N252" i="3" s="1"/>
  <c r="Z250" i="3"/>
  <c r="X250" i="3"/>
  <c r="L250" i="3"/>
  <c r="N250" i="3" s="1"/>
  <c r="B250" i="3"/>
  <c r="T249" i="3"/>
  <c r="P249" i="3"/>
  <c r="X249" i="3" s="1"/>
  <c r="H249" i="3"/>
  <c r="D249" i="3"/>
  <c r="L249" i="3" s="1"/>
  <c r="N249" i="3" s="1"/>
  <c r="B249" i="3"/>
  <c r="Z248" i="3"/>
  <c r="X248" i="3"/>
  <c r="V248" i="3"/>
  <c r="L248" i="3"/>
  <c r="N248" i="3" s="1"/>
  <c r="B248" i="3"/>
  <c r="X247" i="3"/>
  <c r="Z247" i="3" s="1"/>
  <c r="L247" i="3"/>
  <c r="N247" i="3" s="1"/>
  <c r="B247" i="3"/>
  <c r="X246" i="3"/>
  <c r="Z246" i="3" s="1"/>
  <c r="N246" i="3"/>
  <c r="L246" i="3"/>
  <c r="B246" i="3"/>
  <c r="X245" i="3"/>
  <c r="T245" i="3"/>
  <c r="Z245" i="3" s="1"/>
  <c r="P245" i="3"/>
  <c r="L245" i="3"/>
  <c r="H245" i="3"/>
  <c r="N245" i="3" s="1"/>
  <c r="D245" i="3"/>
  <c r="B245" i="3"/>
  <c r="X244" i="3"/>
  <c r="Z244" i="3" s="1"/>
  <c r="N244" i="3"/>
  <c r="L244" i="3"/>
  <c r="B244" i="3"/>
  <c r="X243" i="3"/>
  <c r="T243" i="3"/>
  <c r="Z243" i="3" s="1"/>
  <c r="P243" i="3"/>
  <c r="H243" i="3"/>
  <c r="D243" i="3"/>
  <c r="L243" i="3" s="1"/>
  <c r="B243" i="3"/>
  <c r="Z242" i="3"/>
  <c r="X242" i="3"/>
  <c r="L242" i="3"/>
  <c r="N242" i="3" s="1"/>
  <c r="B242" i="3"/>
  <c r="X241" i="3"/>
  <c r="Z241" i="3" s="1"/>
  <c r="L241" i="3"/>
  <c r="N241" i="3" s="1"/>
  <c r="B241" i="3"/>
  <c r="V240" i="3"/>
  <c r="T240" i="3"/>
  <c r="P240" i="3"/>
  <c r="X240" i="3" s="1"/>
  <c r="Z240" i="3" s="1"/>
  <c r="H240" i="3"/>
  <c r="D240" i="3"/>
  <c r="L240" i="3" s="1"/>
  <c r="N240" i="3" s="1"/>
  <c r="B240" i="3"/>
  <c r="X239" i="3"/>
  <c r="Z239" i="3" s="1"/>
  <c r="L239" i="3"/>
  <c r="N239" i="3" s="1"/>
  <c r="B239" i="3"/>
  <c r="X238" i="3"/>
  <c r="Z238" i="3" s="1"/>
  <c r="N238" i="3"/>
  <c r="L238" i="3"/>
  <c r="B238" i="3"/>
  <c r="Z237" i="3"/>
  <c r="X237" i="3"/>
  <c r="N237" i="3"/>
  <c r="L237" i="3"/>
  <c r="B237" i="3"/>
  <c r="Z236" i="3"/>
  <c r="X236" i="3"/>
  <c r="V236" i="3"/>
  <c r="L236" i="3"/>
  <c r="N236" i="3" s="1"/>
  <c r="B236" i="3"/>
  <c r="X235" i="3"/>
  <c r="Z235" i="3" s="1"/>
  <c r="L235" i="3"/>
  <c r="N235" i="3" s="1"/>
  <c r="B235" i="3"/>
  <c r="X234" i="3"/>
  <c r="Z234" i="3" s="1"/>
  <c r="N234" i="3"/>
  <c r="L234" i="3"/>
  <c r="B234" i="3"/>
  <c r="X233" i="3"/>
  <c r="Z233" i="3" s="1"/>
  <c r="N233" i="3"/>
  <c r="L233" i="3"/>
  <c r="B233" i="3"/>
  <c r="Z232" i="3"/>
  <c r="X232" i="3"/>
  <c r="V232" i="3"/>
  <c r="L232" i="3"/>
  <c r="N232" i="3" s="1"/>
  <c r="B232" i="3"/>
  <c r="X231" i="3"/>
  <c r="Z231" i="3" s="1"/>
  <c r="L231" i="3"/>
  <c r="N231" i="3" s="1"/>
  <c r="B231" i="3"/>
  <c r="X230" i="3"/>
  <c r="Z230" i="3" s="1"/>
  <c r="N230" i="3"/>
  <c r="L230" i="3"/>
  <c r="B230" i="3"/>
  <c r="X229" i="3"/>
  <c r="Z229" i="3" s="1"/>
  <c r="N229" i="3"/>
  <c r="L229" i="3"/>
  <c r="B229" i="3"/>
  <c r="V228" i="3"/>
  <c r="T228" i="3"/>
  <c r="P228" i="3"/>
  <c r="X228" i="3" s="1"/>
  <c r="L228" i="3"/>
  <c r="N228" i="3" s="1"/>
  <c r="H228" i="3"/>
  <c r="D228" i="3"/>
  <c r="B228" i="3"/>
  <c r="X227" i="3"/>
  <c r="Z227" i="3" s="1"/>
  <c r="N227" i="3"/>
  <c r="L227" i="3"/>
  <c r="B227" i="3"/>
  <c r="Z226" i="3"/>
  <c r="X226" i="3"/>
  <c r="N226" i="3"/>
  <c r="L226" i="3"/>
  <c r="B226" i="3"/>
  <c r="T225" i="3"/>
  <c r="P225" i="3"/>
  <c r="L225" i="3"/>
  <c r="H225" i="3"/>
  <c r="N225" i="3" s="1"/>
  <c r="D225" i="3"/>
  <c r="B225" i="3"/>
  <c r="Z224" i="3"/>
  <c r="X224" i="3"/>
  <c r="V224" i="3"/>
  <c r="N224" i="3"/>
  <c r="L224" i="3"/>
  <c r="B224" i="3"/>
  <c r="Z223" i="3"/>
  <c r="X223" i="3"/>
  <c r="V223" i="3"/>
  <c r="L223" i="3"/>
  <c r="N223" i="3" s="1"/>
  <c r="B223" i="3"/>
  <c r="Z222" i="3"/>
  <c r="X222" i="3"/>
  <c r="L222" i="3"/>
  <c r="N222" i="3" s="1"/>
  <c r="B222" i="3"/>
  <c r="Z221" i="3"/>
  <c r="X221" i="3"/>
  <c r="N221" i="3"/>
  <c r="L221" i="3"/>
  <c r="B221" i="3"/>
  <c r="X220" i="3"/>
  <c r="Z220" i="3" s="1"/>
  <c r="V220" i="3"/>
  <c r="N220" i="3"/>
  <c r="L220" i="3"/>
  <c r="B220" i="3"/>
  <c r="V219" i="3"/>
  <c r="T219" i="3"/>
  <c r="P219" i="3"/>
  <c r="X219" i="3" s="1"/>
  <c r="Z219" i="3" s="1"/>
  <c r="H219" i="3"/>
  <c r="N219" i="3" s="1"/>
  <c r="D219" i="3"/>
  <c r="L219" i="3" s="1"/>
  <c r="B219" i="3"/>
  <c r="X218" i="3"/>
  <c r="Z218" i="3" s="1"/>
  <c r="N218" i="3"/>
  <c r="L218" i="3"/>
  <c r="B218" i="3"/>
  <c r="X217" i="3"/>
  <c r="Z217" i="3" s="1"/>
  <c r="N217" i="3"/>
  <c r="L217" i="3"/>
  <c r="B217" i="3"/>
  <c r="Z216" i="3"/>
  <c r="X216" i="3"/>
  <c r="V216" i="3"/>
  <c r="N216" i="3"/>
  <c r="L216" i="3"/>
  <c r="B216" i="3"/>
  <c r="X215" i="3"/>
  <c r="Z215" i="3" s="1"/>
  <c r="L215" i="3"/>
  <c r="N215" i="3" s="1"/>
  <c r="B215" i="3"/>
  <c r="X214" i="3"/>
  <c r="T214" i="3"/>
  <c r="Z214" i="3" s="1"/>
  <c r="P214" i="3"/>
  <c r="H214" i="3"/>
  <c r="D214" i="3"/>
  <c r="L214" i="3" s="1"/>
  <c r="B214" i="3"/>
  <c r="Z213" i="3"/>
  <c r="X213" i="3"/>
  <c r="N213" i="3"/>
  <c r="L213" i="3"/>
  <c r="B213" i="3"/>
  <c r="Z212" i="3"/>
  <c r="X212" i="3"/>
  <c r="N212" i="3"/>
  <c r="L212" i="3"/>
  <c r="B212" i="3"/>
  <c r="X211" i="3"/>
  <c r="Z211" i="3" s="1"/>
  <c r="N211" i="3"/>
  <c r="L211" i="3"/>
  <c r="B211" i="3"/>
  <c r="Z210" i="3"/>
  <c r="X210" i="3"/>
  <c r="N210" i="3"/>
  <c r="L210" i="3"/>
  <c r="B210" i="3"/>
  <c r="T209" i="3"/>
  <c r="P209" i="3"/>
  <c r="X209" i="3" s="1"/>
  <c r="L209" i="3"/>
  <c r="H209" i="3"/>
  <c r="N209" i="3" s="1"/>
  <c r="D209" i="3"/>
  <c r="B209" i="3"/>
  <c r="Z208" i="3"/>
  <c r="X208" i="3"/>
  <c r="V208" i="3"/>
  <c r="N208" i="3"/>
  <c r="L208" i="3"/>
  <c r="B208" i="3"/>
  <c r="V207" i="3"/>
  <c r="T207" i="3"/>
  <c r="P207" i="3"/>
  <c r="X207" i="3" s="1"/>
  <c r="Z207" i="3" s="1"/>
  <c r="H207" i="3"/>
  <c r="D207" i="3"/>
  <c r="L207" i="3" s="1"/>
  <c r="B207" i="3"/>
  <c r="X206" i="3"/>
  <c r="Z206" i="3" s="1"/>
  <c r="N206" i="3"/>
  <c r="L206" i="3"/>
  <c r="B206" i="3"/>
  <c r="X205" i="3"/>
  <c r="Z205" i="3" s="1"/>
  <c r="T205" i="3"/>
  <c r="P205" i="3"/>
  <c r="L205" i="3"/>
  <c r="H205" i="3"/>
  <c r="D205" i="3"/>
  <c r="B205" i="3"/>
  <c r="Z204" i="3"/>
  <c r="X204" i="3"/>
  <c r="N204" i="3"/>
  <c r="L204" i="3"/>
  <c r="B204" i="3"/>
  <c r="X203" i="3"/>
  <c r="T203" i="3"/>
  <c r="Z203" i="3" s="1"/>
  <c r="P203" i="3"/>
  <c r="H203" i="3"/>
  <c r="D203" i="3"/>
  <c r="B203" i="3"/>
  <c r="Z202" i="3"/>
  <c r="X202" i="3"/>
  <c r="L202" i="3"/>
  <c r="N202" i="3" s="1"/>
  <c r="B202" i="3"/>
  <c r="T201" i="3"/>
  <c r="P201" i="3"/>
  <c r="X201" i="3" s="1"/>
  <c r="H201" i="3"/>
  <c r="D201" i="3"/>
  <c r="L201" i="3" s="1"/>
  <c r="N201" i="3" s="1"/>
  <c r="B201" i="3"/>
  <c r="Z200" i="3"/>
  <c r="X200" i="3"/>
  <c r="V200" i="3"/>
  <c r="N200" i="3"/>
  <c r="L200" i="3"/>
  <c r="B200" i="3"/>
  <c r="X199" i="3"/>
  <c r="T199" i="3"/>
  <c r="P199" i="3"/>
  <c r="L199" i="3"/>
  <c r="N199" i="3" s="1"/>
  <c r="H199" i="3"/>
  <c r="D199" i="3"/>
  <c r="B199" i="3"/>
  <c r="Z198" i="3"/>
  <c r="X198" i="3"/>
  <c r="N198" i="3"/>
  <c r="L198" i="3"/>
  <c r="B198" i="3"/>
  <c r="T197" i="3"/>
  <c r="P197" i="3"/>
  <c r="L197" i="3"/>
  <c r="H197" i="3"/>
  <c r="N197" i="3" s="1"/>
  <c r="D197" i="3"/>
  <c r="B197" i="3"/>
  <c r="Z196" i="3"/>
  <c r="X196" i="3"/>
  <c r="V196" i="3"/>
  <c r="N196" i="3"/>
  <c r="L196" i="3"/>
  <c r="B196" i="3"/>
  <c r="Z195" i="3"/>
  <c r="X195" i="3"/>
  <c r="V195" i="3"/>
  <c r="N195" i="3"/>
  <c r="L195" i="3"/>
  <c r="B195" i="3"/>
  <c r="Z194" i="3"/>
  <c r="X194" i="3"/>
  <c r="N194" i="3"/>
  <c r="L194" i="3"/>
  <c r="B194" i="3"/>
  <c r="T193" i="3"/>
  <c r="P193" i="3"/>
  <c r="X193" i="3" s="1"/>
  <c r="H193" i="3"/>
  <c r="D193" i="3"/>
  <c r="L193" i="3" s="1"/>
  <c r="N193" i="3" s="1"/>
  <c r="B193" i="3"/>
  <c r="Z192" i="3"/>
  <c r="X192" i="3"/>
  <c r="V192" i="3"/>
  <c r="N192" i="3"/>
  <c r="L192" i="3"/>
  <c r="B192" i="3"/>
  <c r="X191" i="3"/>
  <c r="Z191" i="3" s="1"/>
  <c r="L191" i="3"/>
  <c r="N191" i="3" s="1"/>
  <c r="B191" i="3"/>
  <c r="X190" i="3"/>
  <c r="Z190" i="3" s="1"/>
  <c r="T190" i="3"/>
  <c r="P190" i="3"/>
  <c r="H190" i="3"/>
  <c r="D190" i="3"/>
  <c r="L190" i="3" s="1"/>
  <c r="N190" i="3" s="1"/>
  <c r="B190" i="3"/>
  <c r="Z189" i="3"/>
  <c r="X189" i="3"/>
  <c r="L189" i="3"/>
  <c r="N189" i="3" s="1"/>
  <c r="B189" i="3"/>
  <c r="T188" i="3"/>
  <c r="P188" i="3"/>
  <c r="N188" i="3"/>
  <c r="L188" i="3"/>
  <c r="H188" i="3"/>
  <c r="D188" i="3"/>
  <c r="B188" i="3"/>
  <c r="Z187" i="3"/>
  <c r="X187" i="3"/>
  <c r="V187" i="3"/>
  <c r="L187" i="3"/>
  <c r="N187" i="3" s="1"/>
  <c r="B187" i="3"/>
  <c r="T186" i="3"/>
  <c r="P186" i="3"/>
  <c r="X186" i="3" s="1"/>
  <c r="Z186" i="3" s="1"/>
  <c r="H186" i="3"/>
  <c r="D186" i="3"/>
  <c r="L186" i="3" s="1"/>
  <c r="N186" i="3" s="1"/>
  <c r="B186" i="3"/>
  <c r="X185" i="3"/>
  <c r="Z185" i="3" s="1"/>
  <c r="N185" i="3"/>
  <c r="L185" i="3"/>
  <c r="B185" i="3"/>
  <c r="Z184" i="3"/>
  <c r="X184" i="3"/>
  <c r="V184" i="3"/>
  <c r="N184" i="3"/>
  <c r="L184" i="3"/>
  <c r="B184" i="3"/>
  <c r="X183" i="3"/>
  <c r="T183" i="3"/>
  <c r="Z183" i="3" s="1"/>
  <c r="P183" i="3"/>
  <c r="L183" i="3"/>
  <c r="H183" i="3"/>
  <c r="N183" i="3" s="1"/>
  <c r="D183" i="3"/>
  <c r="B183" i="3"/>
  <c r="Z182" i="3"/>
  <c r="X182" i="3"/>
  <c r="N182" i="3"/>
  <c r="L182" i="3"/>
  <c r="B182" i="3"/>
  <c r="Z181" i="3"/>
  <c r="X181" i="3"/>
  <c r="N181" i="3"/>
  <c r="L181" i="3"/>
  <c r="B181" i="3"/>
  <c r="T180" i="3"/>
  <c r="P180" i="3"/>
  <c r="N180" i="3"/>
  <c r="L180" i="3"/>
  <c r="H180" i="3"/>
  <c r="D180" i="3"/>
  <c r="B180" i="3"/>
  <c r="Z179" i="3"/>
  <c r="X179" i="3"/>
  <c r="V179" i="3"/>
  <c r="L179" i="3"/>
  <c r="N179" i="3" s="1"/>
  <c r="B179" i="3"/>
  <c r="Z178" i="3"/>
  <c r="X178" i="3"/>
  <c r="L178" i="3"/>
  <c r="N178" i="3" s="1"/>
  <c r="B178" i="3"/>
  <c r="Z177" i="3"/>
  <c r="X177" i="3"/>
  <c r="N177" i="3"/>
  <c r="L177" i="3"/>
  <c r="B177" i="3"/>
  <c r="V176" i="3"/>
  <c r="T176" i="3"/>
  <c r="P176" i="3"/>
  <c r="X176" i="3" s="1"/>
  <c r="Z176" i="3" s="1"/>
  <c r="H176" i="3"/>
  <c r="D176" i="3"/>
  <c r="L176" i="3" s="1"/>
  <c r="N176" i="3" s="1"/>
  <c r="B176" i="3"/>
  <c r="X175" i="3"/>
  <c r="Z175" i="3" s="1"/>
  <c r="L175" i="3"/>
  <c r="N175" i="3" s="1"/>
  <c r="B175" i="3"/>
  <c r="X174" i="3"/>
  <c r="Z174" i="3" s="1"/>
  <c r="T174" i="3"/>
  <c r="P174" i="3"/>
  <c r="H174" i="3"/>
  <c r="N174" i="3" s="1"/>
  <c r="D174" i="3"/>
  <c r="L174" i="3" s="1"/>
  <c r="B174" i="3"/>
  <c r="Z173" i="3"/>
  <c r="X173" i="3"/>
  <c r="N173" i="3"/>
  <c r="L173" i="3"/>
  <c r="B173" i="3"/>
  <c r="Z172" i="3"/>
  <c r="X172" i="3"/>
  <c r="N172" i="3"/>
  <c r="L172" i="3"/>
  <c r="B172" i="3"/>
  <c r="X171" i="3"/>
  <c r="T171" i="3"/>
  <c r="Z171" i="3" s="1"/>
  <c r="P171" i="3"/>
  <c r="H171" i="3"/>
  <c r="D171" i="3"/>
  <c r="B171" i="3"/>
  <c r="Z170" i="3"/>
  <c r="X170" i="3"/>
  <c r="L170" i="3"/>
  <c r="N170" i="3" s="1"/>
  <c r="B170" i="3"/>
  <c r="T169" i="3"/>
  <c r="P169" i="3"/>
  <c r="X169" i="3" s="1"/>
  <c r="H169" i="3"/>
  <c r="D169" i="3"/>
  <c r="L169" i="3" s="1"/>
  <c r="N169" i="3" s="1"/>
  <c r="B169" i="3"/>
  <c r="Z168" i="3"/>
  <c r="X168" i="3"/>
  <c r="V168" i="3"/>
  <c r="N168" i="3"/>
  <c r="L168" i="3"/>
  <c r="B168" i="3"/>
  <c r="Z167" i="3"/>
  <c r="X167" i="3"/>
  <c r="N167" i="3"/>
  <c r="L167" i="3"/>
  <c r="B167" i="3"/>
  <c r="X166" i="3"/>
  <c r="Z166" i="3" s="1"/>
  <c r="N166" i="3"/>
  <c r="L166" i="3"/>
  <c r="B166" i="3"/>
  <c r="X165" i="3"/>
  <c r="Z165" i="3" s="1"/>
  <c r="N165" i="3"/>
  <c r="L165" i="3"/>
  <c r="B165" i="3"/>
  <c r="Z164" i="3"/>
  <c r="X164" i="3"/>
  <c r="V164" i="3"/>
  <c r="N164" i="3"/>
  <c r="L164" i="3"/>
  <c r="B164" i="3"/>
  <c r="X163" i="3"/>
  <c r="Z163" i="3" s="1"/>
  <c r="L163" i="3"/>
  <c r="N163" i="3" s="1"/>
  <c r="B163" i="3"/>
  <c r="X162" i="3"/>
  <c r="Z162" i="3" s="1"/>
  <c r="N162" i="3"/>
  <c r="L162" i="3"/>
  <c r="B162" i="3"/>
  <c r="Z161" i="3"/>
  <c r="X161" i="3"/>
  <c r="N161" i="3"/>
  <c r="L161" i="3"/>
  <c r="B161" i="3"/>
  <c r="Z160" i="3"/>
  <c r="X160" i="3"/>
  <c r="V160" i="3"/>
  <c r="N160" i="3"/>
  <c r="L160" i="3"/>
  <c r="B160" i="3"/>
  <c r="X159" i="3"/>
  <c r="Z159" i="3" s="1"/>
  <c r="L159" i="3"/>
  <c r="N159" i="3" s="1"/>
  <c r="B159" i="3"/>
  <c r="X158" i="3"/>
  <c r="Z158" i="3" s="1"/>
  <c r="T158" i="3"/>
  <c r="P158" i="3"/>
  <c r="H158" i="3"/>
  <c r="D158" i="3"/>
  <c r="L158" i="3" s="1"/>
  <c r="N158" i="3" s="1"/>
  <c r="B158" i="3"/>
  <c r="Z157" i="3"/>
  <c r="X157" i="3"/>
  <c r="N157" i="3"/>
  <c r="L157" i="3"/>
  <c r="B157" i="3"/>
  <c r="Z156" i="3"/>
  <c r="X156" i="3"/>
  <c r="N156" i="3"/>
  <c r="L156" i="3"/>
  <c r="B156" i="3"/>
  <c r="X155" i="3"/>
  <c r="Z155" i="3" s="1"/>
  <c r="N155" i="3"/>
  <c r="L155" i="3"/>
  <c r="B155" i="3"/>
  <c r="Z154" i="3"/>
  <c r="X154" i="3"/>
  <c r="N154" i="3"/>
  <c r="L154" i="3"/>
  <c r="B154" i="3"/>
  <c r="Z153" i="3"/>
  <c r="X153" i="3"/>
  <c r="N153" i="3"/>
  <c r="L153" i="3"/>
  <c r="B153" i="3"/>
  <c r="Z152" i="3"/>
  <c r="X152" i="3"/>
  <c r="N152" i="3"/>
  <c r="L152" i="3"/>
  <c r="B152" i="3"/>
  <c r="X151" i="3"/>
  <c r="Z151" i="3" s="1"/>
  <c r="N151" i="3"/>
  <c r="L151" i="3"/>
  <c r="B151" i="3"/>
  <c r="Z150" i="3"/>
  <c r="X150" i="3"/>
  <c r="N150" i="3"/>
  <c r="L150" i="3"/>
  <c r="B150" i="3"/>
  <c r="Z149" i="3"/>
  <c r="X149" i="3"/>
  <c r="N149" i="3"/>
  <c r="L149" i="3"/>
  <c r="B149" i="3"/>
  <c r="Z148" i="3"/>
  <c r="X148" i="3"/>
  <c r="N148" i="3"/>
  <c r="L148" i="3"/>
  <c r="B148" i="3"/>
  <c r="X147" i="3"/>
  <c r="T147" i="3"/>
  <c r="Z147" i="3" s="1"/>
  <c r="P147" i="3"/>
  <c r="H147" i="3"/>
  <c r="D147" i="3"/>
  <c r="B147" i="3"/>
  <c r="T146" i="3"/>
  <c r="P146" i="3"/>
  <c r="X146" i="3" s="1"/>
  <c r="Z146" i="3" s="1"/>
  <c r="H146" i="3"/>
  <c r="D146" i="3"/>
  <c r="L146" i="3" s="1"/>
  <c r="Z142" i="3"/>
  <c r="X142" i="3"/>
  <c r="N142" i="3"/>
  <c r="L142" i="3"/>
  <c r="B142" i="3"/>
  <c r="Z141" i="3"/>
  <c r="X141" i="3"/>
  <c r="N141" i="3"/>
  <c r="L141" i="3"/>
  <c r="B141" i="3"/>
  <c r="Z140" i="3"/>
  <c r="X140" i="3"/>
  <c r="V140" i="3"/>
  <c r="N140" i="3"/>
  <c r="L140" i="3"/>
  <c r="B140" i="3"/>
  <c r="Z139" i="3"/>
  <c r="X139" i="3"/>
  <c r="V139" i="3"/>
  <c r="N139" i="3"/>
  <c r="L139" i="3"/>
  <c r="B139" i="3"/>
  <c r="Z138" i="3"/>
  <c r="X138" i="3"/>
  <c r="N138" i="3"/>
  <c r="L138" i="3"/>
  <c r="B138" i="3"/>
  <c r="Z137" i="3"/>
  <c r="X137" i="3"/>
  <c r="N137" i="3"/>
  <c r="L137" i="3"/>
  <c r="B137" i="3"/>
  <c r="Z136" i="3"/>
  <c r="X136" i="3"/>
  <c r="V136" i="3"/>
  <c r="N136" i="3"/>
  <c r="L136" i="3"/>
  <c r="B136" i="3"/>
  <c r="Z135" i="3"/>
  <c r="X135" i="3"/>
  <c r="V135" i="3"/>
  <c r="N135" i="3"/>
  <c r="L135" i="3"/>
  <c r="B135" i="3"/>
  <c r="Z134" i="3"/>
  <c r="X134" i="3"/>
  <c r="N134" i="3"/>
  <c r="L134" i="3"/>
  <c r="B134" i="3"/>
  <c r="Z133" i="3"/>
  <c r="X133" i="3"/>
  <c r="N133" i="3"/>
  <c r="L133" i="3"/>
  <c r="B133" i="3"/>
  <c r="Z132" i="3"/>
  <c r="X132" i="3"/>
  <c r="V132" i="3"/>
  <c r="N132" i="3"/>
  <c r="L132" i="3"/>
  <c r="B132" i="3"/>
  <c r="Z131" i="3"/>
  <c r="X131" i="3"/>
  <c r="V131" i="3"/>
  <c r="N131" i="3"/>
  <c r="L131" i="3"/>
  <c r="B131" i="3"/>
  <c r="Z130" i="3"/>
  <c r="X130" i="3"/>
  <c r="V130" i="3"/>
  <c r="N130" i="3"/>
  <c r="L130" i="3"/>
  <c r="B130" i="3"/>
  <c r="Z129" i="3"/>
  <c r="X129" i="3"/>
  <c r="N129" i="3"/>
  <c r="L129" i="3"/>
  <c r="B129" i="3"/>
  <c r="Z128" i="3"/>
  <c r="X128" i="3"/>
  <c r="V128" i="3"/>
  <c r="N128" i="3"/>
  <c r="L128" i="3"/>
  <c r="B128" i="3"/>
  <c r="Z127" i="3"/>
  <c r="X127" i="3"/>
  <c r="V127" i="3"/>
  <c r="N127" i="3"/>
  <c r="L127" i="3"/>
  <c r="B127" i="3"/>
  <c r="Z126" i="3"/>
  <c r="X126" i="3"/>
  <c r="V126" i="3"/>
  <c r="N126" i="3"/>
  <c r="L126" i="3"/>
  <c r="B126" i="3"/>
  <c r="Z125" i="3"/>
  <c r="X125" i="3"/>
  <c r="N125" i="3"/>
  <c r="L125" i="3"/>
  <c r="B125" i="3"/>
  <c r="Z124" i="3"/>
  <c r="X124" i="3"/>
  <c r="V124" i="3"/>
  <c r="N124" i="3"/>
  <c r="L124" i="3"/>
  <c r="B124" i="3"/>
  <c r="Z123" i="3"/>
  <c r="X123" i="3"/>
  <c r="V123" i="3"/>
  <c r="N123" i="3"/>
  <c r="L123" i="3"/>
  <c r="B123" i="3"/>
  <c r="Z122" i="3"/>
  <c r="X122" i="3"/>
  <c r="V122" i="3"/>
  <c r="N122" i="3"/>
  <c r="L122" i="3"/>
  <c r="B122" i="3"/>
  <c r="Z121" i="3"/>
  <c r="X121" i="3"/>
  <c r="N121" i="3"/>
  <c r="L121" i="3"/>
  <c r="B121" i="3"/>
  <c r="Z120" i="3"/>
  <c r="X120" i="3"/>
  <c r="V120" i="3"/>
  <c r="N120" i="3"/>
  <c r="L120" i="3"/>
  <c r="B120" i="3"/>
  <c r="Z119" i="3"/>
  <c r="X119" i="3"/>
  <c r="V119" i="3"/>
  <c r="N119" i="3"/>
  <c r="L119" i="3"/>
  <c r="B119" i="3"/>
  <c r="Z118" i="3"/>
  <c r="X118" i="3"/>
  <c r="V118" i="3"/>
  <c r="N118" i="3"/>
  <c r="L118" i="3"/>
  <c r="B118" i="3"/>
  <c r="Z117" i="3"/>
  <c r="X117" i="3"/>
  <c r="N117" i="3"/>
  <c r="L117" i="3"/>
  <c r="B117" i="3"/>
  <c r="Z116" i="3"/>
  <c r="X116" i="3"/>
  <c r="V116" i="3"/>
  <c r="N116" i="3"/>
  <c r="L116" i="3"/>
  <c r="B116" i="3"/>
  <c r="Z115" i="3"/>
  <c r="X115" i="3"/>
  <c r="V115" i="3"/>
  <c r="N115" i="3"/>
  <c r="L115" i="3"/>
  <c r="B115" i="3"/>
  <c r="Z114" i="3"/>
  <c r="X114" i="3"/>
  <c r="V114" i="3"/>
  <c r="N114" i="3"/>
  <c r="L114" i="3"/>
  <c r="B114" i="3"/>
  <c r="Z113" i="3"/>
  <c r="X113" i="3"/>
  <c r="N113" i="3"/>
  <c r="L113" i="3"/>
  <c r="B113" i="3"/>
  <c r="Z112" i="3"/>
  <c r="X112" i="3"/>
  <c r="V112" i="3"/>
  <c r="N112" i="3"/>
  <c r="L112" i="3"/>
  <c r="B112" i="3"/>
  <c r="Z111" i="3"/>
  <c r="X111" i="3"/>
  <c r="V111" i="3"/>
  <c r="N111" i="3"/>
  <c r="L111" i="3"/>
  <c r="B111" i="3"/>
  <c r="Z110" i="3"/>
  <c r="X110" i="3"/>
  <c r="V110" i="3"/>
  <c r="N110" i="3"/>
  <c r="L110" i="3"/>
  <c r="B110" i="3"/>
  <c r="Z109" i="3"/>
  <c r="X109" i="3"/>
  <c r="N109" i="3"/>
  <c r="L109" i="3"/>
  <c r="B109" i="3"/>
  <c r="Z108" i="3"/>
  <c r="X108" i="3"/>
  <c r="V108" i="3"/>
  <c r="N108" i="3"/>
  <c r="L108" i="3"/>
  <c r="B108" i="3"/>
  <c r="Z107" i="3"/>
  <c r="X107" i="3"/>
  <c r="V107" i="3"/>
  <c r="N107" i="3"/>
  <c r="L107" i="3"/>
  <c r="B107" i="3"/>
  <c r="Z106" i="3"/>
  <c r="X106" i="3"/>
  <c r="V106" i="3"/>
  <c r="N106" i="3"/>
  <c r="L106" i="3"/>
  <c r="B106" i="3"/>
  <c r="Z105" i="3"/>
  <c r="X105" i="3"/>
  <c r="N105" i="3"/>
  <c r="L105" i="3"/>
  <c r="B105" i="3"/>
  <c r="Z104" i="3"/>
  <c r="X104" i="3"/>
  <c r="V104" i="3"/>
  <c r="N104" i="3"/>
  <c r="L104" i="3"/>
  <c r="B104" i="3"/>
  <c r="Z103" i="3"/>
  <c r="X103" i="3"/>
  <c r="V103" i="3"/>
  <c r="N103" i="3"/>
  <c r="L103" i="3"/>
  <c r="B103" i="3"/>
  <c r="Z102" i="3"/>
  <c r="X102" i="3"/>
  <c r="V102" i="3"/>
  <c r="N102" i="3"/>
  <c r="L102" i="3"/>
  <c r="B102" i="3"/>
  <c r="Z101" i="3"/>
  <c r="X101" i="3"/>
  <c r="N101" i="3"/>
  <c r="L101" i="3"/>
  <c r="B101" i="3"/>
  <c r="Z100" i="3"/>
  <c r="X100" i="3"/>
  <c r="V100" i="3"/>
  <c r="N100" i="3"/>
  <c r="L100" i="3"/>
  <c r="B100" i="3"/>
  <c r="Z99" i="3"/>
  <c r="X99" i="3"/>
  <c r="V99" i="3"/>
  <c r="N99" i="3"/>
  <c r="L99" i="3"/>
  <c r="B99" i="3"/>
  <c r="Z98" i="3"/>
  <c r="X98" i="3"/>
  <c r="V98" i="3"/>
  <c r="L98" i="3"/>
  <c r="N98" i="3" s="1"/>
  <c r="B98" i="3"/>
  <c r="T97" i="3"/>
  <c r="Z97" i="3" s="1"/>
  <c r="P97" i="3"/>
  <c r="X97" i="3" s="1"/>
  <c r="H97" i="3"/>
  <c r="D97" i="3"/>
  <c r="L97" i="3" s="1"/>
  <c r="N97" i="3" s="1"/>
  <c r="Z95" i="3"/>
  <c r="P95" i="3"/>
  <c r="X95" i="3" s="1"/>
  <c r="N95" i="3"/>
  <c r="D95" i="3"/>
  <c r="L95" i="3" s="1"/>
  <c r="B95" i="3"/>
  <c r="Z94" i="3"/>
  <c r="X94" i="3"/>
  <c r="P94" i="3"/>
  <c r="N94" i="3"/>
  <c r="L94" i="3"/>
  <c r="D94" i="3"/>
  <c r="B94" i="3"/>
  <c r="Z93" i="3"/>
  <c r="X93" i="3"/>
  <c r="P93" i="3"/>
  <c r="N93" i="3"/>
  <c r="L93" i="3"/>
  <c r="D93" i="3"/>
  <c r="B93" i="3"/>
  <c r="Z92" i="3"/>
  <c r="P92" i="3"/>
  <c r="X92" i="3" s="1"/>
  <c r="N92" i="3"/>
  <c r="D92" i="3"/>
  <c r="L92" i="3" s="1"/>
  <c r="B92" i="3"/>
  <c r="Z91" i="3"/>
  <c r="X91" i="3"/>
  <c r="P91" i="3"/>
  <c r="N91" i="3"/>
  <c r="L91" i="3"/>
  <c r="D91" i="3"/>
  <c r="B91" i="3"/>
  <c r="Z90" i="3"/>
  <c r="X90" i="3"/>
  <c r="P90" i="3"/>
  <c r="N90" i="3"/>
  <c r="L90" i="3"/>
  <c r="D90" i="3"/>
  <c r="B90" i="3"/>
  <c r="Z89" i="3"/>
  <c r="P89" i="3"/>
  <c r="X89" i="3" s="1"/>
  <c r="N89" i="3"/>
  <c r="D89" i="3"/>
  <c r="L89" i="3" s="1"/>
  <c r="B89" i="3"/>
  <c r="Z88" i="3"/>
  <c r="P88" i="3"/>
  <c r="X88" i="3" s="1"/>
  <c r="N88" i="3"/>
  <c r="L88" i="3"/>
  <c r="D88" i="3"/>
  <c r="B88" i="3"/>
  <c r="Z87" i="3"/>
  <c r="X87" i="3"/>
  <c r="P87" i="3"/>
  <c r="N87" i="3"/>
  <c r="L87" i="3"/>
  <c r="D87" i="3"/>
  <c r="B87" i="3"/>
  <c r="Z86" i="3"/>
  <c r="P86" i="3"/>
  <c r="X86" i="3" s="1"/>
  <c r="N86" i="3"/>
  <c r="D86" i="3"/>
  <c r="L86" i="3" s="1"/>
  <c r="B86" i="3"/>
  <c r="Z85" i="3"/>
  <c r="X85" i="3"/>
  <c r="P85" i="3"/>
  <c r="N85" i="3"/>
  <c r="D85" i="3"/>
  <c r="L85" i="3" s="1"/>
  <c r="B85" i="3"/>
  <c r="Z84" i="3"/>
  <c r="X84" i="3"/>
  <c r="P84" i="3"/>
  <c r="N84" i="3"/>
  <c r="L84" i="3"/>
  <c r="D84" i="3"/>
  <c r="B84" i="3"/>
  <c r="Z83" i="3"/>
  <c r="P83" i="3"/>
  <c r="X83" i="3" s="1"/>
  <c r="N83" i="3"/>
  <c r="D83" i="3"/>
  <c r="L83" i="3" s="1"/>
  <c r="B83" i="3"/>
  <c r="Z82" i="3"/>
  <c r="X82" i="3"/>
  <c r="P82" i="3"/>
  <c r="N82" i="3"/>
  <c r="L82" i="3"/>
  <c r="D82" i="3"/>
  <c r="B82" i="3"/>
  <c r="Z81" i="3"/>
  <c r="X81" i="3"/>
  <c r="P81" i="3"/>
  <c r="N81" i="3"/>
  <c r="L81" i="3"/>
  <c r="D81" i="3"/>
  <c r="B81" i="3"/>
  <c r="Z80" i="3"/>
  <c r="P80" i="3"/>
  <c r="X80" i="3" s="1"/>
  <c r="N80" i="3"/>
  <c r="D80" i="3"/>
  <c r="L80" i="3" s="1"/>
  <c r="B80" i="3"/>
  <c r="Z79" i="3"/>
  <c r="X79" i="3"/>
  <c r="P79" i="3"/>
  <c r="N79" i="3"/>
  <c r="L79" i="3"/>
  <c r="D79" i="3"/>
  <c r="B79" i="3"/>
  <c r="Z78" i="3"/>
  <c r="X78" i="3"/>
  <c r="P78" i="3"/>
  <c r="N78" i="3"/>
  <c r="L78" i="3"/>
  <c r="D78" i="3"/>
  <c r="B78" i="3"/>
  <c r="Z77" i="3"/>
  <c r="P77" i="3"/>
  <c r="X77" i="3" s="1"/>
  <c r="N77" i="3"/>
  <c r="D77" i="3"/>
  <c r="L77" i="3" s="1"/>
  <c r="B77" i="3"/>
  <c r="Z76" i="3"/>
  <c r="P76" i="3"/>
  <c r="X76" i="3" s="1"/>
  <c r="N76" i="3"/>
  <c r="L76" i="3"/>
  <c r="D76" i="3"/>
  <c r="B76" i="3"/>
  <c r="Z75" i="3"/>
  <c r="X75" i="3"/>
  <c r="P75" i="3"/>
  <c r="N75" i="3"/>
  <c r="L75" i="3"/>
  <c r="D75" i="3"/>
  <c r="B75" i="3"/>
  <c r="Z74" i="3"/>
  <c r="P74" i="3"/>
  <c r="X74" i="3" s="1"/>
  <c r="N74" i="3"/>
  <c r="D74" i="3"/>
  <c r="L74" i="3" s="1"/>
  <c r="B74" i="3"/>
  <c r="Z73" i="3"/>
  <c r="X73" i="3"/>
  <c r="P73" i="3"/>
  <c r="N73" i="3"/>
  <c r="D73" i="3"/>
  <c r="L73" i="3" s="1"/>
  <c r="B73" i="3"/>
  <c r="Z72" i="3"/>
  <c r="X72" i="3"/>
  <c r="P72" i="3"/>
  <c r="N72" i="3"/>
  <c r="L72" i="3"/>
  <c r="D72" i="3"/>
  <c r="B72" i="3"/>
  <c r="Z71" i="3"/>
  <c r="P71" i="3"/>
  <c r="X71" i="3" s="1"/>
  <c r="N71" i="3"/>
  <c r="D71" i="3"/>
  <c r="L71" i="3" s="1"/>
  <c r="B71" i="3"/>
  <c r="Z70" i="3"/>
  <c r="X70" i="3"/>
  <c r="P70" i="3"/>
  <c r="N70" i="3"/>
  <c r="L70" i="3"/>
  <c r="D70" i="3"/>
  <c r="B70" i="3"/>
  <c r="Z69" i="3"/>
  <c r="X69" i="3"/>
  <c r="P69" i="3"/>
  <c r="N69" i="3"/>
  <c r="L69" i="3"/>
  <c r="D69" i="3"/>
  <c r="B69" i="3"/>
  <c r="Z68" i="3"/>
  <c r="P68" i="3"/>
  <c r="X68" i="3" s="1"/>
  <c r="N68" i="3"/>
  <c r="D68" i="3"/>
  <c r="L68" i="3" s="1"/>
  <c r="B68" i="3"/>
  <c r="Z67" i="3"/>
  <c r="X67" i="3"/>
  <c r="P67" i="3"/>
  <c r="N67" i="3"/>
  <c r="L67" i="3"/>
  <c r="D67" i="3"/>
  <c r="B67" i="3"/>
  <c r="Z66" i="3"/>
  <c r="X66" i="3"/>
  <c r="P66" i="3"/>
  <c r="N66" i="3"/>
  <c r="L66" i="3"/>
  <c r="D66" i="3"/>
  <c r="B66" i="3"/>
  <c r="Z65" i="3"/>
  <c r="P65" i="3"/>
  <c r="X65" i="3" s="1"/>
  <c r="N65" i="3"/>
  <c r="D65" i="3"/>
  <c r="L65" i="3" s="1"/>
  <c r="B65" i="3"/>
  <c r="Z64" i="3"/>
  <c r="P64" i="3"/>
  <c r="X64" i="3" s="1"/>
  <c r="N64" i="3"/>
  <c r="L64" i="3"/>
  <c r="D64" i="3"/>
  <c r="B64" i="3"/>
  <c r="Z63" i="3"/>
  <c r="X63" i="3"/>
  <c r="P63" i="3"/>
  <c r="N63" i="3"/>
  <c r="L63" i="3"/>
  <c r="D63" i="3"/>
  <c r="B63" i="3"/>
  <c r="Z62" i="3"/>
  <c r="P62" i="3"/>
  <c r="X62" i="3" s="1"/>
  <c r="N62" i="3"/>
  <c r="D62" i="3"/>
  <c r="L62" i="3" s="1"/>
  <c r="B62" i="3"/>
  <c r="Z61" i="3"/>
  <c r="X61" i="3"/>
  <c r="P61" i="3"/>
  <c r="N61" i="3"/>
  <c r="D61" i="3"/>
  <c r="L61" i="3" s="1"/>
  <c r="B61" i="3"/>
  <c r="Z60" i="3"/>
  <c r="X60" i="3"/>
  <c r="P60" i="3"/>
  <c r="N60" i="3"/>
  <c r="L60" i="3"/>
  <c r="D60" i="3"/>
  <c r="B60" i="3"/>
  <c r="Z59" i="3"/>
  <c r="P59" i="3"/>
  <c r="X59" i="3" s="1"/>
  <c r="N59" i="3"/>
  <c r="D59" i="3"/>
  <c r="L59" i="3" s="1"/>
  <c r="B59" i="3"/>
  <c r="Z58" i="3"/>
  <c r="X58" i="3"/>
  <c r="P58" i="3"/>
  <c r="N58" i="3"/>
  <c r="L58" i="3"/>
  <c r="D58" i="3"/>
  <c r="B58" i="3"/>
  <c r="Z57" i="3"/>
  <c r="X57" i="3"/>
  <c r="P57" i="3"/>
  <c r="N57" i="3"/>
  <c r="L57" i="3"/>
  <c r="D57" i="3"/>
  <c r="B57" i="3"/>
  <c r="Z56" i="3"/>
  <c r="P56" i="3"/>
  <c r="X56" i="3" s="1"/>
  <c r="N56" i="3"/>
  <c r="D56" i="3"/>
  <c r="L56" i="3" s="1"/>
  <c r="B56" i="3"/>
  <c r="Z55" i="3"/>
  <c r="X55" i="3"/>
  <c r="P55" i="3"/>
  <c r="N55" i="3"/>
  <c r="L55" i="3"/>
  <c r="D55" i="3"/>
  <c r="B55" i="3"/>
  <c r="Z54" i="3"/>
  <c r="X54" i="3"/>
  <c r="P54" i="3"/>
  <c r="N54" i="3"/>
  <c r="L54" i="3"/>
  <c r="D54" i="3"/>
  <c r="B54" i="3"/>
  <c r="Z53" i="3"/>
  <c r="P53" i="3"/>
  <c r="X53" i="3" s="1"/>
  <c r="N53" i="3"/>
  <c r="D53" i="3"/>
  <c r="L53" i="3" s="1"/>
  <c r="B53" i="3"/>
  <c r="Z52" i="3"/>
  <c r="P52" i="3"/>
  <c r="X52" i="3" s="1"/>
  <c r="N52" i="3"/>
  <c r="L52" i="3"/>
  <c r="D52" i="3"/>
  <c r="B52" i="3"/>
  <c r="Z51" i="3"/>
  <c r="X51" i="3"/>
  <c r="P51" i="3"/>
  <c r="N51" i="3"/>
  <c r="L51" i="3"/>
  <c r="D51" i="3"/>
  <c r="B51" i="3"/>
  <c r="Z50" i="3"/>
  <c r="P50" i="3"/>
  <c r="X50" i="3" s="1"/>
  <c r="N50" i="3"/>
  <c r="D50" i="3"/>
  <c r="L50" i="3" s="1"/>
  <c r="B50" i="3"/>
  <c r="Z49" i="3"/>
  <c r="X49" i="3"/>
  <c r="P49" i="3"/>
  <c r="N49" i="3"/>
  <c r="D49" i="3"/>
  <c r="L49" i="3" s="1"/>
  <c r="B49" i="3"/>
  <c r="Z48" i="3"/>
  <c r="X48" i="3"/>
  <c r="P48" i="3"/>
  <c r="N48" i="3"/>
  <c r="L48" i="3"/>
  <c r="D48" i="3"/>
  <c r="B48" i="3"/>
  <c r="Z47" i="3"/>
  <c r="P47" i="3"/>
  <c r="X47" i="3" s="1"/>
  <c r="N47" i="3"/>
  <c r="D47" i="3"/>
  <c r="L47" i="3" s="1"/>
  <c r="B47" i="3"/>
  <c r="Z46" i="3"/>
  <c r="X46" i="3"/>
  <c r="P46" i="3"/>
  <c r="N46" i="3"/>
  <c r="L46" i="3"/>
  <c r="D46" i="3"/>
  <c r="B46" i="3"/>
  <c r="Z45" i="3"/>
  <c r="X45" i="3"/>
  <c r="P45" i="3"/>
  <c r="N45" i="3"/>
  <c r="L45" i="3"/>
  <c r="D45" i="3"/>
  <c r="B45" i="3"/>
  <c r="Z44" i="3"/>
  <c r="P44" i="3"/>
  <c r="X44" i="3" s="1"/>
  <c r="N44" i="3"/>
  <c r="D44" i="3"/>
  <c r="L44" i="3" s="1"/>
  <c r="B44" i="3"/>
  <c r="Z43" i="3"/>
  <c r="X43" i="3"/>
  <c r="P43" i="3"/>
  <c r="N43" i="3"/>
  <c r="L43" i="3"/>
  <c r="D43" i="3"/>
  <c r="B43" i="3"/>
  <c r="Z42" i="3"/>
  <c r="X42" i="3"/>
  <c r="P42" i="3"/>
  <c r="L42" i="3"/>
  <c r="N42" i="3" s="1"/>
  <c r="D42" i="3"/>
  <c r="B42" i="3"/>
  <c r="Z41" i="3"/>
  <c r="P41" i="3"/>
  <c r="X41" i="3" s="1"/>
  <c r="N41" i="3"/>
  <c r="D41" i="3"/>
  <c r="L41" i="3" s="1"/>
  <c r="B41" i="3"/>
  <c r="Z40" i="3"/>
  <c r="P40" i="3"/>
  <c r="X40" i="3" s="1"/>
  <c r="N40" i="3"/>
  <c r="L40" i="3"/>
  <c r="D40" i="3"/>
  <c r="B40" i="3"/>
  <c r="Z39" i="3"/>
  <c r="X39" i="3"/>
  <c r="P39" i="3"/>
  <c r="N39" i="3"/>
  <c r="L39" i="3"/>
  <c r="D39" i="3"/>
  <c r="B39" i="3"/>
  <c r="Z38" i="3"/>
  <c r="P38" i="3"/>
  <c r="X38" i="3" s="1"/>
  <c r="N38" i="3"/>
  <c r="D38" i="3"/>
  <c r="L38" i="3" s="1"/>
  <c r="B38" i="3"/>
  <c r="Z37" i="3"/>
  <c r="X37" i="3"/>
  <c r="P37" i="3"/>
  <c r="N37" i="3"/>
  <c r="D37" i="3"/>
  <c r="L37" i="3" s="1"/>
  <c r="B37" i="3"/>
  <c r="Z36" i="3"/>
  <c r="X36" i="3"/>
  <c r="P36" i="3"/>
  <c r="N36" i="3"/>
  <c r="L36" i="3"/>
  <c r="D36" i="3"/>
  <c r="B36" i="3"/>
  <c r="Z35" i="3"/>
  <c r="P35" i="3"/>
  <c r="X35" i="3" s="1"/>
  <c r="N35" i="3"/>
  <c r="D35" i="3"/>
  <c r="L35" i="3" s="1"/>
  <c r="B35" i="3"/>
  <c r="Z34" i="3"/>
  <c r="X34" i="3"/>
  <c r="P34" i="3"/>
  <c r="N34" i="3"/>
  <c r="L34" i="3"/>
  <c r="D34" i="3"/>
  <c r="B34" i="3"/>
  <c r="Z33" i="3"/>
  <c r="X33" i="3"/>
  <c r="P33" i="3"/>
  <c r="N33" i="3"/>
  <c r="L33" i="3"/>
  <c r="D33" i="3"/>
  <c r="B33" i="3"/>
  <c r="Z32" i="3"/>
  <c r="P32" i="3"/>
  <c r="X32" i="3" s="1"/>
  <c r="N32" i="3"/>
  <c r="D32" i="3"/>
  <c r="L32" i="3" s="1"/>
  <c r="B32" i="3"/>
  <c r="Z31" i="3"/>
  <c r="X31" i="3"/>
  <c r="P31" i="3"/>
  <c r="N31" i="3"/>
  <c r="L31" i="3"/>
  <c r="D31" i="3"/>
  <c r="B31" i="3"/>
  <c r="Z30" i="3"/>
  <c r="X30" i="3"/>
  <c r="P30" i="3"/>
  <c r="N30" i="3"/>
  <c r="L30" i="3"/>
  <c r="D30" i="3"/>
  <c r="B30" i="3"/>
  <c r="Z29" i="3"/>
  <c r="P29" i="3"/>
  <c r="X29" i="3" s="1"/>
  <c r="N29" i="3"/>
  <c r="D29" i="3"/>
  <c r="L29" i="3" s="1"/>
  <c r="B29" i="3"/>
  <c r="Z28" i="3"/>
  <c r="P28" i="3"/>
  <c r="X28" i="3" s="1"/>
  <c r="N28" i="3"/>
  <c r="L28" i="3"/>
  <c r="D28" i="3"/>
  <c r="B28" i="3"/>
  <c r="Z27" i="3"/>
  <c r="X27" i="3"/>
  <c r="P27" i="3"/>
  <c r="N27" i="3"/>
  <c r="L27" i="3"/>
  <c r="D27" i="3"/>
  <c r="B27" i="3"/>
  <c r="Z26" i="3"/>
  <c r="P26" i="3"/>
  <c r="X26" i="3" s="1"/>
  <c r="N26" i="3"/>
  <c r="D26" i="3"/>
  <c r="L26" i="3" s="1"/>
  <c r="B26" i="3"/>
  <c r="Z25" i="3"/>
  <c r="X25" i="3"/>
  <c r="P25" i="3"/>
  <c r="N25" i="3"/>
  <c r="D25" i="3"/>
  <c r="L25" i="3" s="1"/>
  <c r="B25" i="3"/>
  <c r="Z24" i="3"/>
  <c r="X24" i="3"/>
  <c r="P24" i="3"/>
  <c r="N24" i="3"/>
  <c r="L24" i="3"/>
  <c r="D24" i="3"/>
  <c r="B24" i="3"/>
  <c r="Z23" i="3"/>
  <c r="P23" i="3"/>
  <c r="X23" i="3" s="1"/>
  <c r="N23" i="3"/>
  <c r="D23" i="3"/>
  <c r="L23" i="3" s="1"/>
  <c r="B23" i="3"/>
  <c r="Z22" i="3"/>
  <c r="X22" i="3"/>
  <c r="P22" i="3"/>
  <c r="N22" i="3"/>
  <c r="L22" i="3"/>
  <c r="D22" i="3"/>
  <c r="B22" i="3"/>
  <c r="Z21" i="3"/>
  <c r="X21" i="3"/>
  <c r="P21" i="3"/>
  <c r="N21" i="3"/>
  <c r="L21" i="3"/>
  <c r="D21" i="3"/>
  <c r="B21" i="3"/>
  <c r="Z20" i="3"/>
  <c r="P20" i="3"/>
  <c r="N20" i="3"/>
  <c r="D20" i="3"/>
  <c r="L20" i="3" s="1"/>
  <c r="B20" i="3"/>
  <c r="Z19" i="3"/>
  <c r="X19" i="3"/>
  <c r="P19" i="3"/>
  <c r="N19" i="3"/>
  <c r="L19" i="3"/>
  <c r="D19" i="3"/>
  <c r="B19" i="3"/>
  <c r="Z18" i="3"/>
  <c r="X18" i="3"/>
  <c r="P18" i="3"/>
  <c r="N18" i="3"/>
  <c r="L18" i="3"/>
  <c r="D18" i="3"/>
  <c r="B18" i="3"/>
  <c r="Z17" i="3"/>
  <c r="P17" i="3"/>
  <c r="X17" i="3" s="1"/>
  <c r="N17" i="3"/>
  <c r="D17" i="3"/>
  <c r="L17" i="3" s="1"/>
  <c r="B17" i="3"/>
  <c r="Z16" i="3"/>
  <c r="P16" i="3"/>
  <c r="X16" i="3" s="1"/>
  <c r="N16" i="3"/>
  <c r="L16" i="3"/>
  <c r="D16" i="3"/>
  <c r="B16" i="3"/>
  <c r="Z15" i="3"/>
  <c r="P15" i="3"/>
  <c r="X15" i="3" s="1"/>
  <c r="N15" i="3"/>
  <c r="L15" i="3"/>
  <c r="D15" i="3"/>
  <c r="B15" i="3"/>
  <c r="Z14" i="3"/>
  <c r="P14" i="3"/>
  <c r="X14" i="3" s="1"/>
  <c r="N14" i="3"/>
  <c r="D14" i="3"/>
  <c r="L14" i="3" s="1"/>
  <c r="B14" i="3"/>
  <c r="X13" i="3"/>
  <c r="Z13" i="3" s="1"/>
  <c r="P13" i="3"/>
  <c r="D13" i="3"/>
  <c r="B13" i="3"/>
  <c r="T12" i="3"/>
  <c r="V226" i="3" s="1"/>
  <c r="H12" i="3"/>
  <c r="J212" i="3" s="1"/>
  <c r="D4" i="3"/>
  <c r="L18" i="99" l="1"/>
  <c r="N18" i="99" s="1"/>
  <c r="X18" i="99"/>
  <c r="X18" i="102"/>
  <c r="L25" i="105"/>
  <c r="X21" i="93"/>
  <c r="X25" i="103"/>
  <c r="L19" i="109"/>
  <c r="N19" i="109" s="1"/>
  <c r="J30" i="39"/>
  <c r="H124" i="39"/>
  <c r="N27" i="42"/>
  <c r="V20" i="69"/>
  <c r="Z20" i="69"/>
  <c r="N21" i="72"/>
  <c r="Z137" i="18"/>
  <c r="X19" i="48"/>
  <c r="Z19" i="48" s="1"/>
  <c r="Z114" i="15"/>
  <c r="N29" i="36"/>
  <c r="J25" i="82"/>
  <c r="L19" i="48"/>
  <c r="V53" i="70"/>
  <c r="L25" i="82"/>
  <c r="N146" i="3"/>
  <c r="L78" i="74"/>
  <c r="X44" i="84"/>
  <c r="Z44" i="84" s="1"/>
  <c r="N21" i="97"/>
  <c r="N25" i="103"/>
  <c r="L25" i="45"/>
  <c r="N25" i="45" s="1"/>
  <c r="X20" i="69"/>
  <c r="L30" i="39"/>
  <c r="N30" i="39" s="1"/>
  <c r="N29" i="75"/>
  <c r="L18" i="100"/>
  <c r="N18" i="100" s="1"/>
  <c r="P58" i="102"/>
  <c r="Z25" i="103"/>
  <c r="L118" i="12"/>
  <c r="N118" i="12" s="1"/>
  <c r="X18" i="61"/>
  <c r="Z18" i="61" s="1"/>
  <c r="T70" i="72"/>
  <c r="V70" i="72" s="1"/>
  <c r="Z23" i="79"/>
  <c r="L21" i="80"/>
  <c r="X18" i="100"/>
  <c r="Z18" i="100" s="1"/>
  <c r="T86" i="107"/>
  <c r="V86" i="107" s="1"/>
  <c r="N78" i="30"/>
  <c r="Z25" i="45"/>
  <c r="N21" i="80"/>
  <c r="N23" i="83"/>
  <c r="X54" i="27"/>
  <c r="Z54" i="27" s="1"/>
  <c r="X19" i="56"/>
  <c r="Z19" i="56" s="1"/>
  <c r="X23" i="83"/>
  <c r="Z23" i="83" s="1"/>
  <c r="H119" i="84"/>
  <c r="L21" i="87"/>
  <c r="X37" i="24"/>
  <c r="Z37" i="24" s="1"/>
  <c r="Z78" i="30"/>
  <c r="R29" i="33"/>
  <c r="L18" i="58"/>
  <c r="N18" i="58" s="1"/>
  <c r="N18" i="63"/>
  <c r="V23" i="83"/>
  <c r="Z29" i="33"/>
  <c r="T60" i="61"/>
  <c r="T64" i="61" s="1"/>
  <c r="D12" i="3"/>
  <c r="J146" i="3"/>
  <c r="Z199" i="3"/>
  <c r="Z201" i="3"/>
  <c r="J204" i="3"/>
  <c r="Z228" i="3"/>
  <c r="Z249" i="3"/>
  <c r="Z169" i="3"/>
  <c r="J172" i="3"/>
  <c r="Z193" i="3"/>
  <c r="N268" i="3"/>
  <c r="J156" i="3"/>
  <c r="N243" i="3"/>
  <c r="N147" i="3"/>
  <c r="L147" i="3"/>
  <c r="Z71" i="9"/>
  <c r="N207" i="3"/>
  <c r="J252" i="3"/>
  <c r="X256" i="3"/>
  <c r="P252" i="3"/>
  <c r="X252" i="3" s="1"/>
  <c r="Z252" i="3" s="1"/>
  <c r="N32" i="9"/>
  <c r="N91" i="9"/>
  <c r="J152" i="3"/>
  <c r="N203" i="3"/>
  <c r="L203" i="3"/>
  <c r="N205" i="3"/>
  <c r="X225" i="3"/>
  <c r="Z225" i="3" s="1"/>
  <c r="Z45" i="9"/>
  <c r="X197" i="3"/>
  <c r="Z197" i="3" s="1"/>
  <c r="P12" i="3"/>
  <c r="X20" i="3"/>
  <c r="J255" i="3"/>
  <c r="J246" i="3"/>
  <c r="J238" i="3"/>
  <c r="J234" i="3"/>
  <c r="J230" i="3"/>
  <c r="J218" i="3"/>
  <c r="J206" i="3"/>
  <c r="J188" i="3"/>
  <c r="J180" i="3"/>
  <c r="J166" i="3"/>
  <c r="J162" i="3"/>
  <c r="J196" i="3"/>
  <c r="J174" i="3"/>
  <c r="J120" i="3"/>
  <c r="J256" i="3"/>
  <c r="J219" i="3"/>
  <c r="J213" i="3"/>
  <c r="J207" i="3"/>
  <c r="J189" i="3"/>
  <c r="J181" i="3"/>
  <c r="J173" i="3"/>
  <c r="J157" i="3"/>
  <c r="J153" i="3"/>
  <c r="J149" i="3"/>
  <c r="J224" i="3"/>
  <c r="J220" i="3"/>
  <c r="J214" i="3"/>
  <c r="J208" i="3"/>
  <c r="J190" i="3"/>
  <c r="J158" i="3"/>
  <c r="J132" i="3"/>
  <c r="J104" i="3"/>
  <c r="J100" i="3"/>
  <c r="J257" i="3"/>
  <c r="J258" i="3"/>
  <c r="J247" i="3"/>
  <c r="J239" i="3"/>
  <c r="J235" i="3"/>
  <c r="J231" i="3"/>
  <c r="J225" i="3"/>
  <c r="J215" i="3"/>
  <c r="J209" i="3"/>
  <c r="J197" i="3"/>
  <c r="J191" i="3"/>
  <c r="J175" i="3"/>
  <c r="J167" i="3"/>
  <c r="J163" i="3"/>
  <c r="J159" i="3"/>
  <c r="J155" i="3"/>
  <c r="J97" i="3"/>
  <c r="J259" i="3"/>
  <c r="J240" i="3"/>
  <c r="J226" i="3"/>
  <c r="J210" i="3"/>
  <c r="J198" i="3"/>
  <c r="J182" i="3"/>
  <c r="J176" i="3"/>
  <c r="J154" i="3"/>
  <c r="J150" i="3"/>
  <c r="J241" i="3"/>
  <c r="J221" i="3"/>
  <c r="J199" i="3"/>
  <c r="J183" i="3"/>
  <c r="J177" i="3"/>
  <c r="J141" i="3"/>
  <c r="J137" i="3"/>
  <c r="J133" i="3"/>
  <c r="J129" i="3"/>
  <c r="J125" i="3"/>
  <c r="J121" i="3"/>
  <c r="J117" i="3"/>
  <c r="J113" i="3"/>
  <c r="J109" i="3"/>
  <c r="J105" i="3"/>
  <c r="J101" i="3"/>
  <c r="J211" i="3"/>
  <c r="J169" i="3"/>
  <c r="J248" i="3"/>
  <c r="J236" i="3"/>
  <c r="J232" i="3"/>
  <c r="J216" i="3"/>
  <c r="J200" i="3"/>
  <c r="J192" i="3"/>
  <c r="J184" i="3"/>
  <c r="J168" i="3"/>
  <c r="J164" i="3"/>
  <c r="J160" i="3"/>
  <c r="J263" i="3"/>
  <c r="J249" i="3"/>
  <c r="J201" i="3"/>
  <c r="J193" i="3"/>
  <c r="J151" i="3"/>
  <c r="J227" i="3"/>
  <c r="J250" i="3"/>
  <c r="J242" i="3"/>
  <c r="J228" i="3"/>
  <c r="J222" i="3"/>
  <c r="J202" i="3"/>
  <c r="J194" i="3"/>
  <c r="J178" i="3"/>
  <c r="J170" i="3"/>
  <c r="J142" i="3"/>
  <c r="J138" i="3"/>
  <c r="J134" i="3"/>
  <c r="J130" i="3"/>
  <c r="J126" i="3"/>
  <c r="J122" i="3"/>
  <c r="J118" i="3"/>
  <c r="J114" i="3"/>
  <c r="J110" i="3"/>
  <c r="J106" i="3"/>
  <c r="J102" i="3"/>
  <c r="J98" i="3"/>
  <c r="J268" i="3"/>
  <c r="J267" i="3"/>
  <c r="J243" i="3"/>
  <c r="J237" i="3"/>
  <c r="J233" i="3"/>
  <c r="J229" i="3"/>
  <c r="J217" i="3"/>
  <c r="J203" i="3"/>
  <c r="J185" i="3"/>
  <c r="J171" i="3"/>
  <c r="J165" i="3"/>
  <c r="J161" i="3"/>
  <c r="J147" i="3"/>
  <c r="J254" i="3"/>
  <c r="J245" i="3"/>
  <c r="J223" i="3"/>
  <c r="J205" i="3"/>
  <c r="J195" i="3"/>
  <c r="J187" i="3"/>
  <c r="J179" i="3"/>
  <c r="H144" i="3"/>
  <c r="J139" i="3"/>
  <c r="J135" i="3"/>
  <c r="J131" i="3"/>
  <c r="J127" i="3"/>
  <c r="J123" i="3"/>
  <c r="J119" i="3"/>
  <c r="J115" i="3"/>
  <c r="J111" i="3"/>
  <c r="J107" i="3"/>
  <c r="J103" i="3"/>
  <c r="J99" i="3"/>
  <c r="J140" i="3"/>
  <c r="J136" i="3"/>
  <c r="J128" i="3"/>
  <c r="J124" i="3"/>
  <c r="J116" i="3"/>
  <c r="J112" i="3"/>
  <c r="J108" i="3"/>
  <c r="L171" i="3"/>
  <c r="N171" i="3" s="1"/>
  <c r="Z209" i="3"/>
  <c r="N214" i="3"/>
  <c r="J244" i="3"/>
  <c r="N267" i="3"/>
  <c r="N82" i="9"/>
  <c r="J148" i="3"/>
  <c r="J186" i="3"/>
  <c r="J253" i="3"/>
  <c r="F100" i="9"/>
  <c r="F70" i="9"/>
  <c r="F46" i="9"/>
  <c r="F45" i="9"/>
  <c r="F30" i="9"/>
  <c r="F26" i="9"/>
  <c r="F22" i="9"/>
  <c r="L12" i="9"/>
  <c r="F63" i="9"/>
  <c r="F44" i="9"/>
  <c r="F19" i="9"/>
  <c r="F15" i="9"/>
  <c r="F89" i="9"/>
  <c r="F88" i="9"/>
  <c r="F77" i="9"/>
  <c r="F76" i="9"/>
  <c r="F65" i="9"/>
  <c r="F57" i="9"/>
  <c r="F56" i="9"/>
  <c r="F98" i="9"/>
  <c r="F97" i="9"/>
  <c r="F84" i="9"/>
  <c r="F72" i="9"/>
  <c r="F71" i="9"/>
  <c r="F48" i="9"/>
  <c r="F47" i="9"/>
  <c r="F40" i="9"/>
  <c r="F36" i="9"/>
  <c r="F106" i="9"/>
  <c r="F99" i="9"/>
  <c r="F67" i="9"/>
  <c r="F66" i="9"/>
  <c r="F59" i="9"/>
  <c r="F58" i="9"/>
  <c r="F31" i="9"/>
  <c r="F27" i="9"/>
  <c r="F23" i="9"/>
  <c r="F17" i="9"/>
  <c r="F90" i="9"/>
  <c r="F78" i="9"/>
  <c r="F50" i="9"/>
  <c r="F49" i="9"/>
  <c r="F109" i="9"/>
  <c r="F85" i="9"/>
  <c r="F73" i="9"/>
  <c r="F41" i="9"/>
  <c r="F37" i="9"/>
  <c r="F33" i="9"/>
  <c r="F32" i="9"/>
  <c r="F92" i="9"/>
  <c r="F91" i="9"/>
  <c r="F80" i="9"/>
  <c r="F79" i="9"/>
  <c r="F68" i="9"/>
  <c r="F60" i="9"/>
  <c r="F28" i="9"/>
  <c r="F24" i="9"/>
  <c r="F64" i="9"/>
  <c r="F51" i="9"/>
  <c r="F102" i="9"/>
  <c r="F94" i="9"/>
  <c r="F93" i="9"/>
  <c r="F86" i="9"/>
  <c r="F74" i="9"/>
  <c r="F62" i="9"/>
  <c r="F61" i="9"/>
  <c r="F42" i="9"/>
  <c r="F38" i="9"/>
  <c r="F34" i="9"/>
  <c r="F81" i="9"/>
  <c r="F69" i="9"/>
  <c r="F53" i="9"/>
  <c r="F52" i="9"/>
  <c r="F29" i="9"/>
  <c r="F25" i="9"/>
  <c r="F21" i="9"/>
  <c r="F20" i="9"/>
  <c r="F104" i="9"/>
  <c r="F95" i="9"/>
  <c r="F87" i="9"/>
  <c r="F83" i="9"/>
  <c r="F82" i="9"/>
  <c r="F75" i="9"/>
  <c r="F55" i="9"/>
  <c r="F54" i="9"/>
  <c r="F39" i="9"/>
  <c r="F35" i="9"/>
  <c r="D17" i="9"/>
  <c r="R214" i="15"/>
  <c r="R205" i="15"/>
  <c r="R204" i="15"/>
  <c r="R188" i="15"/>
  <c r="R177" i="15"/>
  <c r="R176" i="15"/>
  <c r="R153" i="15"/>
  <c r="R152" i="15"/>
  <c r="R137" i="15"/>
  <c r="R136" i="15"/>
  <c r="R132" i="15"/>
  <c r="R128" i="15"/>
  <c r="R215" i="15"/>
  <c r="R183" i="15"/>
  <c r="R172" i="15"/>
  <c r="R171" i="15"/>
  <c r="R123" i="15"/>
  <c r="R119" i="15"/>
  <c r="R216" i="15"/>
  <c r="R206" i="15"/>
  <c r="R198" i="15"/>
  <c r="R194" i="15"/>
  <c r="R178" i="15"/>
  <c r="R162" i="15"/>
  <c r="R155" i="15"/>
  <c r="R154" i="15"/>
  <c r="R147" i="15"/>
  <c r="R146" i="15"/>
  <c r="R139" i="15"/>
  <c r="R138" i="15"/>
  <c r="R115" i="15"/>
  <c r="R110" i="15"/>
  <c r="R106" i="15"/>
  <c r="R102" i="15"/>
  <c r="R98" i="15"/>
  <c r="R94" i="15"/>
  <c r="R90" i="15"/>
  <c r="R86" i="15"/>
  <c r="R82" i="15"/>
  <c r="R78" i="15"/>
  <c r="R190" i="15"/>
  <c r="R189" i="15"/>
  <c r="R173" i="15"/>
  <c r="R133" i="15"/>
  <c r="R129" i="15"/>
  <c r="R114" i="15"/>
  <c r="R112" i="15"/>
  <c r="R184" i="15"/>
  <c r="R157" i="15"/>
  <c r="R156" i="15"/>
  <c r="R148" i="15"/>
  <c r="R140" i="15"/>
  <c r="R124" i="15"/>
  <c r="R120" i="15"/>
  <c r="R116" i="15"/>
  <c r="P112" i="15"/>
  <c r="R207" i="15"/>
  <c r="R200" i="15"/>
  <c r="R199" i="15"/>
  <c r="R195" i="15"/>
  <c r="R191" i="15"/>
  <c r="R179" i="15"/>
  <c r="R164" i="15"/>
  <c r="R163" i="15"/>
  <c r="R107" i="15"/>
  <c r="R103" i="15"/>
  <c r="R99" i="15"/>
  <c r="R95" i="15"/>
  <c r="R91" i="15"/>
  <c r="R87" i="15"/>
  <c r="R83" i="15"/>
  <c r="R79" i="15"/>
  <c r="R220" i="15"/>
  <c r="R174" i="15"/>
  <c r="R158" i="15"/>
  <c r="R134" i="15"/>
  <c r="R130" i="15"/>
  <c r="R201" i="15"/>
  <c r="R185" i="15"/>
  <c r="R166" i="15"/>
  <c r="R165" i="15"/>
  <c r="R150" i="15"/>
  <c r="R149" i="15"/>
  <c r="R142" i="15"/>
  <c r="R141" i="15"/>
  <c r="R126" i="15"/>
  <c r="R125" i="15"/>
  <c r="R121" i="15"/>
  <c r="R117" i="15"/>
  <c r="R209" i="15"/>
  <c r="R208" i="15"/>
  <c r="R196" i="15"/>
  <c r="R192" i="15"/>
  <c r="R180" i="15"/>
  <c r="R108" i="15"/>
  <c r="R104" i="15"/>
  <c r="R100" i="15"/>
  <c r="R96" i="15"/>
  <c r="R92" i="15"/>
  <c r="R88" i="15"/>
  <c r="R84" i="15"/>
  <c r="R80" i="15"/>
  <c r="X12" i="15"/>
  <c r="R213" i="15"/>
  <c r="R212" i="15"/>
  <c r="R197" i="15"/>
  <c r="R193" i="15"/>
  <c r="R182" i="15"/>
  <c r="R181" i="15"/>
  <c r="R170" i="15"/>
  <c r="R169" i="15"/>
  <c r="R161" i="15"/>
  <c r="R145" i="15"/>
  <c r="R109" i="15"/>
  <c r="R105" i="15"/>
  <c r="R101" i="15"/>
  <c r="R97" i="15"/>
  <c r="R93" i="15"/>
  <c r="R89" i="15"/>
  <c r="R85" i="15"/>
  <c r="R81" i="15"/>
  <c r="R77" i="15"/>
  <c r="R143" i="15"/>
  <c r="R168" i="15"/>
  <c r="R151" i="15"/>
  <c r="R210" i="15"/>
  <c r="R203" i="15"/>
  <c r="R159" i="15"/>
  <c r="R76" i="15"/>
  <c r="R186" i="15"/>
  <c r="R144" i="15"/>
  <c r="R127" i="15"/>
  <c r="R118" i="15"/>
  <c r="R131" i="15"/>
  <c r="R122" i="15"/>
  <c r="R167" i="15"/>
  <c r="R160" i="15"/>
  <c r="R187" i="15"/>
  <c r="R135" i="15"/>
  <c r="R202" i="15"/>
  <c r="R175" i="15"/>
  <c r="R49" i="9"/>
  <c r="R99" i="9"/>
  <c r="L13" i="3"/>
  <c r="N13" i="3" s="1"/>
  <c r="V159" i="3"/>
  <c r="V163" i="3"/>
  <c r="V167" i="3"/>
  <c r="V175" i="3"/>
  <c r="V183" i="3"/>
  <c r="V191" i="3"/>
  <c r="V199" i="3"/>
  <c r="V215" i="3"/>
  <c r="V231" i="3"/>
  <c r="V235" i="3"/>
  <c r="V239" i="3"/>
  <c r="V247" i="3"/>
  <c r="V259" i="3"/>
  <c r="H16" i="6"/>
  <c r="J22" i="9"/>
  <c r="R23" i="9"/>
  <c r="J26" i="9"/>
  <c r="R27" i="9"/>
  <c r="J30" i="9"/>
  <c r="R31" i="9"/>
  <c r="R32" i="9"/>
  <c r="J46" i="9"/>
  <c r="V50" i="9"/>
  <c r="J56" i="9"/>
  <c r="R59" i="9"/>
  <c r="R67" i="9"/>
  <c r="J70" i="9"/>
  <c r="J76" i="9"/>
  <c r="V78" i="9"/>
  <c r="J88" i="9"/>
  <c r="V90" i="9"/>
  <c r="V88" i="12"/>
  <c r="J92" i="12"/>
  <c r="V97" i="12"/>
  <c r="J114" i="12"/>
  <c r="J139" i="12"/>
  <c r="J155" i="12"/>
  <c r="N157" i="12"/>
  <c r="J185" i="12"/>
  <c r="V187" i="12"/>
  <c r="V199" i="12"/>
  <c r="J216" i="12"/>
  <c r="N139" i="15"/>
  <c r="J182" i="18"/>
  <c r="P12" i="21"/>
  <c r="X13" i="21"/>
  <c r="Z13" i="21" s="1"/>
  <c r="V149" i="3"/>
  <c r="V153" i="3"/>
  <c r="V157" i="3"/>
  <c r="V173" i="3"/>
  <c r="V181" i="3"/>
  <c r="V189" i="3"/>
  <c r="V197" i="3"/>
  <c r="V209" i="3"/>
  <c r="V213" i="3"/>
  <c r="V225" i="3"/>
  <c r="L253" i="3"/>
  <c r="V257" i="3"/>
  <c r="R24" i="6"/>
  <c r="H17" i="9"/>
  <c r="V32" i="9"/>
  <c r="V36" i="9"/>
  <c r="V40" i="9"/>
  <c r="J44" i="9"/>
  <c r="V48" i="9"/>
  <c r="J54" i="9"/>
  <c r="R57" i="9"/>
  <c r="R58" i="9"/>
  <c r="J64" i="9"/>
  <c r="R65" i="9"/>
  <c r="R66" i="9"/>
  <c r="V72" i="9"/>
  <c r="R77" i="9"/>
  <c r="J82" i="9"/>
  <c r="V84" i="9"/>
  <c r="R89" i="9"/>
  <c r="R97" i="9"/>
  <c r="R98" i="9"/>
  <c r="V99" i="9"/>
  <c r="J94" i="12"/>
  <c r="V101" i="12"/>
  <c r="N141" i="12"/>
  <c r="V146" i="12"/>
  <c r="J150" i="12"/>
  <c r="J196" i="12"/>
  <c r="P219" i="12"/>
  <c r="X219" i="12" s="1"/>
  <c r="Z219" i="12" s="1"/>
  <c r="V227" i="12"/>
  <c r="V169" i="15"/>
  <c r="V182" i="15"/>
  <c r="Z187" i="15"/>
  <c r="X187" i="15"/>
  <c r="L200" i="15"/>
  <c r="N200" i="15" s="1"/>
  <c r="L149" i="18"/>
  <c r="V158" i="3"/>
  <c r="V162" i="3"/>
  <c r="V166" i="3"/>
  <c r="V174" i="3"/>
  <c r="V190" i="3"/>
  <c r="V206" i="3"/>
  <c r="V214" i="3"/>
  <c r="V218" i="3"/>
  <c r="V230" i="3"/>
  <c r="V234" i="3"/>
  <c r="V238" i="3"/>
  <c r="V246" i="3"/>
  <c r="V256" i="3"/>
  <c r="V24" i="6"/>
  <c r="V26" i="6"/>
  <c r="V28" i="6"/>
  <c r="V29" i="6"/>
  <c r="V31" i="6"/>
  <c r="X12" i="9"/>
  <c r="J15" i="9"/>
  <c r="J17" i="9"/>
  <c r="J19" i="9"/>
  <c r="J21" i="9"/>
  <c r="R22" i="9"/>
  <c r="J25" i="9"/>
  <c r="R26" i="9"/>
  <c r="J29" i="9"/>
  <c r="R30" i="9"/>
  <c r="J43" i="9"/>
  <c r="R46" i="9"/>
  <c r="R47" i="9"/>
  <c r="V49" i="9"/>
  <c r="J53" i="9"/>
  <c r="V57" i="9"/>
  <c r="J63" i="9"/>
  <c r="V65" i="9"/>
  <c r="J69" i="9"/>
  <c r="R70" i="9"/>
  <c r="R71" i="9"/>
  <c r="V77" i="9"/>
  <c r="J81" i="9"/>
  <c r="V89" i="9"/>
  <c r="V98" i="9"/>
  <c r="V106" i="9"/>
  <c r="J78" i="12"/>
  <c r="J80" i="12"/>
  <c r="V92" i="12"/>
  <c r="J96" i="12"/>
  <c r="J129" i="12"/>
  <c r="J131" i="12"/>
  <c r="N143" i="12"/>
  <c r="Z157" i="12"/>
  <c r="X157" i="12"/>
  <c r="N161" i="12"/>
  <c r="J163" i="12"/>
  <c r="V170" i="12"/>
  <c r="V183" i="12"/>
  <c r="V215" i="15"/>
  <c r="V183" i="15"/>
  <c r="V171" i="15"/>
  <c r="V155" i="15"/>
  <c r="V147" i="15"/>
  <c r="V139" i="15"/>
  <c r="V123" i="15"/>
  <c r="V119" i="15"/>
  <c r="V115" i="15"/>
  <c r="V216" i="15"/>
  <c r="V206" i="15"/>
  <c r="V198" i="15"/>
  <c r="V194" i="15"/>
  <c r="V190" i="15"/>
  <c r="V178" i="15"/>
  <c r="V162" i="15"/>
  <c r="V154" i="15"/>
  <c r="V146" i="15"/>
  <c r="V138" i="15"/>
  <c r="V114" i="15"/>
  <c r="V112" i="15"/>
  <c r="V110" i="15"/>
  <c r="V106" i="15"/>
  <c r="V102" i="15"/>
  <c r="V98" i="15"/>
  <c r="V94" i="15"/>
  <c r="V90" i="15"/>
  <c r="V86" i="15"/>
  <c r="V82" i="15"/>
  <c r="V78" i="15"/>
  <c r="V189" i="15"/>
  <c r="V173" i="15"/>
  <c r="V157" i="15"/>
  <c r="V133" i="15"/>
  <c r="V129" i="15"/>
  <c r="T112" i="15"/>
  <c r="V200" i="15"/>
  <c r="V184" i="15"/>
  <c r="V164" i="15"/>
  <c r="V156" i="15"/>
  <c r="V148" i="15"/>
  <c r="V140" i="15"/>
  <c r="V124" i="15"/>
  <c r="V120" i="15"/>
  <c r="V116" i="15"/>
  <c r="V207" i="15"/>
  <c r="V199" i="15"/>
  <c r="V195" i="15"/>
  <c r="V191" i="15"/>
  <c r="V179" i="15"/>
  <c r="V163" i="15"/>
  <c r="V107" i="15"/>
  <c r="V103" i="15"/>
  <c r="V99" i="15"/>
  <c r="V95" i="15"/>
  <c r="V91" i="15"/>
  <c r="V87" i="15"/>
  <c r="V83" i="15"/>
  <c r="V79" i="15"/>
  <c r="V220" i="15"/>
  <c r="V174" i="15"/>
  <c r="V166" i="15"/>
  <c r="V158" i="15"/>
  <c r="V150" i="15"/>
  <c r="V142" i="15"/>
  <c r="V134" i="15"/>
  <c r="V130" i="15"/>
  <c r="V126" i="15"/>
  <c r="V209" i="15"/>
  <c r="V201" i="15"/>
  <c r="V185" i="15"/>
  <c r="V165" i="15"/>
  <c r="V149" i="15"/>
  <c r="V141" i="15"/>
  <c r="V125" i="15"/>
  <c r="V121" i="15"/>
  <c r="V117" i="15"/>
  <c r="V208" i="15"/>
  <c r="V196" i="15"/>
  <c r="V192" i="15"/>
  <c r="V180" i="15"/>
  <c r="V168" i="15"/>
  <c r="V160" i="15"/>
  <c r="V144" i="15"/>
  <c r="V108" i="15"/>
  <c r="V104" i="15"/>
  <c r="V100" i="15"/>
  <c r="V96" i="15"/>
  <c r="V92" i="15"/>
  <c r="V88" i="15"/>
  <c r="V84" i="15"/>
  <c r="V80" i="15"/>
  <c r="V76" i="15"/>
  <c r="Z12" i="15"/>
  <c r="V203" i="15"/>
  <c r="V187" i="15"/>
  <c r="V175" i="15"/>
  <c r="V167" i="15"/>
  <c r="V159" i="15"/>
  <c r="V151" i="15"/>
  <c r="V143" i="15"/>
  <c r="V135" i="15"/>
  <c r="V131" i="15"/>
  <c r="V127" i="15"/>
  <c r="V214" i="15"/>
  <c r="V204" i="15"/>
  <c r="V188" i="15"/>
  <c r="V176" i="15"/>
  <c r="V172" i="15"/>
  <c r="V152" i="15"/>
  <c r="V136" i="15"/>
  <c r="V132" i="15"/>
  <c r="V128" i="15"/>
  <c r="Z160" i="15"/>
  <c r="J226" i="18"/>
  <c r="J220" i="18"/>
  <c r="J216" i="18"/>
  <c r="J210" i="18"/>
  <c r="J204" i="18"/>
  <c r="J192" i="18"/>
  <c r="J184" i="18"/>
  <c r="J168" i="18"/>
  <c r="J236" i="18"/>
  <c r="J235" i="18"/>
  <c r="J227" i="18"/>
  <c r="J211" i="18"/>
  <c r="J205" i="18"/>
  <c r="J199" i="18"/>
  <c r="J193" i="18"/>
  <c r="J175" i="18"/>
  <c r="J159" i="18"/>
  <c r="J155" i="18"/>
  <c r="J151" i="18"/>
  <c r="J237" i="18"/>
  <c r="J228" i="18"/>
  <c r="J206" i="18"/>
  <c r="J200" i="18"/>
  <c r="J194" i="18"/>
  <c r="J176" i="18"/>
  <c r="J238" i="18"/>
  <c r="J229" i="18"/>
  <c r="J221" i="18"/>
  <c r="J217" i="18"/>
  <c r="J201" i="18"/>
  <c r="J195" i="18"/>
  <c r="J185" i="18"/>
  <c r="J177" i="18"/>
  <c r="J169" i="18"/>
  <c r="J161" i="18"/>
  <c r="J133" i="18"/>
  <c r="J129" i="18"/>
  <c r="J125" i="18"/>
  <c r="J121" i="18"/>
  <c r="J117" i="18"/>
  <c r="J113" i="18"/>
  <c r="J109" i="18"/>
  <c r="J105" i="18"/>
  <c r="J101" i="18"/>
  <c r="J97" i="18"/>
  <c r="J93" i="18"/>
  <c r="J239" i="18"/>
  <c r="J212" i="18"/>
  <c r="J196" i="18"/>
  <c r="J178" i="18"/>
  <c r="J170" i="18"/>
  <c r="J240" i="18"/>
  <c r="J213" i="18"/>
  <c r="J207" i="18"/>
  <c r="J179" i="18"/>
  <c r="J171" i="18"/>
  <c r="J230" i="18"/>
  <c r="J222" i="18"/>
  <c r="J218" i="18"/>
  <c r="J214" i="18"/>
  <c r="J202" i="18"/>
  <c r="J186" i="18"/>
  <c r="J180" i="18"/>
  <c r="J223" i="18"/>
  <c r="J197" i="18"/>
  <c r="J187" i="18"/>
  <c r="J181" i="18"/>
  <c r="J233" i="18"/>
  <c r="J225" i="18"/>
  <c r="J209" i="18"/>
  <c r="J191" i="18"/>
  <c r="J183" i="18"/>
  <c r="J167" i="18"/>
  <c r="J145" i="18"/>
  <c r="J141" i="18"/>
  <c r="J219" i="18"/>
  <c r="J166" i="18"/>
  <c r="J150" i="18"/>
  <c r="H135" i="18"/>
  <c r="J131" i="18"/>
  <c r="J128" i="18"/>
  <c r="J122" i="18"/>
  <c r="J119" i="18"/>
  <c r="J116" i="18"/>
  <c r="J90" i="18"/>
  <c r="J208" i="18"/>
  <c r="J173" i="18"/>
  <c r="J153" i="18"/>
  <c r="J110" i="18"/>
  <c r="J94" i="18"/>
  <c r="J91" i="18"/>
  <c r="J158" i="18"/>
  <c r="J140" i="18"/>
  <c r="J137" i="18"/>
  <c r="J107" i="18"/>
  <c r="J104" i="18"/>
  <c r="J189" i="18"/>
  <c r="J156" i="18"/>
  <c r="J164" i="18"/>
  <c r="J143" i="18"/>
  <c r="J132" i="18"/>
  <c r="J126" i="18"/>
  <c r="J123" i="18"/>
  <c r="J120" i="18"/>
  <c r="J114" i="18"/>
  <c r="J98" i="18"/>
  <c r="J231" i="18"/>
  <c r="J203" i="18"/>
  <c r="J148" i="18"/>
  <c r="J138" i="18"/>
  <c r="J111" i="18"/>
  <c r="J108" i="18"/>
  <c r="J95" i="18"/>
  <c r="J92" i="18"/>
  <c r="J244" i="18"/>
  <c r="J162" i="18"/>
  <c r="J146" i="18"/>
  <c r="J174" i="18"/>
  <c r="J165" i="18"/>
  <c r="J154" i="18"/>
  <c r="J102" i="18"/>
  <c r="J215" i="18"/>
  <c r="J160" i="18"/>
  <c r="J157" i="18"/>
  <c r="J149" i="18"/>
  <c r="J139" i="18"/>
  <c r="J130" i="18"/>
  <c r="J127" i="18"/>
  <c r="J124" i="18"/>
  <c r="J118" i="18"/>
  <c r="J115" i="18"/>
  <c r="J112" i="18"/>
  <c r="J99" i="18"/>
  <c r="J96" i="18"/>
  <c r="J232" i="18"/>
  <c r="J147" i="18"/>
  <c r="J142" i="18"/>
  <c r="J135" i="18"/>
  <c r="J103" i="18"/>
  <c r="J100" i="18"/>
  <c r="N149" i="18"/>
  <c r="R39" i="9"/>
  <c r="R55" i="9"/>
  <c r="R56" i="9"/>
  <c r="R75" i="9"/>
  <c r="R83" i="9"/>
  <c r="R87" i="9"/>
  <c r="R88" i="9"/>
  <c r="R95" i="9"/>
  <c r="V85" i="12"/>
  <c r="V105" i="12"/>
  <c r="V157" i="12"/>
  <c r="R109" i="9"/>
  <c r="R106" i="9"/>
  <c r="R100" i="9"/>
  <c r="R72" i="9"/>
  <c r="V151" i="12"/>
  <c r="V208" i="12"/>
  <c r="P22" i="6"/>
  <c r="R76" i="9"/>
  <c r="V148" i="3"/>
  <c r="V152" i="3"/>
  <c r="V156" i="3"/>
  <c r="V172" i="3"/>
  <c r="V180" i="3"/>
  <c r="V188" i="3"/>
  <c r="V204" i="3"/>
  <c r="V212" i="3"/>
  <c r="V244" i="3"/>
  <c r="V254" i="3"/>
  <c r="R14" i="6"/>
  <c r="R16" i="6"/>
  <c r="R18" i="6"/>
  <c r="R20" i="6"/>
  <c r="R22" i="6"/>
  <c r="V35" i="9"/>
  <c r="V39" i="9"/>
  <c r="R44" i="9"/>
  <c r="R45" i="9"/>
  <c r="V47" i="9"/>
  <c r="J51" i="9"/>
  <c r="V55" i="9"/>
  <c r="J61" i="9"/>
  <c r="R64" i="9"/>
  <c r="V71" i="9"/>
  <c r="V75" i="9"/>
  <c r="V83" i="9"/>
  <c r="V87" i="9"/>
  <c r="J93" i="9"/>
  <c r="V95" i="9"/>
  <c r="V104" i="9"/>
  <c r="J82" i="12"/>
  <c r="J100" i="12"/>
  <c r="Z141" i="12"/>
  <c r="X141" i="12"/>
  <c r="V159" i="12"/>
  <c r="J169" i="12"/>
  <c r="J171" i="12"/>
  <c r="J213" i="12"/>
  <c r="V216" i="12"/>
  <c r="J222" i="12"/>
  <c r="D12" i="15"/>
  <c r="N203" i="15"/>
  <c r="Z209" i="15"/>
  <c r="V213" i="15"/>
  <c r="J152" i="18"/>
  <c r="V81" i="12"/>
  <c r="R35" i="9"/>
  <c r="T144" i="3"/>
  <c r="V161" i="3"/>
  <c r="V165" i="3"/>
  <c r="X180" i="3"/>
  <c r="Z180" i="3" s="1"/>
  <c r="V185" i="3"/>
  <c r="X188" i="3"/>
  <c r="Z188" i="3" s="1"/>
  <c r="V205" i="3"/>
  <c r="V217" i="3"/>
  <c r="V229" i="3"/>
  <c r="V233" i="3"/>
  <c r="V237" i="3"/>
  <c r="V245" i="3"/>
  <c r="V253" i="3"/>
  <c r="T16" i="6"/>
  <c r="X16" i="6" s="1"/>
  <c r="P17" i="9"/>
  <c r="R21" i="9"/>
  <c r="R25" i="9"/>
  <c r="R29" i="9"/>
  <c r="X47" i="9"/>
  <c r="Z47" i="9" s="1"/>
  <c r="R53" i="9"/>
  <c r="R54" i="9"/>
  <c r="V56" i="9"/>
  <c r="J60" i="9"/>
  <c r="L61" i="9"/>
  <c r="N61" i="9" s="1"/>
  <c r="V64" i="9"/>
  <c r="J68" i="9"/>
  <c r="R69" i="9"/>
  <c r="X71" i="9"/>
  <c r="V76" i="9"/>
  <c r="J80" i="9"/>
  <c r="R81" i="9"/>
  <c r="R82" i="9"/>
  <c r="V88" i="9"/>
  <c r="J92" i="9"/>
  <c r="L93" i="9"/>
  <c r="N93" i="9" s="1"/>
  <c r="V80" i="12"/>
  <c r="J84" i="12"/>
  <c r="J102" i="12"/>
  <c r="V109" i="12"/>
  <c r="V127" i="12"/>
  <c r="V141" i="12"/>
  <c r="J147" i="12"/>
  <c r="J154" i="12"/>
  <c r="J158" i="12"/>
  <c r="Z174" i="12"/>
  <c r="J188" i="12"/>
  <c r="V192" i="12"/>
  <c r="J205" i="12"/>
  <c r="V215" i="12"/>
  <c r="X216" i="12"/>
  <c r="Z216" i="12" s="1"/>
  <c r="J190" i="18"/>
  <c r="J224" i="18"/>
  <c r="L54" i="21"/>
  <c r="N54" i="21" s="1"/>
  <c r="V134" i="3"/>
  <c r="V138" i="3"/>
  <c r="V142" i="3"/>
  <c r="V144" i="3"/>
  <c r="V146" i="3"/>
  <c r="V170" i="3"/>
  <c r="V178" i="3"/>
  <c r="V186" i="3"/>
  <c r="V194" i="3"/>
  <c r="V202" i="3"/>
  <c r="V222" i="3"/>
  <c r="V242" i="3"/>
  <c r="V250" i="3"/>
  <c r="V252" i="3"/>
  <c r="V14" i="6"/>
  <c r="V16" i="6"/>
  <c r="V18" i="6"/>
  <c r="V20" i="6"/>
  <c r="V22" i="6"/>
  <c r="F26" i="6"/>
  <c r="F28" i="6"/>
  <c r="F29" i="6"/>
  <c r="F31" i="6"/>
  <c r="L13" i="9"/>
  <c r="R15" i="9"/>
  <c r="R17" i="9"/>
  <c r="R19" i="9"/>
  <c r="V25" i="9"/>
  <c r="V29" i="9"/>
  <c r="J33" i="9"/>
  <c r="R34" i="9"/>
  <c r="J37" i="9"/>
  <c r="R38" i="9"/>
  <c r="J41" i="9"/>
  <c r="R42" i="9"/>
  <c r="R43" i="9"/>
  <c r="V45" i="9"/>
  <c r="V53" i="9"/>
  <c r="R62" i="9"/>
  <c r="R63" i="9"/>
  <c r="V69" i="9"/>
  <c r="J73" i="9"/>
  <c r="R74" i="9"/>
  <c r="J79" i="9"/>
  <c r="V81" i="9"/>
  <c r="J85" i="9"/>
  <c r="R86" i="9"/>
  <c r="J91" i="9"/>
  <c r="R94" i="9"/>
  <c r="J100" i="9"/>
  <c r="P12" i="12"/>
  <c r="V89" i="12"/>
  <c r="J104" i="12"/>
  <c r="J121" i="12"/>
  <c r="V123" i="12"/>
  <c r="V143" i="12"/>
  <c r="L154" i="12"/>
  <c r="N154" i="12" s="1"/>
  <c r="V165" i="12"/>
  <c r="V176" i="12"/>
  <c r="V190" i="12"/>
  <c r="V118" i="15"/>
  <c r="Z144" i="15"/>
  <c r="N155" i="15"/>
  <c r="N157" i="15"/>
  <c r="L157" i="15"/>
  <c r="J157" i="15"/>
  <c r="V161" i="15"/>
  <c r="V181" i="15"/>
  <c r="V186" i="15"/>
  <c r="D12" i="18"/>
  <c r="J106" i="18"/>
  <c r="J188" i="18"/>
  <c r="R40" i="9"/>
  <c r="X182" i="15"/>
  <c r="Z182" i="15" s="1"/>
  <c r="V147" i="3"/>
  <c r="V151" i="3"/>
  <c r="V155" i="3"/>
  <c r="V171" i="3"/>
  <c r="V203" i="3"/>
  <c r="V211" i="3"/>
  <c r="V227" i="3"/>
  <c r="V243" i="3"/>
  <c r="V263" i="3"/>
  <c r="V267" i="3"/>
  <c r="V268" i="3"/>
  <c r="T17" i="9"/>
  <c r="R20" i="9"/>
  <c r="J32" i="9"/>
  <c r="V34" i="9"/>
  <c r="V38" i="9"/>
  <c r="V42" i="9"/>
  <c r="J50" i="9"/>
  <c r="R51" i="9"/>
  <c r="R52" i="9"/>
  <c r="V54" i="9"/>
  <c r="V62" i="9"/>
  <c r="V74" i="9"/>
  <c r="J78" i="9"/>
  <c r="V82" i="9"/>
  <c r="V86" i="9"/>
  <c r="J90" i="9"/>
  <c r="V94" i="9"/>
  <c r="D97" i="9"/>
  <c r="L97" i="9" s="1"/>
  <c r="R102" i="9"/>
  <c r="J109" i="9"/>
  <c r="X13" i="12"/>
  <c r="Z13" i="12" s="1"/>
  <c r="J86" i="12"/>
  <c r="J106" i="12"/>
  <c r="V113" i="12"/>
  <c r="N130" i="12"/>
  <c r="V138" i="12"/>
  <c r="J142" i="12"/>
  <c r="V156" i="12"/>
  <c r="L168" i="12"/>
  <c r="X176" i="12"/>
  <c r="Z176" i="12" s="1"/>
  <c r="Z188" i="12"/>
  <c r="L212" i="12"/>
  <c r="V222" i="12"/>
  <c r="Z76" i="15"/>
  <c r="V109" i="15"/>
  <c r="N164" i="15"/>
  <c r="L164" i="15"/>
  <c r="X170" i="15"/>
  <c r="Z170" i="15" s="1"/>
  <c r="V193" i="15"/>
  <c r="X203" i="15"/>
  <c r="Z203" i="15" s="1"/>
  <c r="V205" i="15"/>
  <c r="J26" i="6"/>
  <c r="J28" i="6"/>
  <c r="J29" i="6"/>
  <c r="V15" i="9"/>
  <c r="V17" i="9"/>
  <c r="V19" i="9"/>
  <c r="J23" i="9"/>
  <c r="R24" i="9"/>
  <c r="J27" i="9"/>
  <c r="R28" i="9"/>
  <c r="J31" i="9"/>
  <c r="V43" i="9"/>
  <c r="J49" i="9"/>
  <c r="V51" i="9"/>
  <c r="X54" i="9"/>
  <c r="Z54" i="9" s="1"/>
  <c r="J59" i="9"/>
  <c r="R60" i="9"/>
  <c r="R61" i="9"/>
  <c r="V63" i="9"/>
  <c r="J67" i="9"/>
  <c r="R68" i="9"/>
  <c r="R80" i="9"/>
  <c r="R92" i="9"/>
  <c r="R93" i="9"/>
  <c r="J99" i="9"/>
  <c r="V102" i="9"/>
  <c r="V84" i="12"/>
  <c r="J88" i="12"/>
  <c r="J108" i="12"/>
  <c r="J130" i="12"/>
  <c r="V134" i="12"/>
  <c r="V136" i="12"/>
  <c r="V140" i="12"/>
  <c r="N146" i="12"/>
  <c r="N151" i="12"/>
  <c r="V173" i="12"/>
  <c r="V188" i="12"/>
  <c r="J197" i="12"/>
  <c r="J201" i="12"/>
  <c r="Z207" i="12"/>
  <c r="V105" i="15"/>
  <c r="N114" i="15"/>
  <c r="Z157" i="15"/>
  <c r="J164" i="15"/>
  <c r="V170" i="15"/>
  <c r="V210" i="15"/>
  <c r="R84" i="9"/>
  <c r="V219" i="12"/>
  <c r="V217" i="12"/>
  <c r="V209" i="12"/>
  <c r="V193" i="12"/>
  <c r="V189" i="12"/>
  <c r="V177" i="12"/>
  <c r="V161" i="12"/>
  <c r="V137" i="12"/>
  <c r="V133" i="12"/>
  <c r="T116" i="12"/>
  <c r="V220" i="12"/>
  <c r="V212" i="12"/>
  <c r="V204" i="12"/>
  <c r="V200" i="12"/>
  <c r="V184" i="12"/>
  <c r="V168" i="12"/>
  <c r="V160" i="12"/>
  <c r="V152" i="12"/>
  <c r="V144" i="12"/>
  <c r="V128" i="12"/>
  <c r="V124" i="12"/>
  <c r="V120" i="12"/>
  <c r="V221" i="12"/>
  <c r="V211" i="12"/>
  <c r="V195" i="12"/>
  <c r="V179" i="12"/>
  <c r="V167" i="12"/>
  <c r="V111" i="12"/>
  <c r="V107" i="12"/>
  <c r="V103" i="12"/>
  <c r="V99" i="12"/>
  <c r="V95" i="12"/>
  <c r="V91" i="12"/>
  <c r="V87" i="12"/>
  <c r="V83" i="12"/>
  <c r="V79" i="12"/>
  <c r="V223" i="12"/>
  <c r="V213" i="12"/>
  <c r="V205" i="12"/>
  <c r="V201" i="12"/>
  <c r="V197" i="12"/>
  <c r="V185" i="12"/>
  <c r="V169" i="12"/>
  <c r="V153" i="12"/>
  <c r="V145" i="12"/>
  <c r="V129" i="12"/>
  <c r="V125" i="12"/>
  <c r="V121" i="12"/>
  <c r="V196" i="12"/>
  <c r="V180" i="12"/>
  <c r="V172" i="12"/>
  <c r="V164" i="12"/>
  <c r="V148" i="12"/>
  <c r="V112" i="12"/>
  <c r="V108" i="12"/>
  <c r="V104" i="12"/>
  <c r="V100" i="12"/>
  <c r="V96" i="12"/>
  <c r="V207" i="12"/>
  <c r="V191" i="12"/>
  <c r="V171" i="12"/>
  <c r="V163" i="12"/>
  <c r="V155" i="12"/>
  <c r="V147" i="12"/>
  <c r="V139" i="12"/>
  <c r="V135" i="12"/>
  <c r="V131" i="12"/>
  <c r="V214" i="12"/>
  <c r="V206" i="12"/>
  <c r="V202" i="12"/>
  <c r="V198" i="12"/>
  <c r="V186" i="12"/>
  <c r="V174" i="12"/>
  <c r="V126" i="12"/>
  <c r="V122" i="12"/>
  <c r="V210" i="12"/>
  <c r="V194" i="12"/>
  <c r="V182" i="12"/>
  <c r="V178" i="12"/>
  <c r="V166" i="12"/>
  <c r="V158" i="12"/>
  <c r="V150" i="12"/>
  <c r="V142" i="12"/>
  <c r="V118" i="12"/>
  <c r="V116" i="12"/>
  <c r="V114" i="12"/>
  <c r="V110" i="12"/>
  <c r="V106" i="12"/>
  <c r="V102" i="12"/>
  <c r="V98" i="12"/>
  <c r="V94" i="12"/>
  <c r="V90" i="12"/>
  <c r="V86" i="12"/>
  <c r="V82" i="12"/>
  <c r="V78" i="12"/>
  <c r="V130" i="12"/>
  <c r="V181" i="12"/>
  <c r="V97" i="3"/>
  <c r="V101" i="3"/>
  <c r="V105" i="3"/>
  <c r="V109" i="3"/>
  <c r="V113" i="3"/>
  <c r="V117" i="3"/>
  <c r="V121" i="3"/>
  <c r="V125" i="3"/>
  <c r="V129" i="3"/>
  <c r="V133" i="3"/>
  <c r="V137" i="3"/>
  <c r="V141" i="3"/>
  <c r="V169" i="3"/>
  <c r="V177" i="3"/>
  <c r="V193" i="3"/>
  <c r="V201" i="3"/>
  <c r="V221" i="3"/>
  <c r="V241" i="3"/>
  <c r="V249" i="3"/>
  <c r="D16" i="6"/>
  <c r="V20" i="9"/>
  <c r="V24" i="9"/>
  <c r="V28" i="9"/>
  <c r="R33" i="9"/>
  <c r="J36" i="9"/>
  <c r="R37" i="9"/>
  <c r="J40" i="9"/>
  <c r="R41" i="9"/>
  <c r="J48" i="9"/>
  <c r="V52" i="9"/>
  <c r="J58" i="9"/>
  <c r="V60" i="9"/>
  <c r="J66" i="9"/>
  <c r="V68" i="9"/>
  <c r="J72" i="9"/>
  <c r="R73" i="9"/>
  <c r="V80" i="9"/>
  <c r="J84" i="9"/>
  <c r="R85" i="9"/>
  <c r="V92" i="9"/>
  <c r="J98" i="9"/>
  <c r="J106" i="9"/>
  <c r="D12" i="12"/>
  <c r="V93" i="12"/>
  <c r="J110" i="12"/>
  <c r="V119" i="12"/>
  <c r="V132" i="12"/>
  <c r="J146" i="12"/>
  <c r="V149" i="12"/>
  <c r="J153" i="12"/>
  <c r="V154" i="12"/>
  <c r="N168" i="12"/>
  <c r="N170" i="12"/>
  <c r="V175" i="12"/>
  <c r="N212" i="12"/>
  <c r="V81" i="15"/>
  <c r="V85" i="15"/>
  <c r="V89" i="15"/>
  <c r="V93" i="15"/>
  <c r="V97" i="15"/>
  <c r="V101" i="15"/>
  <c r="P12" i="18"/>
  <c r="X15" i="18"/>
  <c r="J172" i="18"/>
  <c r="H106" i="21"/>
  <c r="R36" i="9"/>
  <c r="R48" i="9"/>
  <c r="V150" i="3"/>
  <c r="V154" i="3"/>
  <c r="V182" i="3"/>
  <c r="V198" i="3"/>
  <c r="V210" i="3"/>
  <c r="V41" i="9"/>
  <c r="J47" i="9"/>
  <c r="R50" i="9"/>
  <c r="J57" i="9"/>
  <c r="V61" i="9"/>
  <c r="J65" i="9"/>
  <c r="J71" i="9"/>
  <c r="V73" i="9"/>
  <c r="J77" i="9"/>
  <c r="R78" i="9"/>
  <c r="R79" i="9"/>
  <c r="V85" i="9"/>
  <c r="J89" i="9"/>
  <c r="R90" i="9"/>
  <c r="R91" i="9"/>
  <c r="V93" i="9"/>
  <c r="J97" i="9"/>
  <c r="J227" i="12"/>
  <c r="J207" i="12"/>
  <c r="J181" i="12"/>
  <c r="J173" i="12"/>
  <c r="J165" i="12"/>
  <c r="J149" i="12"/>
  <c r="J113" i="12"/>
  <c r="J109" i="12"/>
  <c r="J105" i="12"/>
  <c r="J101" i="12"/>
  <c r="J97" i="12"/>
  <c r="J93" i="12"/>
  <c r="J89" i="12"/>
  <c r="J85" i="12"/>
  <c r="J81" i="12"/>
  <c r="J208" i="12"/>
  <c r="J192" i="12"/>
  <c r="J174" i="12"/>
  <c r="J156" i="12"/>
  <c r="J140" i="12"/>
  <c r="J136" i="12"/>
  <c r="J132" i="12"/>
  <c r="J215" i="12"/>
  <c r="J203" i="12"/>
  <c r="J199" i="12"/>
  <c r="J187" i="12"/>
  <c r="J175" i="12"/>
  <c r="J157" i="12"/>
  <c r="J141" i="12"/>
  <c r="J127" i="12"/>
  <c r="J123" i="12"/>
  <c r="J217" i="12"/>
  <c r="J209" i="12"/>
  <c r="J193" i="12"/>
  <c r="J189" i="12"/>
  <c r="J183" i="12"/>
  <c r="J177" i="12"/>
  <c r="J159" i="12"/>
  <c r="J151" i="12"/>
  <c r="J143" i="12"/>
  <c r="J137" i="12"/>
  <c r="J133" i="12"/>
  <c r="J119" i="12"/>
  <c r="J210" i="12"/>
  <c r="J204" i="12"/>
  <c r="J200" i="12"/>
  <c r="J194" i="12"/>
  <c r="J184" i="12"/>
  <c r="J178" i="12"/>
  <c r="J160" i="12"/>
  <c r="J152" i="12"/>
  <c r="J144" i="12"/>
  <c r="J128" i="12"/>
  <c r="J124" i="12"/>
  <c r="J120" i="12"/>
  <c r="J118" i="12"/>
  <c r="J220" i="12"/>
  <c r="J219" i="12"/>
  <c r="J211" i="12"/>
  <c r="J195" i="12"/>
  <c r="J179" i="12"/>
  <c r="J167" i="12"/>
  <c r="J161" i="12"/>
  <c r="H116" i="12"/>
  <c r="J116" i="12" s="1"/>
  <c r="J111" i="12"/>
  <c r="J107" i="12"/>
  <c r="J103" i="12"/>
  <c r="J99" i="12"/>
  <c r="J95" i="12"/>
  <c r="J91" i="12"/>
  <c r="J87" i="12"/>
  <c r="J83" i="12"/>
  <c r="J79" i="12"/>
  <c r="J221" i="12"/>
  <c r="J212" i="12"/>
  <c r="J190" i="12"/>
  <c r="J168" i="12"/>
  <c r="J162" i="12"/>
  <c r="J138" i="12"/>
  <c r="J134" i="12"/>
  <c r="J214" i="12"/>
  <c r="J206" i="12"/>
  <c r="J202" i="12"/>
  <c r="J198" i="12"/>
  <c r="J186" i="12"/>
  <c r="J172" i="12"/>
  <c r="J164" i="12"/>
  <c r="J148" i="12"/>
  <c r="J126" i="12"/>
  <c r="J122" i="12"/>
  <c r="J90" i="12"/>
  <c r="J112" i="12"/>
  <c r="V162" i="12"/>
  <c r="J170" i="12"/>
  <c r="J191" i="12"/>
  <c r="V145" i="15"/>
  <c r="V153" i="15"/>
  <c r="J80" i="15"/>
  <c r="J84" i="15"/>
  <c r="J88" i="15"/>
  <c r="J92" i="15"/>
  <c r="J96" i="15"/>
  <c r="J100" i="15"/>
  <c r="J104" i="15"/>
  <c r="J108" i="15"/>
  <c r="J126" i="15"/>
  <c r="J142" i="15"/>
  <c r="J150" i="15"/>
  <c r="J166" i="15"/>
  <c r="J180" i="15"/>
  <c r="J192" i="15"/>
  <c r="J196" i="15"/>
  <c r="J208" i="15"/>
  <c r="V140" i="18"/>
  <c r="V175" i="18"/>
  <c r="Z183" i="18"/>
  <c r="Z191" i="18"/>
  <c r="Z193" i="18"/>
  <c r="V195" i="18"/>
  <c r="V206" i="18"/>
  <c r="N235" i="18"/>
  <c r="Z84" i="21"/>
  <c r="J179" i="15"/>
  <c r="J191" i="15"/>
  <c r="J195" i="15"/>
  <c r="J199" i="15"/>
  <c r="J207" i="15"/>
  <c r="H218" i="15"/>
  <c r="J218" i="15" s="1"/>
  <c r="T249" i="18"/>
  <c r="V249" i="18" s="1"/>
  <c r="N213" i="18"/>
  <c r="Z235" i="18"/>
  <c r="J112" i="15"/>
  <c r="J114" i="15"/>
  <c r="J116" i="15"/>
  <c r="J120" i="15"/>
  <c r="J124" i="15"/>
  <c r="J140" i="15"/>
  <c r="J148" i="15"/>
  <c r="J156" i="15"/>
  <c r="J184" i="15"/>
  <c r="J190" i="15"/>
  <c r="V100" i="18"/>
  <c r="V103" i="18"/>
  <c r="V106" i="18"/>
  <c r="V168" i="18"/>
  <c r="V194" i="18"/>
  <c r="X228" i="18"/>
  <c r="Z228" i="18" s="1"/>
  <c r="N52" i="21"/>
  <c r="J115" i="15"/>
  <c r="J129" i="15"/>
  <c r="J133" i="15"/>
  <c r="J139" i="15"/>
  <c r="J147" i="15"/>
  <c r="J155" i="15"/>
  <c r="J173" i="15"/>
  <c r="J189" i="15"/>
  <c r="D212" i="15"/>
  <c r="L212" i="15" s="1"/>
  <c r="N212" i="15" s="1"/>
  <c r="J216" i="15"/>
  <c r="V242" i="18"/>
  <c r="V240" i="18"/>
  <c r="V212" i="18"/>
  <c r="V196" i="18"/>
  <c r="V180" i="18"/>
  <c r="V156" i="18"/>
  <c r="V223" i="18"/>
  <c r="V207" i="18"/>
  <c r="V187" i="18"/>
  <c r="V179" i="18"/>
  <c r="V171" i="18"/>
  <c r="V163" i="18"/>
  <c r="V147" i="18"/>
  <c r="V143" i="18"/>
  <c r="V139" i="18"/>
  <c r="V230" i="18"/>
  <c r="V222" i="18"/>
  <c r="V218" i="18"/>
  <c r="V214" i="18"/>
  <c r="V202" i="18"/>
  <c r="V186" i="18"/>
  <c r="V197" i="18"/>
  <c r="V189" i="18"/>
  <c r="V181" i="18"/>
  <c r="V173" i="18"/>
  <c r="V165" i="18"/>
  <c r="V157" i="18"/>
  <c r="V153" i="18"/>
  <c r="V149" i="18"/>
  <c r="V246" i="18"/>
  <c r="V244" i="18"/>
  <c r="V232" i="18"/>
  <c r="V224" i="18"/>
  <c r="V208" i="18"/>
  <c r="V188" i="18"/>
  <c r="V172" i="18"/>
  <c r="V231" i="18"/>
  <c r="V219" i="18"/>
  <c r="V215" i="18"/>
  <c r="V203" i="18"/>
  <c r="V191" i="18"/>
  <c r="V183" i="18"/>
  <c r="V226" i="18"/>
  <c r="V210" i="18"/>
  <c r="V198" i="18"/>
  <c r="V190" i="18"/>
  <c r="V182" i="18"/>
  <c r="V174" i="18"/>
  <c r="V166" i="18"/>
  <c r="V158" i="18"/>
  <c r="V154" i="18"/>
  <c r="V150" i="18"/>
  <c r="V235" i="18"/>
  <c r="V233" i="18"/>
  <c r="V225" i="18"/>
  <c r="V209" i="18"/>
  <c r="V205" i="18"/>
  <c r="V193" i="18"/>
  <c r="V239" i="18"/>
  <c r="V229" i="18"/>
  <c r="V221" i="18"/>
  <c r="V217" i="18"/>
  <c r="V213" i="18"/>
  <c r="V201" i="18"/>
  <c r="V185" i="18"/>
  <c r="V177" i="18"/>
  <c r="V169" i="18"/>
  <c r="V161" i="18"/>
  <c r="V137" i="18"/>
  <c r="V135" i="18"/>
  <c r="V133" i="18"/>
  <c r="V129" i="18"/>
  <c r="V125" i="18"/>
  <c r="V121" i="18"/>
  <c r="V117" i="18"/>
  <c r="V113" i="18"/>
  <c r="V109" i="18"/>
  <c r="V105" i="18"/>
  <c r="V101" i="18"/>
  <c r="V97" i="18"/>
  <c r="V93" i="18"/>
  <c r="V90" i="18"/>
  <c r="V144" i="18"/>
  <c r="V152" i="18"/>
  <c r="L165" i="18"/>
  <c r="N165" i="18" s="1"/>
  <c r="V170" i="18"/>
  <c r="V184" i="18"/>
  <c r="V192" i="18"/>
  <c r="Z200" i="18"/>
  <c r="X200" i="18"/>
  <c r="N205" i="18"/>
  <c r="V228" i="18"/>
  <c r="J102" i="15"/>
  <c r="J106" i="15"/>
  <c r="J110" i="15"/>
  <c r="J138" i="15"/>
  <c r="J146" i="15"/>
  <c r="J154" i="15"/>
  <c r="J162" i="15"/>
  <c r="J172" i="15"/>
  <c r="J178" i="15"/>
  <c r="J194" i="15"/>
  <c r="J198" i="15"/>
  <c r="J206" i="15"/>
  <c r="J215" i="15"/>
  <c r="V178" i="18"/>
  <c r="V200" i="18"/>
  <c r="V211" i="18"/>
  <c r="V220" i="18"/>
  <c r="L13" i="15"/>
  <c r="N13" i="15" s="1"/>
  <c r="J119" i="15"/>
  <c r="J123" i="15"/>
  <c r="J137" i="15"/>
  <c r="J153" i="15"/>
  <c r="J171" i="15"/>
  <c r="J177" i="15"/>
  <c r="J183" i="15"/>
  <c r="J205" i="15"/>
  <c r="J214" i="15"/>
  <c r="V96" i="18"/>
  <c r="V99" i="18"/>
  <c r="V102" i="18"/>
  <c r="V112" i="18"/>
  <c r="V115" i="18"/>
  <c r="V124" i="18"/>
  <c r="V127" i="18"/>
  <c r="V160" i="18"/>
  <c r="Z176" i="18"/>
  <c r="X176" i="18"/>
  <c r="N189" i="18"/>
  <c r="F106" i="21"/>
  <c r="F104" i="21"/>
  <c r="F95" i="21"/>
  <c r="F94" i="21"/>
  <c r="F96" i="21"/>
  <c r="F102" i="21"/>
  <c r="F101" i="21"/>
  <c r="F98" i="21"/>
  <c r="F74" i="21"/>
  <c r="F66" i="21"/>
  <c r="F65" i="21"/>
  <c r="F46" i="21"/>
  <c r="F42" i="21"/>
  <c r="F38" i="21"/>
  <c r="F37" i="21"/>
  <c r="D24" i="21"/>
  <c r="F92" i="21"/>
  <c r="F81" i="21"/>
  <c r="F33" i="21"/>
  <c r="F29" i="21"/>
  <c r="F90" i="21"/>
  <c r="F68" i="21"/>
  <c r="F67" i="21"/>
  <c r="F56" i="21"/>
  <c r="F20" i="21"/>
  <c r="F19" i="21"/>
  <c r="F113" i="21"/>
  <c r="F99" i="21"/>
  <c r="F75" i="21"/>
  <c r="F47" i="21"/>
  <c r="F43" i="21"/>
  <c r="F39" i="21"/>
  <c r="F108" i="21"/>
  <c r="F88" i="21"/>
  <c r="F82" i="21"/>
  <c r="F70" i="21"/>
  <c r="F69" i="21"/>
  <c r="F58" i="21"/>
  <c r="F57" i="21"/>
  <c r="F34" i="21"/>
  <c r="F30" i="21"/>
  <c r="F100" i="21"/>
  <c r="F77" i="21"/>
  <c r="F76" i="21"/>
  <c r="F49" i="21"/>
  <c r="F48" i="21"/>
  <c r="F21" i="21"/>
  <c r="F93" i="21"/>
  <c r="F72" i="21"/>
  <c r="F71" i="21"/>
  <c r="F60" i="21"/>
  <c r="F59" i="21"/>
  <c r="F44" i="21"/>
  <c r="F40" i="21"/>
  <c r="F91" i="21"/>
  <c r="F83" i="21"/>
  <c r="F51" i="21"/>
  <c r="F50" i="21"/>
  <c r="F35" i="21"/>
  <c r="F31" i="21"/>
  <c r="F78" i="21"/>
  <c r="F62" i="21"/>
  <c r="F61" i="21"/>
  <c r="F89" i="21"/>
  <c r="F85" i="21"/>
  <c r="F84" i="21"/>
  <c r="F73" i="21"/>
  <c r="F53" i="21"/>
  <c r="F52" i="21"/>
  <c r="F45" i="21"/>
  <c r="F41" i="21"/>
  <c r="F87" i="21"/>
  <c r="F86" i="21"/>
  <c r="F55" i="21"/>
  <c r="F54" i="21"/>
  <c r="F26" i="21"/>
  <c r="F24" i="21"/>
  <c r="L26" i="21"/>
  <c r="N26" i="21" s="1"/>
  <c r="F28" i="21"/>
  <c r="F97" i="21"/>
  <c r="J152" i="15"/>
  <c r="J170" i="15"/>
  <c r="J176" i="15"/>
  <c r="J182" i="15"/>
  <c r="J188" i="15"/>
  <c r="J204" i="15"/>
  <c r="J212" i="15"/>
  <c r="J213" i="15"/>
  <c r="V141" i="18"/>
  <c r="V146" i="18"/>
  <c r="V159" i="18"/>
  <c r="X160" i="18"/>
  <c r="Z160" i="18" s="1"/>
  <c r="V176" i="18"/>
  <c r="N187" i="18"/>
  <c r="Z205" i="18"/>
  <c r="N223" i="18"/>
  <c r="V35" i="27"/>
  <c r="J77" i="15"/>
  <c r="J81" i="15"/>
  <c r="J85" i="15"/>
  <c r="J89" i="15"/>
  <c r="J93" i="15"/>
  <c r="J97" i="15"/>
  <c r="J101" i="15"/>
  <c r="J105" i="15"/>
  <c r="J109" i="15"/>
  <c r="J145" i="15"/>
  <c r="J161" i="15"/>
  <c r="J169" i="15"/>
  <c r="J181" i="15"/>
  <c r="J187" i="15"/>
  <c r="J193" i="15"/>
  <c r="J197" i="15"/>
  <c r="J203" i="15"/>
  <c r="V148" i="18"/>
  <c r="X149" i="18"/>
  <c r="Z149" i="18" s="1"/>
  <c r="V151" i="18"/>
  <c r="V162" i="18"/>
  <c r="X165" i="18"/>
  <c r="Z165" i="18" s="1"/>
  <c r="N173" i="18"/>
  <c r="N193" i="18"/>
  <c r="V227" i="18"/>
  <c r="V58" i="24"/>
  <c r="J76" i="15"/>
  <c r="J118" i="15"/>
  <c r="J122" i="15"/>
  <c r="J144" i="15"/>
  <c r="J160" i="15"/>
  <c r="J168" i="15"/>
  <c r="J186" i="15"/>
  <c r="J202" i="15"/>
  <c r="J210" i="15"/>
  <c r="V92" i="18"/>
  <c r="V95" i="18"/>
  <c r="V98" i="18"/>
  <c r="V108" i="18"/>
  <c r="V111" i="18"/>
  <c r="V114" i="18"/>
  <c r="V126" i="18"/>
  <c r="V164" i="18"/>
  <c r="V199" i="18"/>
  <c r="V216" i="18"/>
  <c r="V236" i="18"/>
  <c r="V238" i="18"/>
  <c r="X48" i="21"/>
  <c r="Z48" i="21" s="1"/>
  <c r="V48" i="21"/>
  <c r="J127" i="15"/>
  <c r="J131" i="15"/>
  <c r="J135" i="15"/>
  <c r="J143" i="15"/>
  <c r="J151" i="15"/>
  <c r="J159" i="15"/>
  <c r="J167" i="15"/>
  <c r="J175" i="15"/>
  <c r="P212" i="15"/>
  <c r="X212" i="15" s="1"/>
  <c r="Z212" i="15" s="1"/>
  <c r="V120" i="18"/>
  <c r="V123" i="18"/>
  <c r="V132" i="18"/>
  <c r="V138" i="18"/>
  <c r="V167" i="18"/>
  <c r="Z189" i="18"/>
  <c r="Z195" i="18"/>
  <c r="Z76" i="21"/>
  <c r="X76" i="21"/>
  <c r="V76" i="21"/>
  <c r="J37" i="24"/>
  <c r="X14" i="27"/>
  <c r="P12" i="27"/>
  <c r="V30" i="21"/>
  <c r="V34" i="21"/>
  <c r="J38" i="21"/>
  <c r="J42" i="21"/>
  <c r="J46" i="21"/>
  <c r="V50" i="21"/>
  <c r="Z52" i="21"/>
  <c r="V58" i="21"/>
  <c r="J66" i="21"/>
  <c r="V70" i="21"/>
  <c r="J74" i="21"/>
  <c r="V82" i="21"/>
  <c r="V90" i="21"/>
  <c r="L94" i="21"/>
  <c r="N94" i="21" s="1"/>
  <c r="L101" i="21"/>
  <c r="N101" i="21" s="1"/>
  <c r="V102" i="21"/>
  <c r="L37" i="24"/>
  <c r="N37" i="24" s="1"/>
  <c r="X58" i="24"/>
  <c r="Z58" i="24" s="1"/>
  <c r="N73" i="24"/>
  <c r="X35" i="27"/>
  <c r="Z35" i="27" s="1"/>
  <c r="N104" i="27"/>
  <c r="J108" i="21"/>
  <c r="J90" i="21"/>
  <c r="J97" i="21"/>
  <c r="J91" i="21"/>
  <c r="J87" i="21"/>
  <c r="J100" i="21"/>
  <c r="J93" i="21"/>
  <c r="J89" i="21"/>
  <c r="J24" i="21"/>
  <c r="J26" i="21"/>
  <c r="J28" i="21"/>
  <c r="J32" i="21"/>
  <c r="J36" i="21"/>
  <c r="J54" i="21"/>
  <c r="J64" i="21"/>
  <c r="J80" i="21"/>
  <c r="J86" i="21"/>
  <c r="V92" i="21"/>
  <c r="J94" i="21"/>
  <c r="J101" i="21"/>
  <c r="Z38" i="24"/>
  <c r="X38" i="24"/>
  <c r="N62" i="24"/>
  <c r="L64" i="24"/>
  <c r="N64" i="24" s="1"/>
  <c r="H115" i="27"/>
  <c r="J52" i="27"/>
  <c r="J73" i="21"/>
  <c r="J79" i="21"/>
  <c r="J85" i="21"/>
  <c r="N84" i="24"/>
  <c r="L84" i="24"/>
  <c r="N12" i="21"/>
  <c r="J22" i="21"/>
  <c r="L27" i="21"/>
  <c r="N27" i="21" s="1"/>
  <c r="V38" i="21"/>
  <c r="V42" i="21"/>
  <c r="V46" i="21"/>
  <c r="J52" i="21"/>
  <c r="X57" i="21"/>
  <c r="Z57" i="21" s="1"/>
  <c r="J62" i="21"/>
  <c r="L63" i="21"/>
  <c r="V66" i="21"/>
  <c r="X69" i="21"/>
  <c r="V74" i="21"/>
  <c r="J78" i="21"/>
  <c r="L79" i="21"/>
  <c r="N79" i="21" s="1"/>
  <c r="J84" i="21"/>
  <c r="V87" i="21"/>
  <c r="T106" i="21"/>
  <c r="J64" i="24"/>
  <c r="Z76" i="24"/>
  <c r="D12" i="27"/>
  <c r="N100" i="27"/>
  <c r="Z124" i="30"/>
  <c r="V19" i="21"/>
  <c r="J31" i="21"/>
  <c r="J35" i="21"/>
  <c r="J51" i="21"/>
  <c r="V55" i="21"/>
  <c r="J61" i="21"/>
  <c r="V67" i="21"/>
  <c r="J83" i="21"/>
  <c r="J96" i="21"/>
  <c r="J104" i="21"/>
  <c r="P12" i="24"/>
  <c r="D12" i="24"/>
  <c r="L14" i="24"/>
  <c r="L25" i="24"/>
  <c r="N25" i="24" s="1"/>
  <c r="Z62" i="24"/>
  <c r="L54" i="27"/>
  <c r="N54" i="27" s="1"/>
  <c r="X100" i="27"/>
  <c r="D12" i="30"/>
  <c r="V98" i="21"/>
  <c r="V97" i="21"/>
  <c r="V28" i="21"/>
  <c r="V32" i="21"/>
  <c r="V36" i="21"/>
  <c r="J40" i="21"/>
  <c r="J44" i="21"/>
  <c r="J50" i="21"/>
  <c r="J60" i="21"/>
  <c r="V64" i="21"/>
  <c r="J72" i="21"/>
  <c r="V80" i="21"/>
  <c r="V89" i="21"/>
  <c r="V101" i="21"/>
  <c r="Z100" i="27"/>
  <c r="D110" i="27"/>
  <c r="L110" i="27" s="1"/>
  <c r="L111" i="27"/>
  <c r="N111" i="27" s="1"/>
  <c r="J21" i="21"/>
  <c r="V37" i="21"/>
  <c r="V41" i="21"/>
  <c r="V45" i="21"/>
  <c r="J49" i="21"/>
  <c r="V53" i="21"/>
  <c r="J59" i="21"/>
  <c r="V65" i="21"/>
  <c r="J71" i="21"/>
  <c r="V73" i="21"/>
  <c r="J77" i="21"/>
  <c r="V85" i="21"/>
  <c r="V91" i="21"/>
  <c r="V94" i="21"/>
  <c r="J25" i="24"/>
  <c r="H35" i="24"/>
  <c r="X84" i="24"/>
  <c r="Z84" i="24" s="1"/>
  <c r="N86" i="27"/>
  <c r="L86" i="27"/>
  <c r="V22" i="21"/>
  <c r="V24" i="21"/>
  <c r="V26" i="21"/>
  <c r="J30" i="21"/>
  <c r="J34" i="21"/>
  <c r="J48" i="21"/>
  <c r="V54" i="21"/>
  <c r="J58" i="21"/>
  <c r="V62" i="21"/>
  <c r="J70" i="21"/>
  <c r="J76" i="21"/>
  <c r="V78" i="21"/>
  <c r="J82" i="21"/>
  <c r="V86" i="21"/>
  <c r="J88" i="21"/>
  <c r="V96" i="21"/>
  <c r="N84" i="27"/>
  <c r="X189" i="18"/>
  <c r="L195" i="18"/>
  <c r="N195" i="18" s="1"/>
  <c r="X26" i="21"/>
  <c r="Z26" i="21" s="1"/>
  <c r="V31" i="21"/>
  <c r="V35" i="21"/>
  <c r="J39" i="21"/>
  <c r="J43" i="21"/>
  <c r="J47" i="21"/>
  <c r="V51" i="21"/>
  <c r="J57" i="21"/>
  <c r="V63" i="21"/>
  <c r="J69" i="21"/>
  <c r="J75" i="21"/>
  <c r="V79" i="21"/>
  <c r="V83" i="21"/>
  <c r="V93" i="21"/>
  <c r="V100" i="21"/>
  <c r="J102" i="21"/>
  <c r="V104" i="21"/>
  <c r="J20" i="21"/>
  <c r="V40" i="21"/>
  <c r="V44" i="21"/>
  <c r="V52" i="21"/>
  <c r="J56" i="21"/>
  <c r="V60" i="21"/>
  <c r="J68" i="21"/>
  <c r="V72" i="21"/>
  <c r="V84" i="21"/>
  <c r="J95" i="21"/>
  <c r="J99" i="21"/>
  <c r="V108" i="21"/>
  <c r="T92" i="24"/>
  <c r="V92" i="24" s="1"/>
  <c r="X79" i="24"/>
  <c r="Z79" i="24" s="1"/>
  <c r="Z84" i="27"/>
  <c r="J19" i="21"/>
  <c r="V21" i="21"/>
  <c r="J29" i="21"/>
  <c r="J33" i="21"/>
  <c r="V49" i="21"/>
  <c r="V61" i="21"/>
  <c r="J67" i="21"/>
  <c r="V77" i="21"/>
  <c r="J81" i="21"/>
  <c r="V88" i="21"/>
  <c r="J92" i="21"/>
  <c r="N60" i="24"/>
  <c r="L60" i="24"/>
  <c r="N76" i="24"/>
  <c r="V111" i="27"/>
  <c r="V95" i="27"/>
  <c r="V87" i="27"/>
  <c r="V79" i="27"/>
  <c r="V112" i="27"/>
  <c r="V102" i="27"/>
  <c r="V78" i="27"/>
  <c r="V104" i="27"/>
  <c r="V96" i="27"/>
  <c r="V88" i="27"/>
  <c r="V80" i="27"/>
  <c r="V98" i="27"/>
  <c r="V90" i="27"/>
  <c r="V82" i="27"/>
  <c r="V74" i="27"/>
  <c r="V70" i="27"/>
  <c r="V117" i="27"/>
  <c r="V105" i="27"/>
  <c r="V81" i="27"/>
  <c r="V65" i="27"/>
  <c r="V106" i="27"/>
  <c r="V94" i="27"/>
  <c r="V86" i="27"/>
  <c r="V36" i="27"/>
  <c r="V40" i="27"/>
  <c r="V44" i="27"/>
  <c r="V48" i="27"/>
  <c r="V66" i="27"/>
  <c r="V93" i="27"/>
  <c r="V110" i="27"/>
  <c r="V106" i="30"/>
  <c r="N112" i="30"/>
  <c r="N120" i="30"/>
  <c r="J38" i="24"/>
  <c r="V40" i="24"/>
  <c r="V44" i="24"/>
  <c r="J48" i="24"/>
  <c r="J52" i="24"/>
  <c r="J56" i="24"/>
  <c r="V60" i="24"/>
  <c r="V68" i="24"/>
  <c r="V84" i="24"/>
  <c r="J88" i="24"/>
  <c r="V94" i="24"/>
  <c r="J55" i="27"/>
  <c r="V57" i="27"/>
  <c r="V61" i="27"/>
  <c r="V77" i="27"/>
  <c r="L92" i="27"/>
  <c r="N92" i="27" s="1"/>
  <c r="J95" i="27"/>
  <c r="J167" i="30"/>
  <c r="J153" i="30"/>
  <c r="J121" i="30"/>
  <c r="J113" i="30"/>
  <c r="J101" i="30"/>
  <c r="J73" i="30"/>
  <c r="J69" i="30"/>
  <c r="J65" i="30"/>
  <c r="J61" i="30"/>
  <c r="J57" i="30"/>
  <c r="J53" i="30"/>
  <c r="J154" i="30"/>
  <c r="J136" i="30"/>
  <c r="J122" i="30"/>
  <c r="J102" i="30"/>
  <c r="J96" i="30"/>
  <c r="J92" i="30"/>
  <c r="J155" i="30"/>
  <c r="J147" i="30"/>
  <c r="J143" i="30"/>
  <c r="J137" i="30"/>
  <c r="J131" i="30"/>
  <c r="J123" i="30"/>
  <c r="J103" i="30"/>
  <c r="J87" i="30"/>
  <c r="J83" i="30"/>
  <c r="J138" i="30"/>
  <c r="J124" i="30"/>
  <c r="J114" i="30"/>
  <c r="J104" i="30"/>
  <c r="J74" i="30"/>
  <c r="J70" i="30"/>
  <c r="J66" i="30"/>
  <c r="J62" i="30"/>
  <c r="J58" i="30"/>
  <c r="J54" i="30"/>
  <c r="J125" i="30"/>
  <c r="J115" i="30"/>
  <c r="J105" i="30"/>
  <c r="J97" i="30"/>
  <c r="J93" i="30"/>
  <c r="J79" i="30"/>
  <c r="J156" i="30"/>
  <c r="J148" i="30"/>
  <c r="J144" i="30"/>
  <c r="J132" i="30"/>
  <c r="J126" i="30"/>
  <c r="J116" i="30"/>
  <c r="J106" i="30"/>
  <c r="J88" i="30"/>
  <c r="J84" i="30"/>
  <c r="J80" i="30"/>
  <c r="J78" i="30"/>
  <c r="J76" i="30"/>
  <c r="J157" i="30"/>
  <c r="J149" i="30"/>
  <c r="J139" i="30"/>
  <c r="J133" i="30"/>
  <c r="J127" i="30"/>
  <c r="J107" i="30"/>
  <c r="J89" i="30"/>
  <c r="H76" i="30"/>
  <c r="J71" i="30"/>
  <c r="J67" i="30"/>
  <c r="J63" i="30"/>
  <c r="J59" i="30"/>
  <c r="J55" i="30"/>
  <c r="J158" i="30"/>
  <c r="J145" i="30"/>
  <c r="J141" i="30"/>
  <c r="J117" i="30"/>
  <c r="J109" i="30"/>
  <c r="J85" i="30"/>
  <c r="J81" i="30"/>
  <c r="J161" i="30"/>
  <c r="J160" i="30"/>
  <c r="J128" i="30"/>
  <c r="J118" i="30"/>
  <c r="J110" i="30"/>
  <c r="J72" i="30"/>
  <c r="J68" i="30"/>
  <c r="J64" i="30"/>
  <c r="J60" i="30"/>
  <c r="J56" i="30"/>
  <c r="J90" i="30"/>
  <c r="J94" i="30"/>
  <c r="J112" i="30"/>
  <c r="J120" i="30"/>
  <c r="L149" i="30"/>
  <c r="N149" i="30" s="1"/>
  <c r="V167" i="30"/>
  <c r="V157" i="30"/>
  <c r="V149" i="30"/>
  <c r="V133" i="30"/>
  <c r="V125" i="30"/>
  <c r="V105" i="30"/>
  <c r="V97" i="30"/>
  <c r="V93" i="30"/>
  <c r="V89" i="30"/>
  <c r="T76" i="30"/>
  <c r="V156" i="30"/>
  <c r="V148" i="30"/>
  <c r="V144" i="30"/>
  <c r="V140" i="30"/>
  <c r="V132" i="30"/>
  <c r="V116" i="30"/>
  <c r="V108" i="30"/>
  <c r="V88" i="30"/>
  <c r="V84" i="30"/>
  <c r="V80" i="30"/>
  <c r="V139" i="30"/>
  <c r="V127" i="30"/>
  <c r="V107" i="30"/>
  <c r="V71" i="30"/>
  <c r="V67" i="30"/>
  <c r="V63" i="30"/>
  <c r="V59" i="30"/>
  <c r="V55" i="30"/>
  <c r="V160" i="30"/>
  <c r="V158" i="30"/>
  <c r="V150" i="30"/>
  <c r="V134" i="30"/>
  <c r="V118" i="30"/>
  <c r="V110" i="30"/>
  <c r="V98" i="30"/>
  <c r="V94" i="30"/>
  <c r="V90" i="30"/>
  <c r="V161" i="30"/>
  <c r="V145" i="30"/>
  <c r="V141" i="30"/>
  <c r="V129" i="30"/>
  <c r="V117" i="30"/>
  <c r="V109" i="30"/>
  <c r="V85" i="30"/>
  <c r="V81" i="30"/>
  <c r="V162" i="30"/>
  <c r="V152" i="30"/>
  <c r="V128" i="30"/>
  <c r="V120" i="30"/>
  <c r="V112" i="30"/>
  <c r="V100" i="30"/>
  <c r="V72" i="30"/>
  <c r="V68" i="30"/>
  <c r="V64" i="30"/>
  <c r="V60" i="30"/>
  <c r="V56" i="30"/>
  <c r="V52" i="30"/>
  <c r="V163" i="30"/>
  <c r="V151" i="30"/>
  <c r="V135" i="30"/>
  <c r="V119" i="30"/>
  <c r="V111" i="30"/>
  <c r="V99" i="30"/>
  <c r="V95" i="30"/>
  <c r="V91" i="30"/>
  <c r="V153" i="30"/>
  <c r="V137" i="30"/>
  <c r="V121" i="30"/>
  <c r="V113" i="30"/>
  <c r="V101" i="30"/>
  <c r="V73" i="30"/>
  <c r="V69" i="30"/>
  <c r="V65" i="30"/>
  <c r="V61" i="30"/>
  <c r="V57" i="30"/>
  <c r="V53" i="30"/>
  <c r="V136" i="30"/>
  <c r="V124" i="30"/>
  <c r="V104" i="30"/>
  <c r="V96" i="30"/>
  <c r="V92" i="30"/>
  <c r="V74" i="30"/>
  <c r="V78" i="30"/>
  <c r="V83" i="30"/>
  <c r="V154" i="30"/>
  <c r="N157" i="30"/>
  <c r="V39" i="24"/>
  <c r="V43" i="24"/>
  <c r="J51" i="24"/>
  <c r="J55" i="24"/>
  <c r="J63" i="24"/>
  <c r="V67" i="24"/>
  <c r="J73" i="24"/>
  <c r="V75" i="24"/>
  <c r="V56" i="27"/>
  <c r="V60" i="27"/>
  <c r="V64" i="27"/>
  <c r="J67" i="27"/>
  <c r="V84" i="27"/>
  <c r="J89" i="27"/>
  <c r="J97" i="27"/>
  <c r="V100" i="27"/>
  <c r="V70" i="30"/>
  <c r="Z122" i="30"/>
  <c r="V130" i="30"/>
  <c r="D160" i="30"/>
  <c r="L160" i="30" s="1"/>
  <c r="N160" i="30" s="1"/>
  <c r="L161" i="30"/>
  <c r="N161" i="30" s="1"/>
  <c r="J163" i="30"/>
  <c r="J28" i="24"/>
  <c r="J32" i="24"/>
  <c r="V48" i="24"/>
  <c r="V52" i="24"/>
  <c r="V56" i="24"/>
  <c r="J62" i="24"/>
  <c r="J72" i="24"/>
  <c r="V76" i="24"/>
  <c r="J80" i="24"/>
  <c r="V88" i="24"/>
  <c r="V90" i="24"/>
  <c r="J37" i="27"/>
  <c r="J41" i="27"/>
  <c r="J45" i="27"/>
  <c r="J49" i="27"/>
  <c r="T52" i="27"/>
  <c r="Z92" i="27"/>
  <c r="N94" i="27"/>
  <c r="V66" i="30"/>
  <c r="V122" i="30"/>
  <c r="L133" i="30"/>
  <c r="N133" i="30" s="1"/>
  <c r="N140" i="30"/>
  <c r="V142" i="30"/>
  <c r="N66" i="27"/>
  <c r="V92" i="27"/>
  <c r="V62" i="30"/>
  <c r="V86" i="30"/>
  <c r="V126" i="30"/>
  <c r="V147" i="30"/>
  <c r="F114" i="39"/>
  <c r="F102" i="39"/>
  <c r="F98" i="39"/>
  <c r="F74" i="39"/>
  <c r="F73" i="39"/>
  <c r="F26" i="39"/>
  <c r="F93" i="39"/>
  <c r="F81" i="39"/>
  <c r="F65" i="39"/>
  <c r="F64" i="39"/>
  <c r="F57" i="39"/>
  <c r="F56" i="39"/>
  <c r="F49" i="39"/>
  <c r="F45" i="39"/>
  <c r="F116" i="39"/>
  <c r="F115" i="39"/>
  <c r="F108" i="39"/>
  <c r="F88" i="39"/>
  <c r="F76" i="39"/>
  <c r="F75" i="39"/>
  <c r="F40" i="39"/>
  <c r="F36" i="39"/>
  <c r="F32" i="39"/>
  <c r="F31" i="39"/>
  <c r="F103" i="39"/>
  <c r="F99" i="39"/>
  <c r="F95" i="39"/>
  <c r="F94" i="39"/>
  <c r="F83" i="39"/>
  <c r="F82" i="39"/>
  <c r="F67" i="39"/>
  <c r="F66" i="39"/>
  <c r="F59" i="39"/>
  <c r="F58" i="39"/>
  <c r="F30" i="39"/>
  <c r="F119" i="39"/>
  <c r="F110" i="39"/>
  <c r="F109" i="39"/>
  <c r="F78" i="39"/>
  <c r="F77" i="39"/>
  <c r="F50" i="39"/>
  <c r="F46" i="39"/>
  <c r="F42" i="39"/>
  <c r="F41" i="39"/>
  <c r="F120" i="39"/>
  <c r="F89" i="39"/>
  <c r="F37" i="39"/>
  <c r="F33" i="39"/>
  <c r="F121" i="39"/>
  <c r="F112" i="39"/>
  <c r="F111" i="39"/>
  <c r="F104" i="39"/>
  <c r="F100" i="39"/>
  <c r="F96" i="39"/>
  <c r="F84" i="39"/>
  <c r="F68" i="39"/>
  <c r="F60" i="39"/>
  <c r="F122" i="39"/>
  <c r="F79" i="39"/>
  <c r="F51" i="39"/>
  <c r="F47" i="39"/>
  <c r="F43" i="39"/>
  <c r="F113" i="39"/>
  <c r="F105" i="39"/>
  <c r="F101" i="39"/>
  <c r="F97" i="39"/>
  <c r="F61" i="39"/>
  <c r="F53" i="39"/>
  <c r="F52" i="39"/>
  <c r="F25" i="39"/>
  <c r="F107" i="39"/>
  <c r="F106" i="39"/>
  <c r="F87" i="39"/>
  <c r="F63" i="39"/>
  <c r="F62" i="39"/>
  <c r="F55" i="39"/>
  <c r="F54" i="39"/>
  <c r="F39" i="39"/>
  <c r="F35" i="39"/>
  <c r="F44" i="39"/>
  <c r="F38" i="39"/>
  <c r="F34" i="39"/>
  <c r="F23" i="39"/>
  <c r="F126" i="39"/>
  <c r="F91" i="39"/>
  <c r="F85" i="39"/>
  <c r="F71" i="39"/>
  <c r="F24" i="39"/>
  <c r="F86" i="39"/>
  <c r="F80" i="39"/>
  <c r="F69" i="39"/>
  <c r="F70" i="39"/>
  <c r="D28" i="39"/>
  <c r="F48" i="39"/>
  <c r="F72" i="39"/>
  <c r="F90" i="39"/>
  <c r="L12" i="39"/>
  <c r="N12" i="39" s="1"/>
  <c r="V38" i="24"/>
  <c r="V42" i="24"/>
  <c r="V46" i="24"/>
  <c r="J50" i="24"/>
  <c r="J54" i="24"/>
  <c r="J60" i="24"/>
  <c r="J70" i="24"/>
  <c r="V74" i="24"/>
  <c r="J78" i="24"/>
  <c r="J84" i="24"/>
  <c r="V86" i="24"/>
  <c r="V55" i="27"/>
  <c r="V59" i="27"/>
  <c r="V63" i="27"/>
  <c r="J66" i="27"/>
  <c r="V67" i="27"/>
  <c r="V99" i="27"/>
  <c r="X104" i="27"/>
  <c r="Z104" i="27" s="1"/>
  <c r="J113" i="27"/>
  <c r="J52" i="30"/>
  <c r="V58" i="30"/>
  <c r="V76" i="30"/>
  <c r="N89" i="30"/>
  <c r="X115" i="30"/>
  <c r="J135" i="30"/>
  <c r="V138" i="30"/>
  <c r="V155" i="30"/>
  <c r="J27" i="24"/>
  <c r="J31" i="24"/>
  <c r="J59" i="24"/>
  <c r="V63" i="24"/>
  <c r="J69" i="24"/>
  <c r="J83" i="24"/>
  <c r="V87" i="24"/>
  <c r="J99" i="27"/>
  <c r="J91" i="27"/>
  <c r="J83" i="27"/>
  <c r="J75" i="27"/>
  <c r="J71" i="27"/>
  <c r="J106" i="27"/>
  <c r="J100" i="27"/>
  <c r="J92" i="27"/>
  <c r="J84" i="27"/>
  <c r="J108" i="27"/>
  <c r="J94" i="27"/>
  <c r="J86" i="27"/>
  <c r="J76" i="27"/>
  <c r="J72" i="27"/>
  <c r="J68" i="27"/>
  <c r="J111" i="27"/>
  <c r="J110" i="27"/>
  <c r="J102" i="27"/>
  <c r="J78" i="27"/>
  <c r="J112" i="27"/>
  <c r="J79" i="27"/>
  <c r="J73" i="27"/>
  <c r="J69" i="27"/>
  <c r="J104" i="27"/>
  <c r="J98" i="27"/>
  <c r="J90" i="27"/>
  <c r="J74" i="27"/>
  <c r="J70" i="27"/>
  <c r="J36" i="27"/>
  <c r="J40" i="27"/>
  <c r="J44" i="27"/>
  <c r="J48" i="27"/>
  <c r="X55" i="27"/>
  <c r="Z55" i="27" s="1"/>
  <c r="L66" i="27"/>
  <c r="V71" i="27"/>
  <c r="V75" i="27"/>
  <c r="J80" i="27"/>
  <c r="V83" i="27"/>
  <c r="J93" i="27"/>
  <c r="J96" i="27"/>
  <c r="V103" i="27"/>
  <c r="N110" i="27"/>
  <c r="V54" i="30"/>
  <c r="Z115" i="30"/>
  <c r="J150" i="30"/>
  <c r="L25" i="33"/>
  <c r="J40" i="24"/>
  <c r="J44" i="24"/>
  <c r="J58" i="24"/>
  <c r="V64" i="24"/>
  <c r="J68" i="24"/>
  <c r="V72" i="24"/>
  <c r="V80" i="24"/>
  <c r="J94" i="24"/>
  <c r="J35" i="27"/>
  <c r="V37" i="27"/>
  <c r="V41" i="27"/>
  <c r="V45" i="27"/>
  <c r="V49" i="27"/>
  <c r="J57" i="27"/>
  <c r="J61" i="27"/>
  <c r="J65" i="27"/>
  <c r="V69" i="27"/>
  <c r="V73" i="27"/>
  <c r="J77" i="27"/>
  <c r="L79" i="27"/>
  <c r="N79" i="27" s="1"/>
  <c r="V91" i="27"/>
  <c r="V97" i="27"/>
  <c r="V101" i="27"/>
  <c r="V107" i="27"/>
  <c r="P12" i="30"/>
  <c r="X15" i="30"/>
  <c r="Z79" i="30"/>
  <c r="Z102" i="30"/>
  <c r="V115" i="30"/>
  <c r="V123" i="30"/>
  <c r="N129" i="30"/>
  <c r="V41" i="24"/>
  <c r="V45" i="24"/>
  <c r="J49" i="24"/>
  <c r="J53" i="24"/>
  <c r="J57" i="24"/>
  <c r="V61" i="24"/>
  <c r="J67" i="24"/>
  <c r="V73" i="24"/>
  <c r="V58" i="27"/>
  <c r="V62" i="27"/>
  <c r="N82" i="27"/>
  <c r="V85" i="27"/>
  <c r="V89" i="27"/>
  <c r="J105" i="27"/>
  <c r="P110" i="27"/>
  <c r="X110" i="27" s="1"/>
  <c r="Z110" i="27" s="1"/>
  <c r="V113" i="27"/>
  <c r="V79" i="30"/>
  <c r="V82" i="30"/>
  <c r="V102" i="30"/>
  <c r="J108" i="30"/>
  <c r="J129" i="30"/>
  <c r="V131" i="30"/>
  <c r="J146" i="30"/>
  <c r="N152" i="30"/>
  <c r="J162" i="30"/>
  <c r="Z114" i="36"/>
  <c r="J38" i="33"/>
  <c r="N53" i="33"/>
  <c r="L57" i="33"/>
  <c r="N59" i="33"/>
  <c r="J42" i="36"/>
  <c r="J46" i="36"/>
  <c r="J50" i="36"/>
  <c r="J79" i="36"/>
  <c r="Z94" i="36"/>
  <c r="V108" i="36"/>
  <c r="R25" i="33"/>
  <c r="J36" i="33"/>
  <c r="N51" i="33"/>
  <c r="J53" i="33"/>
  <c r="N57" i="33"/>
  <c r="R61" i="33"/>
  <c r="V40" i="36"/>
  <c r="J44" i="36"/>
  <c r="J48" i="36"/>
  <c r="L64" i="36"/>
  <c r="J121" i="36"/>
  <c r="T81" i="33"/>
  <c r="V81" i="33" s="1"/>
  <c r="J34" i="33"/>
  <c r="J63" i="33"/>
  <c r="N65" i="33"/>
  <c r="L67" i="33"/>
  <c r="N67" i="33" s="1"/>
  <c r="J23" i="36"/>
  <c r="J38" i="36"/>
  <c r="V57" i="36"/>
  <c r="N64" i="36"/>
  <c r="X66" i="36"/>
  <c r="V89" i="36"/>
  <c r="V113" i="36"/>
  <c r="R79" i="33"/>
  <c r="R78" i="33"/>
  <c r="R63" i="33"/>
  <c r="R47" i="33"/>
  <c r="R43" i="33"/>
  <c r="R70" i="33"/>
  <c r="R55" i="33"/>
  <c r="R54" i="33"/>
  <c r="R38" i="33"/>
  <c r="R34" i="33"/>
  <c r="R30" i="33"/>
  <c r="R67" i="33"/>
  <c r="R66" i="33"/>
  <c r="R59" i="33"/>
  <c r="R58" i="33"/>
  <c r="X12" i="33"/>
  <c r="Z12" i="33" s="1"/>
  <c r="R49" i="33"/>
  <c r="R45" i="33"/>
  <c r="R41" i="33"/>
  <c r="R73" i="33"/>
  <c r="R72" i="33"/>
  <c r="R68" i="33"/>
  <c r="R60" i="33"/>
  <c r="R36" i="33"/>
  <c r="R32" i="33"/>
  <c r="R75" i="33"/>
  <c r="R74" i="33"/>
  <c r="R51" i="33"/>
  <c r="R50" i="33"/>
  <c r="R46" i="33"/>
  <c r="R42" i="33"/>
  <c r="R76" i="33"/>
  <c r="R53" i="33"/>
  <c r="R52" i="33"/>
  <c r="J32" i="33"/>
  <c r="Z51" i="33"/>
  <c r="Z53" i="33"/>
  <c r="R57" i="33"/>
  <c r="X59" i="33"/>
  <c r="Z59" i="33" s="1"/>
  <c r="R69" i="33"/>
  <c r="Z66" i="36"/>
  <c r="J74" i="33"/>
  <c r="J50" i="33"/>
  <c r="J46" i="33"/>
  <c r="J42" i="33"/>
  <c r="J75" i="33"/>
  <c r="J69" i="33"/>
  <c r="J61" i="33"/>
  <c r="J51" i="33"/>
  <c r="J37" i="33"/>
  <c r="J33" i="33"/>
  <c r="J76" i="33"/>
  <c r="J62" i="33"/>
  <c r="J52" i="33"/>
  <c r="J55" i="33"/>
  <c r="J64" i="33"/>
  <c r="J56" i="33"/>
  <c r="J48" i="33"/>
  <c r="J44" i="33"/>
  <c r="J30" i="33"/>
  <c r="J83" i="33"/>
  <c r="J71" i="33"/>
  <c r="J65" i="33"/>
  <c r="J57" i="33"/>
  <c r="J39" i="33"/>
  <c r="J35" i="33"/>
  <c r="J31" i="33"/>
  <c r="J29" i="33"/>
  <c r="J25" i="33"/>
  <c r="J67" i="33"/>
  <c r="J59" i="33"/>
  <c r="J49" i="33"/>
  <c r="J45" i="33"/>
  <c r="J41" i="33"/>
  <c r="J73" i="33"/>
  <c r="H27" i="33"/>
  <c r="J40" i="33"/>
  <c r="Z55" i="33"/>
  <c r="R65" i="33"/>
  <c r="X67" i="33"/>
  <c r="Z67" i="33" s="1"/>
  <c r="X75" i="33"/>
  <c r="X27" i="33"/>
  <c r="Z27" i="33" s="1"/>
  <c r="P81" i="33"/>
  <c r="J124" i="36"/>
  <c r="J115" i="36"/>
  <c r="J107" i="36"/>
  <c r="J103" i="36"/>
  <c r="J99" i="36"/>
  <c r="J87" i="36"/>
  <c r="J71" i="36"/>
  <c r="J125" i="36"/>
  <c r="J88" i="36"/>
  <c r="J82" i="36"/>
  <c r="J72" i="36"/>
  <c r="J93" i="36"/>
  <c r="J89" i="36"/>
  <c r="J116" i="36"/>
  <c r="J108" i="36"/>
  <c r="J104" i="36"/>
  <c r="J100" i="36"/>
  <c r="J94" i="36"/>
  <c r="J110" i="36"/>
  <c r="J90" i="36"/>
  <c r="J76" i="36"/>
  <c r="J64" i="36"/>
  <c r="J56" i="36"/>
  <c r="J118" i="36"/>
  <c r="J78" i="36"/>
  <c r="J66" i="36"/>
  <c r="H27" i="36"/>
  <c r="J129" i="36"/>
  <c r="J61" i="36"/>
  <c r="J49" i="36"/>
  <c r="J45" i="36"/>
  <c r="J119" i="36"/>
  <c r="J114" i="36"/>
  <c r="J111" i="36"/>
  <c r="J106" i="36"/>
  <c r="J97" i="36"/>
  <c r="J84" i="36"/>
  <c r="J75" i="36"/>
  <c r="J57" i="36"/>
  <c r="J40" i="36"/>
  <c r="J36" i="36"/>
  <c r="J32" i="36"/>
  <c r="J22" i="36"/>
  <c r="J123" i="36"/>
  <c r="J109" i="36"/>
  <c r="J92" i="36"/>
  <c r="J62" i="36"/>
  <c r="J102" i="36"/>
  <c r="J117" i="36"/>
  <c r="J112" i="36"/>
  <c r="J95" i="36"/>
  <c r="J85" i="36"/>
  <c r="J63" i="36"/>
  <c r="J59" i="36"/>
  <c r="J37" i="36"/>
  <c r="J33" i="36"/>
  <c r="J98" i="36"/>
  <c r="J68" i="36"/>
  <c r="J24" i="36"/>
  <c r="J80" i="36"/>
  <c r="J51" i="36"/>
  <c r="J47" i="36"/>
  <c r="J43" i="36"/>
  <c r="J91" i="36"/>
  <c r="J86" i="36"/>
  <c r="J77" i="36"/>
  <c r="J69" i="36"/>
  <c r="J60" i="36"/>
  <c r="J53" i="36"/>
  <c r="J25" i="36"/>
  <c r="J122" i="36"/>
  <c r="J113" i="36"/>
  <c r="J81" i="36"/>
  <c r="J74" i="36"/>
  <c r="J70" i="36"/>
  <c r="J55" i="36"/>
  <c r="J39" i="36"/>
  <c r="J35" i="36"/>
  <c r="J31" i="36"/>
  <c r="J29" i="36"/>
  <c r="J27" i="36"/>
  <c r="L22" i="36"/>
  <c r="N22" i="36" s="1"/>
  <c r="J34" i="36"/>
  <c r="J52" i="36"/>
  <c r="L62" i="36"/>
  <c r="N62" i="36" s="1"/>
  <c r="J67" i="36"/>
  <c r="L80" i="36"/>
  <c r="N80" i="36" s="1"/>
  <c r="J101" i="36"/>
  <c r="R27" i="33"/>
  <c r="R44" i="33"/>
  <c r="J54" i="33"/>
  <c r="J58" i="33"/>
  <c r="J60" i="33"/>
  <c r="N62" i="33"/>
  <c r="L62" i="33"/>
  <c r="J72" i="33"/>
  <c r="V129" i="36"/>
  <c r="V95" i="36"/>
  <c r="V83" i="36"/>
  <c r="V75" i="36"/>
  <c r="V63" i="36"/>
  <c r="V118" i="36"/>
  <c r="V110" i="36"/>
  <c r="V90" i="36"/>
  <c r="V78" i="36"/>
  <c r="V66" i="36"/>
  <c r="V117" i="36"/>
  <c r="V105" i="36"/>
  <c r="V101" i="36"/>
  <c r="V97" i="36"/>
  <c r="V85" i="36"/>
  <c r="V77" i="36"/>
  <c r="V112" i="36"/>
  <c r="V96" i="36"/>
  <c r="V122" i="36"/>
  <c r="V114" i="36"/>
  <c r="V106" i="36"/>
  <c r="V102" i="36"/>
  <c r="V98" i="36"/>
  <c r="V86" i="36"/>
  <c r="V70" i="36"/>
  <c r="V124" i="36"/>
  <c r="V109" i="36"/>
  <c r="V82" i="36"/>
  <c r="V72" i="36"/>
  <c r="V50" i="36"/>
  <c r="V46" i="36"/>
  <c r="V42" i="36"/>
  <c r="V104" i="36"/>
  <c r="V88" i="36"/>
  <c r="V79" i="36"/>
  <c r="V68" i="36"/>
  <c r="V67" i="36"/>
  <c r="V37" i="36"/>
  <c r="V33" i="36"/>
  <c r="V80" i="36"/>
  <c r="V76" i="36"/>
  <c r="V59" i="36"/>
  <c r="V52" i="36"/>
  <c r="V24" i="36"/>
  <c r="V121" i="36"/>
  <c r="V100" i="36"/>
  <c r="V64" i="36"/>
  <c r="V115" i="36"/>
  <c r="V107" i="36"/>
  <c r="V73" i="36"/>
  <c r="V69" i="36"/>
  <c r="V60" i="36"/>
  <c r="V53" i="36"/>
  <c r="V29" i="36"/>
  <c r="V25" i="36"/>
  <c r="V93" i="36"/>
  <c r="V91" i="36"/>
  <c r="V74" i="36"/>
  <c r="V65" i="36"/>
  <c r="V48" i="36"/>
  <c r="V44" i="36"/>
  <c r="T27" i="36"/>
  <c r="V103" i="36"/>
  <c r="V81" i="36"/>
  <c r="V56" i="36"/>
  <c r="V55" i="36"/>
  <c r="V39" i="36"/>
  <c r="V35" i="36"/>
  <c r="V31" i="36"/>
  <c r="V125" i="36"/>
  <c r="V116" i="36"/>
  <c r="V99" i="36"/>
  <c r="V94" i="36"/>
  <c r="V62" i="36"/>
  <c r="V61" i="36"/>
  <c r="V49" i="36"/>
  <c r="V45" i="36"/>
  <c r="V41" i="36"/>
  <c r="V123" i="36"/>
  <c r="V119" i="36"/>
  <c r="V111" i="36"/>
  <c r="V92" i="36"/>
  <c r="V87" i="36"/>
  <c r="V84" i="36"/>
  <c r="V71" i="36"/>
  <c r="V23" i="36"/>
  <c r="L41" i="36"/>
  <c r="N41" i="36" s="1"/>
  <c r="J54" i="36"/>
  <c r="L104" i="30"/>
  <c r="N104" i="30" s="1"/>
  <c r="X110" i="30"/>
  <c r="Z110" i="30" s="1"/>
  <c r="X118" i="30"/>
  <c r="Z118" i="30" s="1"/>
  <c r="L124" i="30"/>
  <c r="N124" i="30" s="1"/>
  <c r="X160" i="30"/>
  <c r="Z160" i="30" s="1"/>
  <c r="J30" i="36"/>
  <c r="J41" i="36"/>
  <c r="L58" i="36"/>
  <c r="N58" i="36" s="1"/>
  <c r="J65" i="36"/>
  <c r="J83" i="36"/>
  <c r="J96" i="36"/>
  <c r="N99" i="45"/>
  <c r="H101" i="45"/>
  <c r="J101" i="45" s="1"/>
  <c r="R39" i="33"/>
  <c r="Z40" i="33"/>
  <c r="R62" i="33"/>
  <c r="V32" i="36"/>
  <c r="X56" i="36"/>
  <c r="Z56" i="36" s="1"/>
  <c r="J58" i="36"/>
  <c r="X62" i="36"/>
  <c r="Z62" i="36" s="1"/>
  <c r="R35" i="33"/>
  <c r="R37" i="33"/>
  <c r="R56" i="33"/>
  <c r="R83" i="33"/>
  <c r="D12" i="36"/>
  <c r="V22" i="36"/>
  <c r="Z41" i="36"/>
  <c r="V43" i="36"/>
  <c r="V47" i="36"/>
  <c r="Z52" i="36"/>
  <c r="X52" i="36"/>
  <c r="X114" i="36"/>
  <c r="D12" i="33"/>
  <c r="Z25" i="33"/>
  <c r="V43" i="33"/>
  <c r="V47" i="33"/>
  <c r="V55" i="33"/>
  <c r="V63" i="33"/>
  <c r="V79" i="33"/>
  <c r="L13" i="36"/>
  <c r="N13" i="36" s="1"/>
  <c r="N54" i="39"/>
  <c r="J54" i="39"/>
  <c r="X17" i="42"/>
  <c r="Z17" i="42" s="1"/>
  <c r="P12" i="42"/>
  <c r="L99" i="45"/>
  <c r="V33" i="33"/>
  <c r="V37" i="33"/>
  <c r="V53" i="33"/>
  <c r="V61" i="33"/>
  <c r="V69" i="33"/>
  <c r="N118" i="36"/>
  <c r="N52" i="39"/>
  <c r="X66" i="39"/>
  <c r="L122" i="39"/>
  <c r="D118" i="39"/>
  <c r="L118" i="39" s="1"/>
  <c r="N118" i="39" s="1"/>
  <c r="V51" i="33"/>
  <c r="V75" i="33"/>
  <c r="Z58" i="39"/>
  <c r="Z118" i="39"/>
  <c r="V32" i="33"/>
  <c r="V36" i="33"/>
  <c r="V60" i="33"/>
  <c r="V68" i="33"/>
  <c r="V72" i="33"/>
  <c r="L76" i="36"/>
  <c r="N76" i="36" s="1"/>
  <c r="N112" i="36"/>
  <c r="T124" i="39"/>
  <c r="V124" i="39" s="1"/>
  <c r="Z56" i="39"/>
  <c r="V41" i="33"/>
  <c r="V45" i="33"/>
  <c r="V49" i="33"/>
  <c r="V73" i="33"/>
  <c r="P12" i="36"/>
  <c r="X82" i="39"/>
  <c r="X94" i="39"/>
  <c r="Z82" i="39"/>
  <c r="Z94" i="39"/>
  <c r="Z80" i="36"/>
  <c r="P12" i="39"/>
  <c r="X13" i="39"/>
  <c r="Z13" i="39" s="1"/>
  <c r="N106" i="39"/>
  <c r="J106" i="39"/>
  <c r="H128" i="39"/>
  <c r="J128" i="39" s="1"/>
  <c r="V40" i="33"/>
  <c r="V44" i="33"/>
  <c r="V48" i="33"/>
  <c r="V56" i="33"/>
  <c r="V64" i="33"/>
  <c r="Z88" i="36"/>
  <c r="Z112" i="36"/>
  <c r="L106" i="39"/>
  <c r="V25" i="33"/>
  <c r="V27" i="33"/>
  <c r="V29" i="33"/>
  <c r="V57" i="33"/>
  <c r="V65" i="33"/>
  <c r="N66" i="36"/>
  <c r="Z72" i="36"/>
  <c r="N78" i="36"/>
  <c r="N94" i="36"/>
  <c r="L97" i="36"/>
  <c r="N97" i="36" s="1"/>
  <c r="Z30" i="39"/>
  <c r="N62" i="39"/>
  <c r="J62" i="39"/>
  <c r="J61" i="42"/>
  <c r="V30" i="33"/>
  <c r="V34" i="33"/>
  <c r="V38" i="33"/>
  <c r="V54" i="33"/>
  <c r="N74" i="36"/>
  <c r="X123" i="36"/>
  <c r="Z123" i="36" s="1"/>
  <c r="P121" i="36"/>
  <c r="X121" i="36" s="1"/>
  <c r="Z121" i="36" s="1"/>
  <c r="L59" i="42"/>
  <c r="F59" i="42"/>
  <c r="V78" i="39"/>
  <c r="J98" i="39"/>
  <c r="J102" i="39"/>
  <c r="V110" i="39"/>
  <c r="J114" i="39"/>
  <c r="V120" i="39"/>
  <c r="F116" i="42"/>
  <c r="F85" i="42"/>
  <c r="F37" i="42"/>
  <c r="F33" i="42"/>
  <c r="F29" i="42"/>
  <c r="F28" i="42"/>
  <c r="F117" i="42"/>
  <c r="F108" i="42"/>
  <c r="F107" i="42"/>
  <c r="F100" i="42"/>
  <c r="F96" i="42"/>
  <c r="F92" i="42"/>
  <c r="F80" i="42"/>
  <c r="F64" i="42"/>
  <c r="F63" i="42"/>
  <c r="F56" i="42"/>
  <c r="F55" i="42"/>
  <c r="F27" i="42"/>
  <c r="F118" i="42"/>
  <c r="F75" i="42"/>
  <c r="F47" i="42"/>
  <c r="F43" i="42"/>
  <c r="F39" i="42"/>
  <c r="F38" i="42"/>
  <c r="D25" i="42"/>
  <c r="F109" i="42"/>
  <c r="F101" i="42"/>
  <c r="F97" i="42"/>
  <c r="F93" i="42"/>
  <c r="F57" i="42"/>
  <c r="F21" i="42"/>
  <c r="F20" i="42"/>
  <c r="F122" i="42"/>
  <c r="F88" i="42"/>
  <c r="F87" i="42"/>
  <c r="F76" i="42"/>
  <c r="F68" i="42"/>
  <c r="F67" i="42"/>
  <c r="F48" i="42"/>
  <c r="F44" i="42"/>
  <c r="F40" i="42"/>
  <c r="L12" i="42"/>
  <c r="F103" i="42"/>
  <c r="F102" i="42"/>
  <c r="F83" i="42"/>
  <c r="F35" i="42"/>
  <c r="F31" i="42"/>
  <c r="F110" i="42"/>
  <c r="F98" i="42"/>
  <c r="F94" i="42"/>
  <c r="F70" i="42"/>
  <c r="F69" i="42"/>
  <c r="F58" i="42"/>
  <c r="F50" i="42"/>
  <c r="F49" i="42"/>
  <c r="F22" i="42"/>
  <c r="F89" i="42"/>
  <c r="F77" i="42"/>
  <c r="F45" i="42"/>
  <c r="F41" i="42"/>
  <c r="F115" i="42"/>
  <c r="F106" i="42"/>
  <c r="F105" i="42"/>
  <c r="F74" i="42"/>
  <c r="F73" i="42"/>
  <c r="F62" i="42"/>
  <c r="F61" i="42"/>
  <c r="F54" i="42"/>
  <c r="F53" i="42"/>
  <c r="F46" i="42"/>
  <c r="F42" i="42"/>
  <c r="Z20" i="42"/>
  <c r="X20" i="42"/>
  <c r="F66" i="42"/>
  <c r="F84" i="42"/>
  <c r="L90" i="42"/>
  <c r="N90" i="42" s="1"/>
  <c r="F99" i="42"/>
  <c r="Z37" i="45"/>
  <c r="V108" i="39"/>
  <c r="V116" i="39"/>
  <c r="V118" i="39"/>
  <c r="J126" i="39"/>
  <c r="N53" i="42"/>
  <c r="L61" i="42"/>
  <c r="N61" i="42" s="1"/>
  <c r="N78" i="42"/>
  <c r="L78" i="42"/>
  <c r="V26" i="39"/>
  <c r="V28" i="39"/>
  <c r="V30" i="39"/>
  <c r="J34" i="39"/>
  <c r="J38" i="39"/>
  <c r="J52" i="39"/>
  <c r="V58" i="39"/>
  <c r="V66" i="39"/>
  <c r="J70" i="39"/>
  <c r="V74" i="39"/>
  <c r="V82" i="39"/>
  <c r="J86" i="39"/>
  <c r="J90" i="39"/>
  <c r="V94" i="39"/>
  <c r="V98" i="39"/>
  <c r="V102" i="39"/>
  <c r="V114" i="39"/>
  <c r="J124" i="39"/>
  <c r="F34" i="42"/>
  <c r="F36" i="42"/>
  <c r="Z78" i="42"/>
  <c r="X78" i="42"/>
  <c r="V82" i="42"/>
  <c r="F91" i="42"/>
  <c r="X117" i="42"/>
  <c r="Z117" i="42" s="1"/>
  <c r="P114" i="42"/>
  <c r="X114" i="42" s="1"/>
  <c r="Z114" i="42" s="1"/>
  <c r="N16" i="55"/>
  <c r="H33" i="55"/>
  <c r="N23" i="55"/>
  <c r="V115" i="39"/>
  <c r="D12" i="45"/>
  <c r="L13" i="45"/>
  <c r="X75" i="51"/>
  <c r="Z75" i="51" s="1"/>
  <c r="J24" i="39"/>
  <c r="V44" i="39"/>
  <c r="V48" i="39"/>
  <c r="V56" i="39"/>
  <c r="J60" i="39"/>
  <c r="V64" i="39"/>
  <c r="J68" i="39"/>
  <c r="V72" i="39"/>
  <c r="V80" i="39"/>
  <c r="J84" i="39"/>
  <c r="V92" i="39"/>
  <c r="J96" i="39"/>
  <c r="J100" i="39"/>
  <c r="J104" i="39"/>
  <c r="J112" i="39"/>
  <c r="J121" i="39"/>
  <c r="V126" i="39"/>
  <c r="V45" i="42"/>
  <c r="V53" i="42"/>
  <c r="N73" i="42"/>
  <c r="F79" i="42"/>
  <c r="F104" i="42"/>
  <c r="F112" i="42"/>
  <c r="N48" i="45"/>
  <c r="X54" i="45"/>
  <c r="Z54" i="45" s="1"/>
  <c r="L44" i="48"/>
  <c r="N44" i="48" s="1"/>
  <c r="V53" i="39"/>
  <c r="V61" i="39"/>
  <c r="V73" i="39"/>
  <c r="J89" i="39"/>
  <c r="V97" i="39"/>
  <c r="V101" i="39"/>
  <c r="V105" i="39"/>
  <c r="J111" i="39"/>
  <c r="V113" i="39"/>
  <c r="J120" i="39"/>
  <c r="F32" i="42"/>
  <c r="F71" i="42"/>
  <c r="X87" i="42"/>
  <c r="P12" i="45"/>
  <c r="X18" i="45"/>
  <c r="V38" i="39"/>
  <c r="V54" i="39"/>
  <c r="V62" i="39"/>
  <c r="V70" i="39"/>
  <c r="J78" i="39"/>
  <c r="V86" i="39"/>
  <c r="V90" i="39"/>
  <c r="V106" i="39"/>
  <c r="J110" i="39"/>
  <c r="J118" i="39"/>
  <c r="J119" i="39"/>
  <c r="F81" i="42"/>
  <c r="Z87" i="42"/>
  <c r="Z18" i="45"/>
  <c r="V54" i="45"/>
  <c r="Z94" i="45"/>
  <c r="J41" i="39"/>
  <c r="V43" i="39"/>
  <c r="V47" i="39"/>
  <c r="V51" i="39"/>
  <c r="J59" i="39"/>
  <c r="J67" i="39"/>
  <c r="V71" i="39"/>
  <c r="J77" i="39"/>
  <c r="V79" i="39"/>
  <c r="J83" i="39"/>
  <c r="V91" i="39"/>
  <c r="J95" i="39"/>
  <c r="J99" i="39"/>
  <c r="J103" i="39"/>
  <c r="J109" i="39"/>
  <c r="V122" i="42"/>
  <c r="V88" i="42"/>
  <c r="V76" i="42"/>
  <c r="V68" i="42"/>
  <c r="V48" i="42"/>
  <c r="V44" i="42"/>
  <c r="V40" i="42"/>
  <c r="V111" i="42"/>
  <c r="V103" i="42"/>
  <c r="V83" i="42"/>
  <c r="V71" i="42"/>
  <c r="V59" i="42"/>
  <c r="V51" i="42"/>
  <c r="V35" i="42"/>
  <c r="V31" i="42"/>
  <c r="V110" i="42"/>
  <c r="V98" i="42"/>
  <c r="V94" i="42"/>
  <c r="V90" i="42"/>
  <c r="V78" i="42"/>
  <c r="V70" i="42"/>
  <c r="V58" i="42"/>
  <c r="V50" i="42"/>
  <c r="V22" i="42"/>
  <c r="V105" i="42"/>
  <c r="V114" i="42"/>
  <c r="V112" i="42"/>
  <c r="V104" i="42"/>
  <c r="V84" i="42"/>
  <c r="V72" i="42"/>
  <c r="V60" i="42"/>
  <c r="V52" i="42"/>
  <c r="V36" i="42"/>
  <c r="V32" i="42"/>
  <c r="V28" i="42"/>
  <c r="V115" i="42"/>
  <c r="V107" i="42"/>
  <c r="V99" i="42"/>
  <c r="V95" i="42"/>
  <c r="V91" i="42"/>
  <c r="V79" i="42"/>
  <c r="V63" i="42"/>
  <c r="V55" i="42"/>
  <c r="V27" i="42"/>
  <c r="V25" i="42"/>
  <c r="V23" i="42"/>
  <c r="V116" i="42"/>
  <c r="V106" i="42"/>
  <c r="V74" i="42"/>
  <c r="V62" i="42"/>
  <c r="V54" i="42"/>
  <c r="V46" i="42"/>
  <c r="V42" i="42"/>
  <c r="V38" i="42"/>
  <c r="T25" i="42"/>
  <c r="V117" i="42"/>
  <c r="V85" i="42"/>
  <c r="V81" i="42"/>
  <c r="V65" i="42"/>
  <c r="V37" i="42"/>
  <c r="V33" i="42"/>
  <c r="V29" i="42"/>
  <c r="V118" i="42"/>
  <c r="V108" i="42"/>
  <c r="V100" i="42"/>
  <c r="V96" i="42"/>
  <c r="V92" i="42"/>
  <c r="V80" i="42"/>
  <c r="V64" i="42"/>
  <c r="V56" i="42"/>
  <c r="V109" i="42"/>
  <c r="V101" i="42"/>
  <c r="V97" i="42"/>
  <c r="V93" i="42"/>
  <c r="V69" i="42"/>
  <c r="V57" i="42"/>
  <c r="V49" i="42"/>
  <c r="V21" i="42"/>
  <c r="L20" i="42"/>
  <c r="N20" i="42" s="1"/>
  <c r="F30" i="42"/>
  <c r="F52" i="42"/>
  <c r="F60" i="42"/>
  <c r="X67" i="42"/>
  <c r="Z67" i="42" s="1"/>
  <c r="V75" i="42"/>
  <c r="F86" i="42"/>
  <c r="V87" i="42"/>
  <c r="V18" i="45"/>
  <c r="V94" i="45"/>
  <c r="X85" i="36"/>
  <c r="X97" i="36"/>
  <c r="Z97" i="36" s="1"/>
  <c r="D121" i="36"/>
  <c r="L121" i="36" s="1"/>
  <c r="N121" i="36" s="1"/>
  <c r="V24" i="39"/>
  <c r="J36" i="39"/>
  <c r="J40" i="39"/>
  <c r="L41" i="39"/>
  <c r="N41" i="39" s="1"/>
  <c r="V52" i="39"/>
  <c r="J58" i="39"/>
  <c r="V60" i="39"/>
  <c r="J66" i="39"/>
  <c r="V68" i="39"/>
  <c r="X71" i="39"/>
  <c r="Z71" i="39" s="1"/>
  <c r="J76" i="39"/>
  <c r="L77" i="39"/>
  <c r="N77" i="39" s="1"/>
  <c r="J82" i="39"/>
  <c r="V84" i="39"/>
  <c r="J88" i="39"/>
  <c r="X91" i="39"/>
  <c r="Z91" i="39" s="1"/>
  <c r="J94" i="39"/>
  <c r="V96" i="39"/>
  <c r="V100" i="39"/>
  <c r="V104" i="39"/>
  <c r="J108" i="39"/>
  <c r="L109" i="39"/>
  <c r="N109" i="39" s="1"/>
  <c r="V112" i="39"/>
  <c r="J116" i="39"/>
  <c r="V122" i="39"/>
  <c r="V102" i="42"/>
  <c r="J31" i="39"/>
  <c r="V33" i="39"/>
  <c r="V37" i="39"/>
  <c r="J45" i="39"/>
  <c r="J49" i="39"/>
  <c r="J57" i="39"/>
  <c r="J65" i="39"/>
  <c r="V69" i="39"/>
  <c r="J75" i="39"/>
  <c r="J81" i="39"/>
  <c r="V85" i="39"/>
  <c r="V89" i="39"/>
  <c r="J93" i="39"/>
  <c r="V30" i="42"/>
  <c r="V67" i="42"/>
  <c r="F90" i="42"/>
  <c r="L60" i="45"/>
  <c r="N60" i="45" s="1"/>
  <c r="Z66" i="45"/>
  <c r="J25" i="42"/>
  <c r="J27" i="42"/>
  <c r="J29" i="42"/>
  <c r="J33" i="42"/>
  <c r="J37" i="42"/>
  <c r="J55" i="42"/>
  <c r="J63" i="42"/>
  <c r="J85" i="42"/>
  <c r="J107" i="42"/>
  <c r="J116" i="42"/>
  <c r="J26" i="45"/>
  <c r="V28" i="45"/>
  <c r="V32" i="45"/>
  <c r="V36" i="45"/>
  <c r="J40" i="45"/>
  <c r="J44" i="45"/>
  <c r="J50" i="45"/>
  <c r="V56" i="45"/>
  <c r="J62" i="45"/>
  <c r="V68" i="45"/>
  <c r="V72" i="45"/>
  <c r="J76" i="45"/>
  <c r="V80" i="45"/>
  <c r="V84" i="45"/>
  <c r="V88" i="45"/>
  <c r="J92" i="45"/>
  <c r="V96" i="45"/>
  <c r="R41" i="48"/>
  <c r="N75" i="51"/>
  <c r="J32" i="42"/>
  <c r="J36" i="42"/>
  <c r="J52" i="42"/>
  <c r="J60" i="42"/>
  <c r="J72" i="42"/>
  <c r="J78" i="42"/>
  <c r="J84" i="42"/>
  <c r="J90" i="42"/>
  <c r="J104" i="42"/>
  <c r="J112" i="42"/>
  <c r="V27" i="45"/>
  <c r="V31" i="45"/>
  <c r="V35" i="45"/>
  <c r="J39" i="45"/>
  <c r="J43" i="45"/>
  <c r="J47" i="45"/>
  <c r="V51" i="45"/>
  <c r="J59" i="45"/>
  <c r="V63" i="45"/>
  <c r="V71" i="45"/>
  <c r="J75" i="45"/>
  <c r="V83" i="45"/>
  <c r="V87" i="45"/>
  <c r="J99" i="45"/>
  <c r="J66" i="48"/>
  <c r="J50" i="48"/>
  <c r="J51" i="48"/>
  <c r="J41" i="48"/>
  <c r="J37" i="48"/>
  <c r="J33" i="48"/>
  <c r="J69" i="48"/>
  <c r="J68" i="48"/>
  <c r="J60" i="48"/>
  <c r="J52" i="48"/>
  <c r="J42" i="48"/>
  <c r="J28" i="48"/>
  <c r="J24" i="48"/>
  <c r="J53" i="48"/>
  <c r="J43" i="48"/>
  <c r="J54" i="48"/>
  <c r="J44" i="48"/>
  <c r="J38" i="48"/>
  <c r="J34" i="48"/>
  <c r="J20" i="48"/>
  <c r="J62" i="48"/>
  <c r="J56" i="48"/>
  <c r="J46" i="48"/>
  <c r="J63" i="48"/>
  <c r="J57" i="48"/>
  <c r="J47" i="48"/>
  <c r="J39" i="48"/>
  <c r="J35" i="48"/>
  <c r="J58" i="48"/>
  <c r="J48" i="48"/>
  <c r="J30" i="48"/>
  <c r="J26" i="48"/>
  <c r="J22" i="48"/>
  <c r="J49" i="48"/>
  <c r="J31" i="48"/>
  <c r="J65" i="48"/>
  <c r="J59" i="48"/>
  <c r="J27" i="48"/>
  <c r="J23" i="48"/>
  <c r="R26" i="48"/>
  <c r="N68" i="48"/>
  <c r="N49" i="51"/>
  <c r="N84" i="51"/>
  <c r="T22" i="54"/>
  <c r="J41" i="42"/>
  <c r="J45" i="42"/>
  <c r="J51" i="42"/>
  <c r="J59" i="42"/>
  <c r="J71" i="42"/>
  <c r="J77" i="42"/>
  <c r="J89" i="42"/>
  <c r="J111" i="42"/>
  <c r="T23" i="45"/>
  <c r="V40" i="45"/>
  <c r="V44" i="45"/>
  <c r="V52" i="45"/>
  <c r="J58" i="45"/>
  <c r="V64" i="45"/>
  <c r="V76" i="45"/>
  <c r="V92" i="45"/>
  <c r="V62" i="48"/>
  <c r="V54" i="48"/>
  <c r="V46" i="48"/>
  <c r="V38" i="48"/>
  <c r="V34" i="48"/>
  <c r="T17" i="48"/>
  <c r="V73" i="48"/>
  <c r="V61" i="48"/>
  <c r="V57" i="48"/>
  <c r="V45" i="48"/>
  <c r="V29" i="48"/>
  <c r="V25" i="48"/>
  <c r="V21" i="48"/>
  <c r="V56" i="48"/>
  <c r="V48" i="48"/>
  <c r="V63" i="48"/>
  <c r="V47" i="48"/>
  <c r="V39" i="48"/>
  <c r="V35" i="48"/>
  <c r="V31" i="48"/>
  <c r="V58" i="48"/>
  <c r="V30" i="48"/>
  <c r="V26" i="48"/>
  <c r="V22" i="48"/>
  <c r="V64" i="48"/>
  <c r="V40" i="48"/>
  <c r="V36" i="48"/>
  <c r="V32" i="48"/>
  <c r="V59" i="48"/>
  <c r="V51" i="48"/>
  <c r="V27" i="48"/>
  <c r="V23" i="48"/>
  <c r="V68" i="48"/>
  <c r="V66" i="48"/>
  <c r="V50" i="48"/>
  <c r="V42" i="48"/>
  <c r="V69" i="48"/>
  <c r="V53" i="48"/>
  <c r="V41" i="48"/>
  <c r="V37" i="48"/>
  <c r="V33" i="48"/>
  <c r="V55" i="48"/>
  <c r="V43" i="48"/>
  <c r="V19" i="48"/>
  <c r="V17" i="48"/>
  <c r="V15" i="48"/>
  <c r="H17" i="48"/>
  <c r="L20" i="48"/>
  <c r="N20" i="48" s="1"/>
  <c r="V24" i="48"/>
  <c r="T67" i="61"/>
  <c r="J22" i="42"/>
  <c r="J50" i="42"/>
  <c r="J58" i="42"/>
  <c r="J70" i="42"/>
  <c r="J94" i="42"/>
  <c r="J98" i="42"/>
  <c r="J110" i="42"/>
  <c r="V21" i="45"/>
  <c r="V23" i="45"/>
  <c r="V25" i="45"/>
  <c r="J29" i="45"/>
  <c r="J33" i="45"/>
  <c r="V49" i="45"/>
  <c r="J57" i="45"/>
  <c r="V61" i="45"/>
  <c r="J69" i="45"/>
  <c r="J81" i="45"/>
  <c r="J85" i="45"/>
  <c r="J89" i="45"/>
  <c r="J97" i="45"/>
  <c r="V103" i="45"/>
  <c r="X12" i="48"/>
  <c r="Z12" i="48" s="1"/>
  <c r="R33" i="48"/>
  <c r="R68" i="48"/>
  <c r="F25" i="60"/>
  <c r="F21" i="60"/>
  <c r="F48" i="60"/>
  <c r="F47" i="60"/>
  <c r="F58" i="60"/>
  <c r="F56" i="60"/>
  <c r="F39" i="60"/>
  <c r="F35" i="60"/>
  <c r="F31" i="60"/>
  <c r="F60" i="60"/>
  <c r="F50" i="60"/>
  <c r="F49" i="60"/>
  <c r="F41" i="60"/>
  <c r="F40" i="60"/>
  <c r="F36" i="60"/>
  <c r="F32" i="60"/>
  <c r="L12" i="60"/>
  <c r="F65" i="60"/>
  <c r="F62" i="60"/>
  <c r="F51" i="60"/>
  <c r="F45" i="60"/>
  <c r="F44" i="60"/>
  <c r="F37" i="60"/>
  <c r="F33" i="60"/>
  <c r="F54" i="60"/>
  <c r="F53" i="60"/>
  <c r="F46" i="60"/>
  <c r="F38" i="60"/>
  <c r="F34" i="60"/>
  <c r="F30" i="60"/>
  <c r="F29" i="60"/>
  <c r="D16" i="60"/>
  <c r="F42" i="60"/>
  <c r="F19" i="60"/>
  <c r="F52" i="60"/>
  <c r="F20" i="60"/>
  <c r="F14" i="60"/>
  <c r="F26" i="60"/>
  <c r="F22" i="60"/>
  <c r="F43" i="60"/>
  <c r="F28" i="60"/>
  <c r="F24" i="60"/>
  <c r="F16" i="60"/>
  <c r="F27" i="60"/>
  <c r="F23" i="60"/>
  <c r="F18" i="60"/>
  <c r="L18" i="60"/>
  <c r="N18" i="60" s="1"/>
  <c r="J31" i="42"/>
  <c r="J35" i="42"/>
  <c r="J49" i="42"/>
  <c r="J69" i="42"/>
  <c r="J83" i="42"/>
  <c r="J103" i="42"/>
  <c r="V26" i="45"/>
  <c r="V30" i="45"/>
  <c r="V34" i="45"/>
  <c r="J38" i="45"/>
  <c r="J42" i="45"/>
  <c r="J46" i="45"/>
  <c r="V50" i="45"/>
  <c r="J56" i="45"/>
  <c r="V62" i="45"/>
  <c r="J68" i="45"/>
  <c r="V70" i="45"/>
  <c r="J74" i="45"/>
  <c r="J80" i="45"/>
  <c r="V82" i="45"/>
  <c r="V86" i="45"/>
  <c r="V90" i="45"/>
  <c r="J96" i="45"/>
  <c r="P17" i="48"/>
  <c r="R22" i="48"/>
  <c r="N31" i="48"/>
  <c r="H22" i="54"/>
  <c r="N16" i="54"/>
  <c r="J26" i="55"/>
  <c r="J28" i="55"/>
  <c r="N12" i="55"/>
  <c r="J29" i="55"/>
  <c r="J19" i="55"/>
  <c r="J20" i="55"/>
  <c r="J18" i="55"/>
  <c r="J16" i="55"/>
  <c r="J14" i="55"/>
  <c r="J22" i="55"/>
  <c r="J40" i="55"/>
  <c r="J37" i="55"/>
  <c r="J25" i="55"/>
  <c r="J35" i="55"/>
  <c r="J31" i="55"/>
  <c r="J33" i="55"/>
  <c r="J23" i="55"/>
  <c r="J21" i="55"/>
  <c r="J27" i="55"/>
  <c r="J24" i="55"/>
  <c r="L12" i="55"/>
  <c r="N12" i="42"/>
  <c r="J40" i="42"/>
  <c r="J44" i="42"/>
  <c r="J48" i="42"/>
  <c r="J68" i="42"/>
  <c r="J76" i="42"/>
  <c r="J88" i="42"/>
  <c r="J102" i="42"/>
  <c r="J122" i="42"/>
  <c r="J19" i="45"/>
  <c r="J37" i="45"/>
  <c r="V39" i="45"/>
  <c r="V43" i="45"/>
  <c r="V47" i="45"/>
  <c r="J55" i="45"/>
  <c r="V59" i="45"/>
  <c r="J67" i="45"/>
  <c r="J73" i="45"/>
  <c r="V75" i="45"/>
  <c r="J79" i="45"/>
  <c r="V91" i="45"/>
  <c r="J95" i="45"/>
  <c r="L13" i="48"/>
  <c r="N13" i="48" s="1"/>
  <c r="D12" i="48"/>
  <c r="J93" i="42"/>
  <c r="J97" i="42"/>
  <c r="J101" i="42"/>
  <c r="J109" i="42"/>
  <c r="V48" i="45"/>
  <c r="V60" i="45"/>
  <c r="J66" i="45"/>
  <c r="J72" i="45"/>
  <c r="J78" i="45"/>
  <c r="J84" i="45"/>
  <c r="J88" i="45"/>
  <c r="J94" i="45"/>
  <c r="R44" i="48"/>
  <c r="R43" i="48"/>
  <c r="R20" i="48"/>
  <c r="R55" i="48"/>
  <c r="R54" i="48"/>
  <c r="R38" i="48"/>
  <c r="R34" i="48"/>
  <c r="R19" i="48"/>
  <c r="R17" i="48"/>
  <c r="R15" i="48"/>
  <c r="R73" i="48"/>
  <c r="R62" i="48"/>
  <c r="R61" i="48"/>
  <c r="R46" i="48"/>
  <c r="R45" i="48"/>
  <c r="R29" i="48"/>
  <c r="R25" i="48"/>
  <c r="R21" i="48"/>
  <c r="R57" i="48"/>
  <c r="R56" i="48"/>
  <c r="R63" i="48"/>
  <c r="R48" i="48"/>
  <c r="R47" i="48"/>
  <c r="R39" i="48"/>
  <c r="R35" i="48"/>
  <c r="R49" i="48"/>
  <c r="R65" i="48"/>
  <c r="R64" i="48"/>
  <c r="R40" i="48"/>
  <c r="R36" i="48"/>
  <c r="R32" i="48"/>
  <c r="R59" i="48"/>
  <c r="R27" i="48"/>
  <c r="R23" i="48"/>
  <c r="R66" i="48"/>
  <c r="R51" i="48"/>
  <c r="R50" i="48"/>
  <c r="R60" i="48"/>
  <c r="R53" i="48"/>
  <c r="R52" i="48"/>
  <c r="R28" i="48"/>
  <c r="R24" i="48"/>
  <c r="R31" i="48"/>
  <c r="D12" i="51"/>
  <c r="L13" i="51"/>
  <c r="N13" i="51" s="1"/>
  <c r="J20" i="42"/>
  <c r="J30" i="42"/>
  <c r="J34" i="42"/>
  <c r="J66" i="42"/>
  <c r="J82" i="42"/>
  <c r="J86" i="42"/>
  <c r="V29" i="45"/>
  <c r="V33" i="45"/>
  <c r="J41" i="45"/>
  <c r="J45" i="45"/>
  <c r="J53" i="45"/>
  <c r="V57" i="45"/>
  <c r="J65" i="45"/>
  <c r="V69" i="45"/>
  <c r="J77" i="45"/>
  <c r="V81" i="45"/>
  <c r="V85" i="45"/>
  <c r="V89" i="45"/>
  <c r="J93" i="45"/>
  <c r="V97" i="45"/>
  <c r="V99" i="45"/>
  <c r="N19" i="48"/>
  <c r="Z31" i="48"/>
  <c r="N53" i="48"/>
  <c r="J55" i="48"/>
  <c r="J64" i="48"/>
  <c r="N48" i="51"/>
  <c r="J39" i="42"/>
  <c r="J43" i="42"/>
  <c r="J47" i="42"/>
  <c r="J65" i="42"/>
  <c r="J75" i="42"/>
  <c r="J81" i="42"/>
  <c r="X90" i="42"/>
  <c r="Z90" i="42" s="1"/>
  <c r="D114" i="42"/>
  <c r="L114" i="42" s="1"/>
  <c r="N114" i="42" s="1"/>
  <c r="J118" i="42"/>
  <c r="V38" i="45"/>
  <c r="V42" i="45"/>
  <c r="V46" i="45"/>
  <c r="J52" i="45"/>
  <c r="V58" i="45"/>
  <c r="J64" i="45"/>
  <c r="V74" i="45"/>
  <c r="X99" i="45"/>
  <c r="R69" i="48"/>
  <c r="H25" i="42"/>
  <c r="J38" i="42"/>
  <c r="J56" i="42"/>
  <c r="J64" i="42"/>
  <c r="J80" i="42"/>
  <c r="J92" i="42"/>
  <c r="J96" i="42"/>
  <c r="J100" i="42"/>
  <c r="J108" i="42"/>
  <c r="V19" i="45"/>
  <c r="J23" i="45"/>
  <c r="J25" i="45"/>
  <c r="J27" i="45"/>
  <c r="J31" i="45"/>
  <c r="J35" i="45"/>
  <c r="J51" i="45"/>
  <c r="V55" i="45"/>
  <c r="J63" i="45"/>
  <c r="V67" i="45"/>
  <c r="J71" i="45"/>
  <c r="V79" i="45"/>
  <c r="J83" i="45"/>
  <c r="J87" i="45"/>
  <c r="X53" i="48"/>
  <c r="Z53" i="48" s="1"/>
  <c r="N62" i="48"/>
  <c r="P12" i="51"/>
  <c r="X15" i="51"/>
  <c r="P16" i="54"/>
  <c r="L43" i="56"/>
  <c r="N43" i="56" s="1"/>
  <c r="V33" i="51"/>
  <c r="V37" i="51"/>
  <c r="V41" i="51"/>
  <c r="J53" i="51"/>
  <c r="J57" i="51"/>
  <c r="J71" i="51"/>
  <c r="V77" i="51"/>
  <c r="J81" i="51"/>
  <c r="V85" i="51"/>
  <c r="V93" i="51"/>
  <c r="J103" i="51"/>
  <c r="N14" i="54"/>
  <c r="D16" i="55"/>
  <c r="R70" i="56"/>
  <c r="L48" i="57"/>
  <c r="N48" i="57" s="1"/>
  <c r="L61" i="58"/>
  <c r="N61" i="58" s="1"/>
  <c r="Z41" i="59"/>
  <c r="X44" i="48"/>
  <c r="Z44" i="48" s="1"/>
  <c r="J35" i="51"/>
  <c r="J39" i="51"/>
  <c r="J43" i="51"/>
  <c r="T46" i="51"/>
  <c r="V63" i="51"/>
  <c r="V67" i="51"/>
  <c r="V75" i="51"/>
  <c r="V83" i="51"/>
  <c r="V91" i="51"/>
  <c r="N12" i="54"/>
  <c r="R14" i="54"/>
  <c r="R16" i="54"/>
  <c r="R18" i="54"/>
  <c r="P16" i="55"/>
  <c r="L55" i="56"/>
  <c r="N55" i="56" s="1"/>
  <c r="R30" i="57"/>
  <c r="V32" i="51"/>
  <c r="V36" i="51"/>
  <c r="V40" i="51"/>
  <c r="V44" i="51"/>
  <c r="V46" i="51"/>
  <c r="V48" i="51"/>
  <c r="J52" i="51"/>
  <c r="J56" i="51"/>
  <c r="V72" i="51"/>
  <c r="J80" i="51"/>
  <c r="V84" i="51"/>
  <c r="V92" i="51"/>
  <c r="J99" i="51"/>
  <c r="R31" i="54"/>
  <c r="R24" i="54"/>
  <c r="R29" i="55"/>
  <c r="R18" i="55"/>
  <c r="R16" i="55"/>
  <c r="R14" i="55"/>
  <c r="R23" i="55"/>
  <c r="R22" i="55"/>
  <c r="R35" i="55"/>
  <c r="R28" i="55"/>
  <c r="X12" i="55"/>
  <c r="T16" i="55"/>
  <c r="Z54" i="58"/>
  <c r="D60" i="61"/>
  <c r="V49" i="51"/>
  <c r="V53" i="51"/>
  <c r="V57" i="51"/>
  <c r="J61" i="51"/>
  <c r="J65" i="51"/>
  <c r="J69" i="51"/>
  <c r="V73" i="51"/>
  <c r="J79" i="51"/>
  <c r="V81" i="51"/>
  <c r="J89" i="51"/>
  <c r="J97" i="51"/>
  <c r="J98" i="51"/>
  <c r="V103" i="51"/>
  <c r="V22" i="54"/>
  <c r="V20" i="54"/>
  <c r="V18" i="54"/>
  <c r="V14" i="54"/>
  <c r="V16" i="54"/>
  <c r="V28" i="54"/>
  <c r="R24" i="55"/>
  <c r="R55" i="56"/>
  <c r="D12" i="57"/>
  <c r="L13" i="57"/>
  <c r="N19" i="57"/>
  <c r="Z65" i="57"/>
  <c r="X65" i="57"/>
  <c r="N45" i="58"/>
  <c r="N47" i="58"/>
  <c r="N19" i="59"/>
  <c r="X66" i="59"/>
  <c r="Z66" i="59"/>
  <c r="J34" i="51"/>
  <c r="J38" i="51"/>
  <c r="J42" i="51"/>
  <c r="J60" i="51"/>
  <c r="V62" i="51"/>
  <c r="V66" i="51"/>
  <c r="V70" i="51"/>
  <c r="J78" i="51"/>
  <c r="V82" i="51"/>
  <c r="J88" i="51"/>
  <c r="V90" i="51"/>
  <c r="L18" i="55"/>
  <c r="N18" i="55" s="1"/>
  <c r="L23" i="55"/>
  <c r="L71" i="56"/>
  <c r="N71" i="56" s="1"/>
  <c r="X57" i="57"/>
  <c r="L69" i="58"/>
  <c r="N69" i="58" s="1"/>
  <c r="X49" i="56"/>
  <c r="Z49" i="56" s="1"/>
  <c r="R61" i="57"/>
  <c r="R60" i="57"/>
  <c r="R45" i="57"/>
  <c r="R44" i="57"/>
  <c r="R28" i="57"/>
  <c r="R24" i="57"/>
  <c r="R75" i="57"/>
  <c r="R20" i="57"/>
  <c r="R80" i="57"/>
  <c r="R77" i="57"/>
  <c r="R63" i="57"/>
  <c r="R62" i="57"/>
  <c r="R55" i="57"/>
  <c r="R54" i="57"/>
  <c r="R46" i="57"/>
  <c r="R38" i="57"/>
  <c r="R34" i="57"/>
  <c r="R19" i="57"/>
  <c r="R17" i="57"/>
  <c r="R15" i="57"/>
  <c r="R65" i="57"/>
  <c r="R64" i="57"/>
  <c r="R57" i="57"/>
  <c r="R56" i="57"/>
  <c r="R48" i="57"/>
  <c r="R47" i="57"/>
  <c r="R39" i="57"/>
  <c r="R35" i="57"/>
  <c r="R31" i="57"/>
  <c r="R66" i="57"/>
  <c r="R58" i="57"/>
  <c r="R26" i="57"/>
  <c r="R22" i="57"/>
  <c r="X12" i="57"/>
  <c r="R69" i="57"/>
  <c r="R68" i="57"/>
  <c r="R50" i="57"/>
  <c r="R49" i="57"/>
  <c r="R70" i="57"/>
  <c r="R41" i="57"/>
  <c r="R40" i="57"/>
  <c r="R36" i="57"/>
  <c r="R32" i="57"/>
  <c r="R71" i="57"/>
  <c r="R59" i="57"/>
  <c r="R52" i="57"/>
  <c r="R51" i="57"/>
  <c r="R27" i="57"/>
  <c r="R23" i="57"/>
  <c r="R53" i="57"/>
  <c r="R37" i="57"/>
  <c r="R33" i="57"/>
  <c r="R29" i="57"/>
  <c r="Z57" i="57"/>
  <c r="Z14" i="58"/>
  <c r="X14" i="58"/>
  <c r="V52" i="51"/>
  <c r="V56" i="51"/>
  <c r="J64" i="51"/>
  <c r="J68" i="51"/>
  <c r="X71" i="51"/>
  <c r="Z71" i="51" s="1"/>
  <c r="J76" i="51"/>
  <c r="L77" i="51"/>
  <c r="N77" i="51" s="1"/>
  <c r="V80" i="51"/>
  <c r="J86" i="51"/>
  <c r="J94" i="51"/>
  <c r="P97" i="51"/>
  <c r="X97" i="51" s="1"/>
  <c r="Z97" i="51" s="1"/>
  <c r="D16" i="54"/>
  <c r="R37" i="55"/>
  <c r="V47" i="56"/>
  <c r="V19" i="56"/>
  <c r="V17" i="56"/>
  <c r="V15" i="56"/>
  <c r="V78" i="56"/>
  <c r="V76" i="56"/>
  <c r="V74" i="56"/>
  <c r="V66" i="56"/>
  <c r="V58" i="56"/>
  <c r="V46" i="56"/>
  <c r="V38" i="56"/>
  <c r="V34" i="56"/>
  <c r="V30" i="56"/>
  <c r="V49" i="56"/>
  <c r="V29" i="56"/>
  <c r="V25" i="56"/>
  <c r="V21" i="56"/>
  <c r="V67" i="56"/>
  <c r="V59" i="56"/>
  <c r="V51" i="56"/>
  <c r="V39" i="56"/>
  <c r="V35" i="56"/>
  <c r="V31" i="56"/>
  <c r="V85" i="56"/>
  <c r="V82" i="56"/>
  <c r="V80" i="56"/>
  <c r="V50" i="56"/>
  <c r="V26" i="56"/>
  <c r="V22" i="56"/>
  <c r="Z12" i="56"/>
  <c r="V69" i="56"/>
  <c r="V61" i="56"/>
  <c r="V53" i="56"/>
  <c r="V41" i="56"/>
  <c r="V68" i="56"/>
  <c r="V60" i="56"/>
  <c r="V52" i="56"/>
  <c r="V71" i="56"/>
  <c r="V63" i="56"/>
  <c r="V55" i="56"/>
  <c r="V43" i="56"/>
  <c r="V27" i="56"/>
  <c r="V23" i="56"/>
  <c r="V70" i="56"/>
  <c r="V62" i="56"/>
  <c r="V54" i="56"/>
  <c r="V42" i="56"/>
  <c r="V72" i="56"/>
  <c r="V64" i="56"/>
  <c r="V56" i="56"/>
  <c r="V44" i="56"/>
  <c r="V28" i="56"/>
  <c r="V24" i="56"/>
  <c r="V20" i="56"/>
  <c r="N17" i="56"/>
  <c r="H78" i="56"/>
  <c r="V37" i="56"/>
  <c r="R25" i="57"/>
  <c r="Z49" i="58"/>
  <c r="H58" i="60"/>
  <c r="N16" i="60"/>
  <c r="J33" i="51"/>
  <c r="J37" i="51"/>
  <c r="J41" i="51"/>
  <c r="H46" i="51"/>
  <c r="V61" i="51"/>
  <c r="V65" i="51"/>
  <c r="V69" i="51"/>
  <c r="J75" i="51"/>
  <c r="J85" i="51"/>
  <c r="L86" i="51"/>
  <c r="N86" i="51" s="1"/>
  <c r="V89" i="51"/>
  <c r="J93" i="51"/>
  <c r="L94" i="51"/>
  <c r="N94" i="51" s="1"/>
  <c r="V99" i="51"/>
  <c r="J22" i="54"/>
  <c r="N29" i="54"/>
  <c r="R33" i="55"/>
  <c r="P78" i="56"/>
  <c r="X17" i="56"/>
  <c r="R21" i="57"/>
  <c r="L43" i="57"/>
  <c r="T16" i="58"/>
  <c r="R35" i="58"/>
  <c r="X51" i="58"/>
  <c r="N44" i="60"/>
  <c r="J32" i="51"/>
  <c r="V34" i="51"/>
  <c r="V38" i="51"/>
  <c r="V42" i="51"/>
  <c r="J46" i="51"/>
  <c r="J48" i="51"/>
  <c r="J50" i="51"/>
  <c r="J54" i="51"/>
  <c r="J58" i="51"/>
  <c r="J74" i="51"/>
  <c r="V78" i="51"/>
  <c r="J84" i="51"/>
  <c r="J92" i="51"/>
  <c r="V98" i="51"/>
  <c r="D12" i="56"/>
  <c r="L13" i="56"/>
  <c r="T82" i="56"/>
  <c r="N63" i="56"/>
  <c r="L63" i="56"/>
  <c r="N43" i="57"/>
  <c r="R73" i="57"/>
  <c r="Z51" i="58"/>
  <c r="J49" i="51"/>
  <c r="V51" i="51"/>
  <c r="V55" i="51"/>
  <c r="V59" i="51"/>
  <c r="J63" i="51"/>
  <c r="J67" i="51"/>
  <c r="J73" i="51"/>
  <c r="V79" i="51"/>
  <c r="J83" i="51"/>
  <c r="V87" i="51"/>
  <c r="J91" i="51"/>
  <c r="V95" i="51"/>
  <c r="V97" i="51"/>
  <c r="J14" i="54"/>
  <c r="J16" i="54"/>
  <c r="J18" i="54"/>
  <c r="N28" i="54"/>
  <c r="R26" i="55"/>
  <c r="Z17" i="56"/>
  <c r="R65" i="58"/>
  <c r="R58" i="58"/>
  <c r="R57" i="58"/>
  <c r="R78" i="58"/>
  <c r="R52" i="58"/>
  <c r="R41" i="58"/>
  <c r="R40" i="58"/>
  <c r="R36" i="58"/>
  <c r="R32" i="58"/>
  <c r="X12" i="58"/>
  <c r="R83" i="58"/>
  <c r="R80" i="58"/>
  <c r="R59" i="58"/>
  <c r="R27" i="58"/>
  <c r="R23" i="58"/>
  <c r="R67" i="58"/>
  <c r="R66" i="58"/>
  <c r="R43" i="58"/>
  <c r="R42" i="58"/>
  <c r="R19" i="58"/>
  <c r="R54" i="58"/>
  <c r="R53" i="58"/>
  <c r="R37" i="58"/>
  <c r="R33" i="58"/>
  <c r="R18" i="58"/>
  <c r="R16" i="58"/>
  <c r="R14" i="58"/>
  <c r="R69" i="58"/>
  <c r="R68" i="58"/>
  <c r="R61" i="58"/>
  <c r="R60" i="58"/>
  <c r="R45" i="58"/>
  <c r="R44" i="58"/>
  <c r="R28" i="58"/>
  <c r="R24" i="58"/>
  <c r="R20" i="58"/>
  <c r="P16" i="58"/>
  <c r="R55" i="58"/>
  <c r="R71" i="58"/>
  <c r="R70" i="58"/>
  <c r="R63" i="58"/>
  <c r="R62" i="58"/>
  <c r="R47" i="58"/>
  <c r="R46" i="58"/>
  <c r="R38" i="58"/>
  <c r="R34" i="58"/>
  <c r="R30" i="58"/>
  <c r="R29" i="58"/>
  <c r="R25" i="58"/>
  <c r="R21" i="58"/>
  <c r="R72" i="58"/>
  <c r="R64" i="58"/>
  <c r="R56" i="58"/>
  <c r="R49" i="58"/>
  <c r="R48" i="58"/>
  <c r="R51" i="58"/>
  <c r="R50" i="58"/>
  <c r="R26" i="58"/>
  <c r="R22" i="58"/>
  <c r="R31" i="58"/>
  <c r="R76" i="58"/>
  <c r="J36" i="51"/>
  <c r="J40" i="51"/>
  <c r="J44" i="51"/>
  <c r="V60" i="51"/>
  <c r="V64" i="51"/>
  <c r="V68" i="51"/>
  <c r="J72" i="51"/>
  <c r="V76" i="51"/>
  <c r="F31" i="54"/>
  <c r="F29" i="54"/>
  <c r="F28" i="54"/>
  <c r="F26" i="54"/>
  <c r="R73" i="56"/>
  <c r="R72" i="56"/>
  <c r="R65" i="56"/>
  <c r="R64" i="56"/>
  <c r="R57" i="56"/>
  <c r="R56" i="56"/>
  <c r="R45" i="56"/>
  <c r="R44" i="56"/>
  <c r="R28" i="56"/>
  <c r="R24" i="56"/>
  <c r="R20" i="56"/>
  <c r="R74" i="56"/>
  <c r="R66" i="56"/>
  <c r="R58" i="56"/>
  <c r="R47" i="56"/>
  <c r="R46" i="56"/>
  <c r="R38" i="56"/>
  <c r="R34" i="56"/>
  <c r="R19" i="56"/>
  <c r="R17" i="56"/>
  <c r="R15" i="56"/>
  <c r="R49" i="56"/>
  <c r="R48" i="56"/>
  <c r="R67" i="56"/>
  <c r="R59" i="56"/>
  <c r="R39" i="56"/>
  <c r="R35" i="56"/>
  <c r="R31" i="56"/>
  <c r="R80" i="56"/>
  <c r="R51" i="56"/>
  <c r="R50" i="56"/>
  <c r="R26" i="56"/>
  <c r="R22" i="56"/>
  <c r="X12" i="56"/>
  <c r="R85" i="56"/>
  <c r="R82" i="56"/>
  <c r="R69" i="56"/>
  <c r="R68" i="56"/>
  <c r="R61" i="56"/>
  <c r="R60" i="56"/>
  <c r="R53" i="56"/>
  <c r="R52" i="56"/>
  <c r="R41" i="56"/>
  <c r="R40" i="56"/>
  <c r="R36" i="56"/>
  <c r="R32" i="56"/>
  <c r="R27" i="56"/>
  <c r="R23" i="56"/>
  <c r="R37" i="56"/>
  <c r="R33" i="56"/>
  <c r="L19" i="56"/>
  <c r="N19" i="56" s="1"/>
  <c r="R29" i="56"/>
  <c r="R63" i="56"/>
  <c r="R78" i="56"/>
  <c r="R43" i="57"/>
  <c r="N50" i="57"/>
  <c r="T16" i="60"/>
  <c r="Z14" i="60"/>
  <c r="X14" i="60"/>
  <c r="V19" i="55"/>
  <c r="F23" i="55"/>
  <c r="F24" i="55"/>
  <c r="X13" i="56"/>
  <c r="J32" i="56"/>
  <c r="J36" i="56"/>
  <c r="J40" i="56"/>
  <c r="J52" i="56"/>
  <c r="J60" i="56"/>
  <c r="J68" i="56"/>
  <c r="J82" i="56"/>
  <c r="J85" i="56"/>
  <c r="X13" i="57"/>
  <c r="V20" i="57"/>
  <c r="V24" i="57"/>
  <c r="V28" i="57"/>
  <c r="J32" i="57"/>
  <c r="J36" i="57"/>
  <c r="J40" i="57"/>
  <c r="V44" i="57"/>
  <c r="J50" i="57"/>
  <c r="V60" i="57"/>
  <c r="J68" i="57"/>
  <c r="J69" i="57"/>
  <c r="D16" i="58"/>
  <c r="J21" i="58"/>
  <c r="J25" i="58"/>
  <c r="J29" i="58"/>
  <c r="F34" i="58"/>
  <c r="F38" i="58"/>
  <c r="V41" i="58"/>
  <c r="F45" i="58"/>
  <c r="F46" i="58"/>
  <c r="J47" i="58"/>
  <c r="V57" i="58"/>
  <c r="F61" i="58"/>
  <c r="F62" i="58"/>
  <c r="J63" i="58"/>
  <c r="V65" i="58"/>
  <c r="F69" i="58"/>
  <c r="F70" i="58"/>
  <c r="J71" i="58"/>
  <c r="D16" i="59"/>
  <c r="J21" i="59"/>
  <c r="R22" i="59"/>
  <c r="J25" i="59"/>
  <c r="R26" i="59"/>
  <c r="J29" i="59"/>
  <c r="F34" i="59"/>
  <c r="F38" i="59"/>
  <c r="V41" i="59"/>
  <c r="J45" i="59"/>
  <c r="V49" i="59"/>
  <c r="F54" i="59"/>
  <c r="R56" i="59"/>
  <c r="F62" i="59"/>
  <c r="R66" i="59"/>
  <c r="J19" i="60"/>
  <c r="L29" i="60"/>
  <c r="N29" i="60" s="1"/>
  <c r="R30" i="60"/>
  <c r="L44" i="60"/>
  <c r="X52" i="61"/>
  <c r="Z52" i="61" s="1"/>
  <c r="L14" i="63"/>
  <c r="X30" i="63"/>
  <c r="Z30" i="63" s="1"/>
  <c r="N43" i="63"/>
  <c r="X59" i="63"/>
  <c r="Z59" i="63" s="1"/>
  <c r="N76" i="63"/>
  <c r="N78" i="63"/>
  <c r="J50" i="56"/>
  <c r="J80" i="56"/>
  <c r="V42" i="57"/>
  <c r="J48" i="57"/>
  <c r="J58" i="57"/>
  <c r="J66" i="57"/>
  <c r="H16" i="58"/>
  <c r="F19" i="58"/>
  <c r="F20" i="58"/>
  <c r="F24" i="58"/>
  <c r="F28" i="58"/>
  <c r="V31" i="58"/>
  <c r="V35" i="58"/>
  <c r="V39" i="58"/>
  <c r="F43" i="58"/>
  <c r="F44" i="58"/>
  <c r="J45" i="58"/>
  <c r="V51" i="58"/>
  <c r="J55" i="58"/>
  <c r="F60" i="58"/>
  <c r="J61" i="58"/>
  <c r="F67" i="58"/>
  <c r="F68" i="58"/>
  <c r="J69" i="58"/>
  <c r="H16" i="59"/>
  <c r="F19" i="59"/>
  <c r="F20" i="59"/>
  <c r="F24" i="59"/>
  <c r="F28" i="59"/>
  <c r="V31" i="59"/>
  <c r="V35" i="59"/>
  <c r="V39" i="59"/>
  <c r="F43" i="59"/>
  <c r="F44" i="59"/>
  <c r="V47" i="59"/>
  <c r="V55" i="59"/>
  <c r="V56" i="59"/>
  <c r="R59" i="59"/>
  <c r="V65" i="59"/>
  <c r="V75" i="59"/>
  <c r="J58" i="60"/>
  <c r="J56" i="60"/>
  <c r="J48" i="60"/>
  <c r="J49" i="60"/>
  <c r="J39" i="60"/>
  <c r="J35" i="60"/>
  <c r="J31" i="60"/>
  <c r="J60" i="60"/>
  <c r="J50" i="60"/>
  <c r="J40" i="60"/>
  <c r="J26" i="60"/>
  <c r="J22" i="60"/>
  <c r="J65" i="60"/>
  <c r="J62" i="60"/>
  <c r="J42" i="60"/>
  <c r="J36" i="60"/>
  <c r="J32" i="60"/>
  <c r="N12" i="60"/>
  <c r="J51" i="60"/>
  <c r="J43" i="60"/>
  <c r="J27" i="60"/>
  <c r="J23" i="60"/>
  <c r="J52" i="60"/>
  <c r="J28" i="60"/>
  <c r="J24" i="60"/>
  <c r="J20" i="60"/>
  <c r="J18" i="60"/>
  <c r="J16" i="60"/>
  <c r="J14" i="60"/>
  <c r="J47" i="60"/>
  <c r="J25" i="60"/>
  <c r="J21" i="60"/>
  <c r="J29" i="60"/>
  <c r="R39" i="60"/>
  <c r="Z42" i="60"/>
  <c r="J44" i="60"/>
  <c r="H16" i="61"/>
  <c r="Z50" i="61"/>
  <c r="R14" i="62"/>
  <c r="N19" i="63"/>
  <c r="F83" i="63"/>
  <c r="F14" i="55"/>
  <c r="F16" i="55"/>
  <c r="F18" i="55"/>
  <c r="V26" i="55"/>
  <c r="J31" i="56"/>
  <c r="J35" i="56"/>
  <c r="J39" i="56"/>
  <c r="J49" i="56"/>
  <c r="J59" i="56"/>
  <c r="J67" i="56"/>
  <c r="V23" i="57"/>
  <c r="V27" i="57"/>
  <c r="J31" i="57"/>
  <c r="J35" i="57"/>
  <c r="J39" i="57"/>
  <c r="V43" i="57"/>
  <c r="J47" i="57"/>
  <c r="V51" i="57"/>
  <c r="J57" i="57"/>
  <c r="V59" i="57"/>
  <c r="J65" i="57"/>
  <c r="P68" i="57"/>
  <c r="X68" i="57" s="1"/>
  <c r="V71" i="57"/>
  <c r="V73" i="57"/>
  <c r="J14" i="58"/>
  <c r="J16" i="58"/>
  <c r="J18" i="58"/>
  <c r="J20" i="58"/>
  <c r="J24" i="58"/>
  <c r="J28" i="58"/>
  <c r="F33" i="58"/>
  <c r="F37" i="58"/>
  <c r="J44" i="58"/>
  <c r="V48" i="58"/>
  <c r="F53" i="58"/>
  <c r="J54" i="58"/>
  <c r="V56" i="58"/>
  <c r="J60" i="58"/>
  <c r="V64" i="58"/>
  <c r="J68" i="58"/>
  <c r="V72" i="58"/>
  <c r="V74" i="58"/>
  <c r="V76" i="58"/>
  <c r="F80" i="58"/>
  <c r="F83" i="58"/>
  <c r="J14" i="59"/>
  <c r="J16" i="59"/>
  <c r="J18" i="59"/>
  <c r="J20" i="59"/>
  <c r="R21" i="59"/>
  <c r="J24" i="59"/>
  <c r="R25" i="59"/>
  <c r="J28" i="59"/>
  <c r="R29" i="59"/>
  <c r="R30" i="59"/>
  <c r="F33" i="59"/>
  <c r="F37" i="59"/>
  <c r="J44" i="59"/>
  <c r="R45" i="59"/>
  <c r="R46" i="59"/>
  <c r="V48" i="59"/>
  <c r="F52" i="59"/>
  <c r="F53" i="59"/>
  <c r="R58" i="59"/>
  <c r="J64" i="59"/>
  <c r="R65" i="60"/>
  <c r="R62" i="60"/>
  <c r="R42" i="60"/>
  <c r="R41" i="60"/>
  <c r="R36" i="60"/>
  <c r="R32" i="60"/>
  <c r="R51" i="60"/>
  <c r="R44" i="60"/>
  <c r="R43" i="60"/>
  <c r="R27" i="60"/>
  <c r="R23" i="60"/>
  <c r="R45" i="60"/>
  <c r="R37" i="60"/>
  <c r="R33" i="60"/>
  <c r="R18" i="60"/>
  <c r="R16" i="60"/>
  <c r="R14" i="60"/>
  <c r="R53" i="60"/>
  <c r="R52" i="60"/>
  <c r="R29" i="60"/>
  <c r="R28" i="60"/>
  <c r="R24" i="60"/>
  <c r="R20" i="60"/>
  <c r="P16" i="60"/>
  <c r="R58" i="60"/>
  <c r="R56" i="60"/>
  <c r="R25" i="60"/>
  <c r="R21" i="60"/>
  <c r="R60" i="60"/>
  <c r="R50" i="60"/>
  <c r="R26" i="60"/>
  <c r="R22" i="60"/>
  <c r="R19" i="60"/>
  <c r="R34" i="60"/>
  <c r="Z47" i="60"/>
  <c r="X47" i="60"/>
  <c r="F16" i="63"/>
  <c r="Z55" i="63"/>
  <c r="Z57" i="63"/>
  <c r="J76" i="56"/>
  <c r="J78" i="56"/>
  <c r="H17" i="57"/>
  <c r="V32" i="57"/>
  <c r="V36" i="57"/>
  <c r="V40" i="57"/>
  <c r="V52" i="57"/>
  <c r="J56" i="57"/>
  <c r="J64" i="57"/>
  <c r="V70" i="57"/>
  <c r="J33" i="58"/>
  <c r="J37" i="58"/>
  <c r="F41" i="58"/>
  <c r="F42" i="58"/>
  <c r="J43" i="58"/>
  <c r="J53" i="58"/>
  <c r="F66" i="58"/>
  <c r="J67" i="58"/>
  <c r="F58" i="59"/>
  <c r="F71" i="59"/>
  <c r="F69" i="59"/>
  <c r="F60" i="59"/>
  <c r="F73" i="59"/>
  <c r="F78" i="59"/>
  <c r="F75" i="59"/>
  <c r="F65" i="59"/>
  <c r="F64" i="59"/>
  <c r="F57" i="59"/>
  <c r="R34" i="59"/>
  <c r="R38" i="59"/>
  <c r="F41" i="59"/>
  <c r="F42" i="59"/>
  <c r="J43" i="59"/>
  <c r="R54" i="59"/>
  <c r="V58" i="59"/>
  <c r="V62" i="59"/>
  <c r="F67" i="59"/>
  <c r="R69" i="59"/>
  <c r="R46" i="60"/>
  <c r="R49" i="60"/>
  <c r="Z16" i="61"/>
  <c r="F107" i="63"/>
  <c r="F104" i="63"/>
  <c r="F73" i="63"/>
  <c r="F72" i="63"/>
  <c r="F45" i="63"/>
  <c r="F29" i="63"/>
  <c r="F25" i="63"/>
  <c r="F21" i="63"/>
  <c r="F92" i="63"/>
  <c r="F84" i="63"/>
  <c r="F80" i="63"/>
  <c r="F68" i="63"/>
  <c r="F67" i="63"/>
  <c r="F56" i="63"/>
  <c r="F55" i="63"/>
  <c r="F47" i="63"/>
  <c r="F46" i="63"/>
  <c r="F39" i="63"/>
  <c r="F35" i="63"/>
  <c r="F31" i="63"/>
  <c r="F30" i="63"/>
  <c r="F94" i="63"/>
  <c r="F93" i="63"/>
  <c r="F74" i="63"/>
  <c r="F58" i="63"/>
  <c r="F57" i="63"/>
  <c r="F26" i="63"/>
  <c r="F22" i="63"/>
  <c r="F85" i="63"/>
  <c r="F81" i="63"/>
  <c r="F69" i="63"/>
  <c r="F49" i="63"/>
  <c r="F48" i="63"/>
  <c r="F97" i="63"/>
  <c r="F60" i="63"/>
  <c r="F59" i="63"/>
  <c r="F40" i="63"/>
  <c r="F36" i="63"/>
  <c r="F32" i="63"/>
  <c r="L12" i="63"/>
  <c r="F98" i="63"/>
  <c r="F96" i="63"/>
  <c r="F87" i="63"/>
  <c r="F86" i="63"/>
  <c r="F75" i="63"/>
  <c r="F27" i="63"/>
  <c r="F23" i="63"/>
  <c r="F82" i="63"/>
  <c r="F100" i="63"/>
  <c r="F89" i="63"/>
  <c r="F88" i="63"/>
  <c r="F77" i="63"/>
  <c r="F76" i="63"/>
  <c r="F37" i="63"/>
  <c r="F33" i="63"/>
  <c r="F102" i="63"/>
  <c r="F64" i="63"/>
  <c r="F63" i="63"/>
  <c r="F52" i="63"/>
  <c r="F51" i="63"/>
  <c r="F44" i="63"/>
  <c r="F43" i="63"/>
  <c r="F28" i="63"/>
  <c r="F24" i="63"/>
  <c r="F20" i="63"/>
  <c r="F19" i="63"/>
  <c r="F66" i="63"/>
  <c r="F65" i="63"/>
  <c r="F54" i="63"/>
  <c r="F53" i="63"/>
  <c r="F38" i="63"/>
  <c r="F34" i="63"/>
  <c r="D16" i="63"/>
  <c r="H16" i="63"/>
  <c r="F50" i="63"/>
  <c r="R147" i="74"/>
  <c r="R136" i="74"/>
  <c r="R135" i="74"/>
  <c r="R131" i="74"/>
  <c r="R108" i="74"/>
  <c r="R107" i="74"/>
  <c r="R71" i="74"/>
  <c r="R67" i="74"/>
  <c r="R63" i="74"/>
  <c r="R59" i="74"/>
  <c r="R55" i="74"/>
  <c r="R126" i="74"/>
  <c r="R119" i="74"/>
  <c r="R118" i="74"/>
  <c r="R98" i="74"/>
  <c r="R94" i="74"/>
  <c r="R90" i="74"/>
  <c r="R138" i="74"/>
  <c r="R137" i="74"/>
  <c r="R110" i="74"/>
  <c r="R109" i="74"/>
  <c r="R85" i="74"/>
  <c r="R81" i="74"/>
  <c r="R132" i="74"/>
  <c r="R121" i="74"/>
  <c r="R120" i="74"/>
  <c r="R72" i="74"/>
  <c r="R68" i="74"/>
  <c r="R64" i="74"/>
  <c r="R60" i="74"/>
  <c r="R56" i="74"/>
  <c r="X12" i="74"/>
  <c r="Z12" i="74" s="1"/>
  <c r="R151" i="74"/>
  <c r="R140" i="74"/>
  <c r="R139" i="74"/>
  <c r="R128" i="74"/>
  <c r="R127" i="74"/>
  <c r="R111" i="74"/>
  <c r="R100" i="74"/>
  <c r="R99" i="74"/>
  <c r="R95" i="74"/>
  <c r="R91" i="74"/>
  <c r="R52" i="74"/>
  <c r="R122" i="74"/>
  <c r="R141" i="74"/>
  <c r="R133" i="74"/>
  <c r="R129" i="74"/>
  <c r="R102" i="74"/>
  <c r="R101" i="74"/>
  <c r="R73" i="74"/>
  <c r="R69" i="74"/>
  <c r="R65" i="74"/>
  <c r="R61" i="74"/>
  <c r="R57" i="74"/>
  <c r="R53" i="74"/>
  <c r="R113" i="74"/>
  <c r="R112" i="74"/>
  <c r="R96" i="74"/>
  <c r="R92" i="74"/>
  <c r="R123" i="74"/>
  <c r="R104" i="74"/>
  <c r="R103" i="74"/>
  <c r="R87" i="74"/>
  <c r="R83" i="74"/>
  <c r="R146" i="74"/>
  <c r="R125" i="74"/>
  <c r="R124" i="74"/>
  <c r="R117" i="74"/>
  <c r="R116" i="74"/>
  <c r="R89" i="74"/>
  <c r="R88" i="74"/>
  <c r="R84" i="74"/>
  <c r="R80" i="74"/>
  <c r="P76" i="74"/>
  <c r="R86" i="74"/>
  <c r="R54" i="74"/>
  <c r="R144" i="74"/>
  <c r="R115" i="74"/>
  <c r="R79" i="74"/>
  <c r="R76" i="74"/>
  <c r="R130" i="74"/>
  <c r="R105" i="74"/>
  <c r="R142" i="74"/>
  <c r="R134" i="74"/>
  <c r="R74" i="74"/>
  <c r="R145" i="74"/>
  <c r="R70" i="74"/>
  <c r="R66" i="74"/>
  <c r="R93" i="74"/>
  <c r="R97" i="74"/>
  <c r="R106" i="74"/>
  <c r="R78" i="74"/>
  <c r="R114" i="74"/>
  <c r="R82" i="74"/>
  <c r="R62" i="74"/>
  <c r="R58" i="74"/>
  <c r="V24" i="55"/>
  <c r="J15" i="56"/>
  <c r="J17" i="56"/>
  <c r="J19" i="56"/>
  <c r="J21" i="56"/>
  <c r="J25" i="56"/>
  <c r="J29" i="56"/>
  <c r="J47" i="56"/>
  <c r="J15" i="57"/>
  <c r="J17" i="57"/>
  <c r="J19" i="57"/>
  <c r="J21" i="57"/>
  <c r="J25" i="57"/>
  <c r="J29" i="57"/>
  <c r="V41" i="57"/>
  <c r="V49" i="57"/>
  <c r="J55" i="57"/>
  <c r="J63" i="57"/>
  <c r="V69" i="57"/>
  <c r="J77" i="57"/>
  <c r="J80" i="57"/>
  <c r="F23" i="58"/>
  <c r="F27" i="58"/>
  <c r="V34" i="58"/>
  <c r="V38" i="58"/>
  <c r="J42" i="58"/>
  <c r="V46" i="58"/>
  <c r="F58" i="58"/>
  <c r="F59" i="58"/>
  <c r="V62" i="58"/>
  <c r="J66" i="58"/>
  <c r="V70" i="58"/>
  <c r="J80" i="58"/>
  <c r="J83" i="58"/>
  <c r="J71" i="59"/>
  <c r="J69" i="59"/>
  <c r="J59" i="59"/>
  <c r="J73" i="59"/>
  <c r="J61" i="59"/>
  <c r="J63" i="59"/>
  <c r="J66" i="59"/>
  <c r="F23" i="59"/>
  <c r="F27" i="59"/>
  <c r="V30" i="59"/>
  <c r="V34" i="59"/>
  <c r="V38" i="59"/>
  <c r="J42" i="59"/>
  <c r="V46" i="59"/>
  <c r="F50" i="59"/>
  <c r="F51" i="59"/>
  <c r="J52" i="59"/>
  <c r="V54" i="59"/>
  <c r="J57" i="59"/>
  <c r="L61" i="59"/>
  <c r="N61" i="59" s="1"/>
  <c r="J67" i="59"/>
  <c r="R73" i="59"/>
  <c r="X12" i="60"/>
  <c r="R16" i="62"/>
  <c r="F42" i="63"/>
  <c r="F62" i="63"/>
  <c r="F90" i="63"/>
  <c r="L67" i="75"/>
  <c r="N67" i="75" s="1"/>
  <c r="V25" i="55"/>
  <c r="V35" i="55"/>
  <c r="V37" i="55"/>
  <c r="V40" i="55"/>
  <c r="J34" i="56"/>
  <c r="J38" i="56"/>
  <c r="J46" i="56"/>
  <c r="J58" i="56"/>
  <c r="J66" i="56"/>
  <c r="J74" i="56"/>
  <c r="Z12" i="57"/>
  <c r="V22" i="57"/>
  <c r="V26" i="57"/>
  <c r="J34" i="57"/>
  <c r="J38" i="57"/>
  <c r="J46" i="57"/>
  <c r="V50" i="57"/>
  <c r="J54" i="57"/>
  <c r="V58" i="57"/>
  <c r="J62" i="57"/>
  <c r="V66" i="57"/>
  <c r="V68" i="57"/>
  <c r="L12" i="58"/>
  <c r="J23" i="58"/>
  <c r="J27" i="58"/>
  <c r="F32" i="58"/>
  <c r="F36" i="58"/>
  <c r="F40" i="58"/>
  <c r="J41" i="58"/>
  <c r="V47" i="58"/>
  <c r="F51" i="58"/>
  <c r="F52" i="58"/>
  <c r="V55" i="58"/>
  <c r="J59" i="58"/>
  <c r="V63" i="58"/>
  <c r="V71" i="58"/>
  <c r="F78" i="58"/>
  <c r="L12" i="59"/>
  <c r="P16" i="59"/>
  <c r="R20" i="59"/>
  <c r="J23" i="59"/>
  <c r="R24" i="59"/>
  <c r="J27" i="59"/>
  <c r="R28" i="59"/>
  <c r="F32" i="59"/>
  <c r="F36" i="59"/>
  <c r="F40" i="59"/>
  <c r="J41" i="59"/>
  <c r="R44" i="59"/>
  <c r="X46" i="59"/>
  <c r="J51" i="59"/>
  <c r="L52" i="59"/>
  <c r="N52" i="59" s="1"/>
  <c r="F56" i="59"/>
  <c r="V73" i="59"/>
  <c r="J78" i="59"/>
  <c r="J33" i="60"/>
  <c r="N18" i="61"/>
  <c r="T16" i="62"/>
  <c r="Z46" i="63"/>
  <c r="F79" i="63"/>
  <c r="N86" i="63"/>
  <c r="V22" i="55"/>
  <c r="J45" i="56"/>
  <c r="J57" i="56"/>
  <c r="J65" i="56"/>
  <c r="J73" i="56"/>
  <c r="V31" i="57"/>
  <c r="V35" i="57"/>
  <c r="V39" i="57"/>
  <c r="J45" i="57"/>
  <c r="V47" i="57"/>
  <c r="J61" i="57"/>
  <c r="J75" i="57"/>
  <c r="N12" i="58"/>
  <c r="V20" i="58"/>
  <c r="V24" i="58"/>
  <c r="V28" i="58"/>
  <c r="J32" i="58"/>
  <c r="J36" i="58"/>
  <c r="J40" i="58"/>
  <c r="V44" i="58"/>
  <c r="J52" i="58"/>
  <c r="F57" i="58"/>
  <c r="J58" i="58"/>
  <c r="V60" i="58"/>
  <c r="F65" i="58"/>
  <c r="V68" i="58"/>
  <c r="F74" i="58"/>
  <c r="F76" i="58"/>
  <c r="J78" i="58"/>
  <c r="N12" i="59"/>
  <c r="R14" i="59"/>
  <c r="R16" i="59"/>
  <c r="R18" i="59"/>
  <c r="V24" i="59"/>
  <c r="V28" i="59"/>
  <c r="J32" i="59"/>
  <c r="R33" i="59"/>
  <c r="J36" i="59"/>
  <c r="R37" i="59"/>
  <c r="J40" i="59"/>
  <c r="V44" i="59"/>
  <c r="F48" i="59"/>
  <c r="F49" i="59"/>
  <c r="J50" i="59"/>
  <c r="R53" i="59"/>
  <c r="J60" i="59"/>
  <c r="F63" i="59"/>
  <c r="F66" i="59"/>
  <c r="R31" i="60"/>
  <c r="R38" i="60"/>
  <c r="R48" i="60"/>
  <c r="L14" i="61"/>
  <c r="X40" i="61"/>
  <c r="L46" i="61"/>
  <c r="R24" i="62"/>
  <c r="R29" i="62"/>
  <c r="R26" i="62"/>
  <c r="P16" i="62"/>
  <c r="F18" i="63"/>
  <c r="R78" i="59"/>
  <c r="R75" i="59"/>
  <c r="R62" i="59"/>
  <c r="R64" i="59"/>
  <c r="T16" i="59"/>
  <c r="R19" i="59"/>
  <c r="R42" i="59"/>
  <c r="R43" i="59"/>
  <c r="R57" i="59"/>
  <c r="R67" i="59"/>
  <c r="N40" i="60"/>
  <c r="L40" i="60"/>
  <c r="Z40" i="61"/>
  <c r="N46" i="61"/>
  <c r="F71" i="63"/>
  <c r="V20" i="55"/>
  <c r="J33" i="56"/>
  <c r="J37" i="56"/>
  <c r="J43" i="56"/>
  <c r="J55" i="56"/>
  <c r="J63" i="56"/>
  <c r="J71" i="56"/>
  <c r="V21" i="57"/>
  <c r="V25" i="57"/>
  <c r="V29" i="57"/>
  <c r="J33" i="57"/>
  <c r="J37" i="57"/>
  <c r="J43" i="57"/>
  <c r="J53" i="57"/>
  <c r="V57" i="57"/>
  <c r="V65" i="57"/>
  <c r="J73" i="57"/>
  <c r="V14" i="58"/>
  <c r="V16" i="58"/>
  <c r="V18" i="58"/>
  <c r="J22" i="58"/>
  <c r="J26" i="58"/>
  <c r="F30" i="58"/>
  <c r="F31" i="58"/>
  <c r="F35" i="58"/>
  <c r="F39" i="58"/>
  <c r="V42" i="58"/>
  <c r="J50" i="58"/>
  <c r="V54" i="58"/>
  <c r="V66" i="58"/>
  <c r="J74" i="58"/>
  <c r="J76" i="58"/>
  <c r="V63" i="59"/>
  <c r="V66" i="59"/>
  <c r="V71" i="59"/>
  <c r="V69" i="59"/>
  <c r="V67" i="59"/>
  <c r="V59" i="59"/>
  <c r="V60" i="59"/>
  <c r="V14" i="59"/>
  <c r="V16" i="59"/>
  <c r="V18" i="59"/>
  <c r="J22" i="59"/>
  <c r="R23" i="59"/>
  <c r="J26" i="59"/>
  <c r="R27" i="59"/>
  <c r="F30" i="59"/>
  <c r="F31" i="59"/>
  <c r="F35" i="59"/>
  <c r="F39" i="59"/>
  <c r="V42" i="59"/>
  <c r="F46" i="59"/>
  <c r="F47" i="59"/>
  <c r="J48" i="59"/>
  <c r="R51" i="59"/>
  <c r="R52" i="59"/>
  <c r="F55" i="59"/>
  <c r="V57" i="59"/>
  <c r="F59" i="59"/>
  <c r="V61" i="59"/>
  <c r="L66" i="59"/>
  <c r="N66" i="59" s="1"/>
  <c r="V78" i="59"/>
  <c r="Z42" i="61"/>
  <c r="L65" i="63"/>
  <c r="N65" i="63" s="1"/>
  <c r="J42" i="56"/>
  <c r="J54" i="56"/>
  <c r="J62" i="56"/>
  <c r="J70" i="56"/>
  <c r="T17" i="57"/>
  <c r="V30" i="57"/>
  <c r="V34" i="57"/>
  <c r="V38" i="57"/>
  <c r="J42" i="57"/>
  <c r="V46" i="57"/>
  <c r="J52" i="57"/>
  <c r="V54" i="57"/>
  <c r="V62" i="57"/>
  <c r="J71" i="57"/>
  <c r="X18" i="58"/>
  <c r="Z18" i="58" s="1"/>
  <c r="J31" i="58"/>
  <c r="J35" i="58"/>
  <c r="J39" i="58"/>
  <c r="V43" i="58"/>
  <c r="F47" i="58"/>
  <c r="F48" i="58"/>
  <c r="J49" i="58"/>
  <c r="X54" i="58"/>
  <c r="F56" i="58"/>
  <c r="V59" i="58"/>
  <c r="F63" i="58"/>
  <c r="F64" i="58"/>
  <c r="V67" i="58"/>
  <c r="F71" i="58"/>
  <c r="L74" i="58"/>
  <c r="X12" i="59"/>
  <c r="X14" i="59"/>
  <c r="X18" i="59"/>
  <c r="Z18" i="59" s="1"/>
  <c r="J31" i="59"/>
  <c r="R32" i="59"/>
  <c r="J35" i="59"/>
  <c r="R36" i="59"/>
  <c r="J39" i="59"/>
  <c r="R40" i="59"/>
  <c r="R41" i="59"/>
  <c r="V43" i="59"/>
  <c r="J47" i="59"/>
  <c r="L48" i="59"/>
  <c r="V51" i="59"/>
  <c r="J55" i="59"/>
  <c r="R60" i="59"/>
  <c r="R63" i="59"/>
  <c r="J65" i="59"/>
  <c r="R40" i="60"/>
  <c r="P60" i="61"/>
  <c r="X16" i="61"/>
  <c r="F14" i="63"/>
  <c r="F41" i="63"/>
  <c r="V14" i="55"/>
  <c r="V16" i="55"/>
  <c r="J23" i="56"/>
  <c r="J27" i="56"/>
  <c r="J41" i="56"/>
  <c r="J53" i="56"/>
  <c r="J61" i="56"/>
  <c r="V15" i="57"/>
  <c r="V17" i="57"/>
  <c r="V19" i="57"/>
  <c r="J51" i="57"/>
  <c r="V55" i="57"/>
  <c r="J59" i="57"/>
  <c r="V63" i="57"/>
  <c r="V75" i="57"/>
  <c r="V77" i="57"/>
  <c r="J56" i="58"/>
  <c r="J64" i="58"/>
  <c r="V78" i="58"/>
  <c r="V80" i="58"/>
  <c r="F45" i="59"/>
  <c r="R49" i="59"/>
  <c r="R50" i="59"/>
  <c r="X56" i="59"/>
  <c r="Z56" i="59" s="1"/>
  <c r="R71" i="59"/>
  <c r="J75" i="59"/>
  <c r="N42" i="60"/>
  <c r="F61" i="63"/>
  <c r="F78" i="63"/>
  <c r="Z69" i="68"/>
  <c r="X69" i="68"/>
  <c r="V41" i="60"/>
  <c r="X12" i="61"/>
  <c r="X14" i="61"/>
  <c r="V19" i="61"/>
  <c r="V23" i="61"/>
  <c r="V27" i="61"/>
  <c r="J31" i="61"/>
  <c r="R32" i="61"/>
  <c r="J35" i="61"/>
  <c r="R36" i="61"/>
  <c r="J39" i="61"/>
  <c r="V43" i="61"/>
  <c r="J51" i="61"/>
  <c r="V55" i="61"/>
  <c r="F62" i="61"/>
  <c r="L12" i="62"/>
  <c r="J21" i="63"/>
  <c r="R22" i="63"/>
  <c r="J25" i="63"/>
  <c r="R26" i="63"/>
  <c r="J29" i="63"/>
  <c r="V41" i="63"/>
  <c r="J45" i="63"/>
  <c r="V49" i="63"/>
  <c r="J55" i="63"/>
  <c r="R58" i="63"/>
  <c r="R59" i="63"/>
  <c r="V61" i="63"/>
  <c r="J67" i="63"/>
  <c r="V69" i="63"/>
  <c r="J73" i="63"/>
  <c r="R74" i="63"/>
  <c r="V81" i="63"/>
  <c r="V85" i="63"/>
  <c r="R94" i="63"/>
  <c r="V97" i="63"/>
  <c r="N47" i="68"/>
  <c r="L47" i="68"/>
  <c r="X87" i="68"/>
  <c r="Z87" i="68" s="1"/>
  <c r="Z51" i="69"/>
  <c r="X51" i="69"/>
  <c r="N85" i="70"/>
  <c r="X93" i="70"/>
  <c r="Z93" i="70" s="1"/>
  <c r="R56" i="72"/>
  <c r="R55" i="72"/>
  <c r="R39" i="72"/>
  <c r="R35" i="72"/>
  <c r="R63" i="72"/>
  <c r="R62" i="72"/>
  <c r="R47" i="72"/>
  <c r="R46" i="72"/>
  <c r="R30" i="72"/>
  <c r="R26" i="72"/>
  <c r="X12" i="72"/>
  <c r="R57" i="72"/>
  <c r="R22" i="72"/>
  <c r="R65" i="72"/>
  <c r="R64" i="72"/>
  <c r="R32" i="72"/>
  <c r="R31" i="72"/>
  <c r="R27" i="72"/>
  <c r="R23" i="72"/>
  <c r="P19" i="72"/>
  <c r="R52" i="72"/>
  <c r="R60" i="72"/>
  <c r="R59" i="72"/>
  <c r="R45" i="72"/>
  <c r="R44" i="72"/>
  <c r="R48" i="72"/>
  <c r="R43" i="72"/>
  <c r="R72" i="72"/>
  <c r="R40" i="72"/>
  <c r="R38" i="72"/>
  <c r="R29" i="72"/>
  <c r="R19" i="72"/>
  <c r="R54" i="72"/>
  <c r="R49" i="72"/>
  <c r="R25" i="72"/>
  <c r="R61" i="72"/>
  <c r="R36" i="72"/>
  <c r="R34" i="72"/>
  <c r="R21" i="72"/>
  <c r="R77" i="72"/>
  <c r="R70" i="72"/>
  <c r="R66" i="72"/>
  <c r="R41" i="72"/>
  <c r="R15" i="72"/>
  <c r="R50" i="72"/>
  <c r="R16" i="72"/>
  <c r="R37" i="72"/>
  <c r="R28" i="72"/>
  <c r="R51" i="72"/>
  <c r="R33" i="72"/>
  <c r="J47" i="72"/>
  <c r="F74" i="75"/>
  <c r="F73" i="75"/>
  <c r="F50" i="75"/>
  <c r="F46" i="75"/>
  <c r="F42" i="75"/>
  <c r="F69" i="75"/>
  <c r="F61" i="75"/>
  <c r="F37" i="75"/>
  <c r="F33" i="75"/>
  <c r="F76" i="75"/>
  <c r="F75" i="75"/>
  <c r="F52" i="75"/>
  <c r="F51" i="75"/>
  <c r="F63" i="75"/>
  <c r="F62" i="75"/>
  <c r="F47" i="75"/>
  <c r="F43" i="75"/>
  <c r="F79" i="75"/>
  <c r="F70" i="75"/>
  <c r="F54" i="75"/>
  <c r="F53" i="75"/>
  <c r="F38" i="75"/>
  <c r="F34" i="75"/>
  <c r="F64" i="75"/>
  <c r="F56" i="75"/>
  <c r="F55" i="75"/>
  <c r="F48" i="75"/>
  <c r="F44" i="75"/>
  <c r="F83" i="75"/>
  <c r="F71" i="75"/>
  <c r="F39" i="75"/>
  <c r="F35" i="75"/>
  <c r="F31" i="75"/>
  <c r="F30" i="75"/>
  <c r="F66" i="75"/>
  <c r="F65" i="75"/>
  <c r="F58" i="75"/>
  <c r="F57" i="75"/>
  <c r="F29" i="75"/>
  <c r="F25" i="75"/>
  <c r="L12" i="75"/>
  <c r="D27" i="75"/>
  <c r="F60" i="75"/>
  <c r="F41" i="75"/>
  <c r="F68" i="75"/>
  <c r="F45" i="75"/>
  <c r="F32" i="75"/>
  <c r="F67" i="75"/>
  <c r="F40" i="75"/>
  <c r="F72" i="75"/>
  <c r="Z73" i="75"/>
  <c r="J65" i="63"/>
  <c r="J71" i="63"/>
  <c r="J79" i="63"/>
  <c r="J83" i="63"/>
  <c r="J91" i="63"/>
  <c r="R92" i="63"/>
  <c r="R93" i="63"/>
  <c r="Z47" i="68"/>
  <c r="V71" i="68"/>
  <c r="L103" i="70"/>
  <c r="N103" i="70" s="1"/>
  <c r="Z125" i="74"/>
  <c r="X125" i="74"/>
  <c r="V125" i="74"/>
  <c r="V40" i="60"/>
  <c r="V48" i="60"/>
  <c r="F14" i="61"/>
  <c r="F16" i="61"/>
  <c r="F18" i="61"/>
  <c r="V22" i="61"/>
  <c r="V26" i="61"/>
  <c r="J30" i="61"/>
  <c r="R31" i="61"/>
  <c r="J34" i="61"/>
  <c r="R35" i="61"/>
  <c r="J38" i="61"/>
  <c r="R39" i="61"/>
  <c r="R40" i="61"/>
  <c r="V42" i="61"/>
  <c r="F46" i="61"/>
  <c r="F47" i="61"/>
  <c r="J48" i="61"/>
  <c r="R51" i="61"/>
  <c r="R52" i="61"/>
  <c r="J58" i="61"/>
  <c r="J60" i="61"/>
  <c r="R64" i="61"/>
  <c r="R67" i="61"/>
  <c r="V14" i="62"/>
  <c r="V16" i="62"/>
  <c r="V18" i="62"/>
  <c r="V20" i="62"/>
  <c r="F26" i="62"/>
  <c r="F29" i="62"/>
  <c r="J14" i="63"/>
  <c r="J16" i="63"/>
  <c r="J18" i="63"/>
  <c r="J20" i="63"/>
  <c r="R21" i="63"/>
  <c r="J24" i="63"/>
  <c r="R25" i="63"/>
  <c r="J28" i="63"/>
  <c r="R29" i="63"/>
  <c r="R30" i="63"/>
  <c r="J44" i="63"/>
  <c r="R45" i="63"/>
  <c r="R46" i="63"/>
  <c r="V48" i="63"/>
  <c r="J52" i="63"/>
  <c r="V56" i="63"/>
  <c r="J64" i="63"/>
  <c r="V68" i="63"/>
  <c r="R73" i="63"/>
  <c r="J78" i="63"/>
  <c r="V80" i="63"/>
  <c r="V84" i="63"/>
  <c r="J90" i="63"/>
  <c r="V92" i="63"/>
  <c r="J102" i="63"/>
  <c r="P12" i="68"/>
  <c r="V27" i="68"/>
  <c r="V60" i="68"/>
  <c r="V79" i="68"/>
  <c r="J32" i="69"/>
  <c r="N61" i="69"/>
  <c r="L61" i="69"/>
  <c r="P12" i="70"/>
  <c r="X14" i="70"/>
  <c r="X85" i="70"/>
  <c r="Z85" i="70" s="1"/>
  <c r="R53" i="72"/>
  <c r="V85" i="68"/>
  <c r="V73" i="68"/>
  <c r="V61" i="68"/>
  <c r="V45" i="68"/>
  <c r="V41" i="68"/>
  <c r="V80" i="68"/>
  <c r="V72" i="68"/>
  <c r="V64" i="68"/>
  <c r="V32" i="68"/>
  <c r="V28" i="68"/>
  <c r="V87" i="68"/>
  <c r="V63" i="68"/>
  <c r="V55" i="68"/>
  <c r="V51" i="68"/>
  <c r="V47" i="68"/>
  <c r="V81" i="68"/>
  <c r="V65" i="68"/>
  <c r="V37" i="68"/>
  <c r="V35" i="68"/>
  <c r="V33" i="68"/>
  <c r="V29" i="68"/>
  <c r="V25" i="68"/>
  <c r="V90" i="68"/>
  <c r="V88" i="68"/>
  <c r="V76" i="68"/>
  <c r="V75" i="68"/>
  <c r="V67" i="68"/>
  <c r="V43" i="68"/>
  <c r="V39" i="68"/>
  <c r="V82" i="68"/>
  <c r="V66" i="68"/>
  <c r="V58" i="68"/>
  <c r="V30" i="68"/>
  <c r="V26" i="68"/>
  <c r="V77" i="68"/>
  <c r="V69" i="68"/>
  <c r="V57" i="68"/>
  <c r="V53" i="68"/>
  <c r="V49" i="68"/>
  <c r="V78" i="68"/>
  <c r="V70" i="68"/>
  <c r="V62" i="68"/>
  <c r="V54" i="68"/>
  <c r="V50" i="68"/>
  <c r="V31" i="68"/>
  <c r="N45" i="69"/>
  <c r="L45" i="69"/>
  <c r="N15" i="72"/>
  <c r="R49" i="61"/>
  <c r="R50" i="61"/>
  <c r="V62" i="61"/>
  <c r="V64" i="61"/>
  <c r="V67" i="61"/>
  <c r="J42" i="63"/>
  <c r="J50" i="63"/>
  <c r="J62" i="63"/>
  <c r="J70" i="63"/>
  <c r="R71" i="63"/>
  <c r="R72" i="63"/>
  <c r="J76" i="63"/>
  <c r="R79" i="63"/>
  <c r="J82" i="63"/>
  <c r="R83" i="63"/>
  <c r="J88" i="63"/>
  <c r="R91" i="63"/>
  <c r="J100" i="63"/>
  <c r="R104" i="63"/>
  <c r="R107" i="63"/>
  <c r="X25" i="68"/>
  <c r="Z25" i="68" s="1"/>
  <c r="N84" i="68"/>
  <c r="V86" i="68"/>
  <c r="T118" i="70"/>
  <c r="V118" i="70" s="1"/>
  <c r="V47" i="60"/>
  <c r="V21" i="61"/>
  <c r="V25" i="61"/>
  <c r="R30" i="61"/>
  <c r="J33" i="61"/>
  <c r="R34" i="61"/>
  <c r="J37" i="61"/>
  <c r="R38" i="61"/>
  <c r="J45" i="61"/>
  <c r="V49" i="61"/>
  <c r="F54" i="61"/>
  <c r="J55" i="61"/>
  <c r="D16" i="62"/>
  <c r="F24" i="62"/>
  <c r="P16" i="63"/>
  <c r="R20" i="63"/>
  <c r="J23" i="63"/>
  <c r="R24" i="63"/>
  <c r="J27" i="63"/>
  <c r="R28" i="63"/>
  <c r="J41" i="63"/>
  <c r="R44" i="63"/>
  <c r="R52" i="63"/>
  <c r="R53" i="63"/>
  <c r="V55" i="63"/>
  <c r="J61" i="63"/>
  <c r="R64" i="63"/>
  <c r="R65" i="63"/>
  <c r="V67" i="63"/>
  <c r="V71" i="63"/>
  <c r="J75" i="63"/>
  <c r="V79" i="63"/>
  <c r="V83" i="63"/>
  <c r="J87" i="63"/>
  <c r="V91" i="63"/>
  <c r="J98" i="63"/>
  <c r="R102" i="63"/>
  <c r="D12" i="68"/>
  <c r="L13" i="68"/>
  <c r="X37" i="68"/>
  <c r="Z37" i="68" s="1"/>
  <c r="V46" i="68"/>
  <c r="V59" i="68"/>
  <c r="V68" i="68"/>
  <c r="V74" i="68"/>
  <c r="F70" i="72"/>
  <c r="F68" i="72"/>
  <c r="F59" i="72"/>
  <c r="F72" i="72"/>
  <c r="F42" i="72"/>
  <c r="F38" i="72"/>
  <c r="F34" i="72"/>
  <c r="F61" i="72"/>
  <c r="F60" i="72"/>
  <c r="F53" i="72"/>
  <c r="F29" i="72"/>
  <c r="F25" i="72"/>
  <c r="F77" i="72"/>
  <c r="F74" i="72"/>
  <c r="F55" i="72"/>
  <c r="F54" i="72"/>
  <c r="F39" i="72"/>
  <c r="F35" i="72"/>
  <c r="F64" i="72"/>
  <c r="F63" i="72"/>
  <c r="F48" i="72"/>
  <c r="F47" i="72"/>
  <c r="F40" i="72"/>
  <c r="F36" i="72"/>
  <c r="F31" i="72"/>
  <c r="F27" i="72"/>
  <c r="F23" i="72"/>
  <c r="F22" i="72"/>
  <c r="F52" i="72"/>
  <c r="F51" i="72"/>
  <c r="F28" i="72"/>
  <c r="F24" i="72"/>
  <c r="F45" i="72"/>
  <c r="F37" i="72"/>
  <c r="F58" i="72"/>
  <c r="F17" i="72"/>
  <c r="F33" i="72"/>
  <c r="F65" i="72"/>
  <c r="F56" i="72"/>
  <c r="F46" i="72"/>
  <c r="F43" i="72"/>
  <c r="F19" i="72"/>
  <c r="F49" i="72"/>
  <c r="F44" i="72"/>
  <c r="D19" i="72"/>
  <c r="F66" i="72"/>
  <c r="F57" i="72"/>
  <c r="F30" i="72"/>
  <c r="L12" i="72"/>
  <c r="N12" i="72" s="1"/>
  <c r="F62" i="72"/>
  <c r="F16" i="72"/>
  <c r="Z15" i="72"/>
  <c r="F59" i="75"/>
  <c r="V28" i="60"/>
  <c r="V52" i="60"/>
  <c r="L19" i="61"/>
  <c r="N19" i="61" s="1"/>
  <c r="F23" i="61"/>
  <c r="F27" i="61"/>
  <c r="V30" i="61"/>
  <c r="V34" i="61"/>
  <c r="V38" i="61"/>
  <c r="F42" i="61"/>
  <c r="F43" i="61"/>
  <c r="J44" i="61"/>
  <c r="R47" i="61"/>
  <c r="R48" i="61"/>
  <c r="V50" i="61"/>
  <c r="J54" i="61"/>
  <c r="L55" i="61"/>
  <c r="R58" i="61"/>
  <c r="R60" i="61"/>
  <c r="F14" i="62"/>
  <c r="F16" i="62"/>
  <c r="F18" i="62"/>
  <c r="F20" i="62"/>
  <c r="J24" i="62"/>
  <c r="N12" i="63"/>
  <c r="R14" i="63"/>
  <c r="R16" i="63"/>
  <c r="R18" i="63"/>
  <c r="J32" i="63"/>
  <c r="R33" i="63"/>
  <c r="J36" i="63"/>
  <c r="R37" i="63"/>
  <c r="J40" i="63"/>
  <c r="L41" i="63"/>
  <c r="V44" i="63"/>
  <c r="V52" i="63"/>
  <c r="X55" i="63"/>
  <c r="J60" i="63"/>
  <c r="L61" i="63"/>
  <c r="N61" i="63" s="1"/>
  <c r="V64" i="63"/>
  <c r="X67" i="63"/>
  <c r="Z67" i="63" s="1"/>
  <c r="V72" i="63"/>
  <c r="R77" i="63"/>
  <c r="R78" i="63"/>
  <c r="J86" i="63"/>
  <c r="R89" i="63"/>
  <c r="R90" i="63"/>
  <c r="J96" i="63"/>
  <c r="J97" i="63"/>
  <c r="V102" i="63"/>
  <c r="V104" i="63"/>
  <c r="V107" i="63"/>
  <c r="V44" i="68"/>
  <c r="V48" i="68"/>
  <c r="V52" i="68"/>
  <c r="J57" i="69"/>
  <c r="J49" i="69"/>
  <c r="J39" i="69"/>
  <c r="J35" i="69"/>
  <c r="J31" i="69"/>
  <c r="J21" i="69"/>
  <c r="J68" i="69"/>
  <c r="J58" i="69"/>
  <c r="J50" i="69"/>
  <c r="J26" i="69"/>
  <c r="J22" i="69"/>
  <c r="J20" i="69"/>
  <c r="J18" i="69"/>
  <c r="N12" i="69"/>
  <c r="J51" i="69"/>
  <c r="H18" i="69"/>
  <c r="J73" i="69"/>
  <c r="J70" i="69"/>
  <c r="J52" i="69"/>
  <c r="J40" i="69"/>
  <c r="J36" i="69"/>
  <c r="J59" i="69"/>
  <c r="J41" i="69"/>
  <c r="J27" i="69"/>
  <c r="J23" i="69"/>
  <c r="J42" i="69"/>
  <c r="J53" i="69"/>
  <c r="J43" i="69"/>
  <c r="J37" i="69"/>
  <c r="J33" i="69"/>
  <c r="J60" i="69"/>
  <c r="J54" i="69"/>
  <c r="J44" i="69"/>
  <c r="J28" i="69"/>
  <c r="J24" i="69"/>
  <c r="J61" i="69"/>
  <c r="J55" i="69"/>
  <c r="J45" i="69"/>
  <c r="J66" i="69"/>
  <c r="J64" i="69"/>
  <c r="J56" i="69"/>
  <c r="J48" i="69"/>
  <c r="J30" i="69"/>
  <c r="J16" i="69"/>
  <c r="D12" i="70"/>
  <c r="J72" i="72"/>
  <c r="J60" i="72"/>
  <c r="J42" i="72"/>
  <c r="J38" i="72"/>
  <c r="J34" i="72"/>
  <c r="J61" i="72"/>
  <c r="J53" i="72"/>
  <c r="J43" i="72"/>
  <c r="J29" i="72"/>
  <c r="J25" i="72"/>
  <c r="J15" i="72"/>
  <c r="J54" i="72"/>
  <c r="J44" i="72"/>
  <c r="J62" i="72"/>
  <c r="J56" i="72"/>
  <c r="J46" i="72"/>
  <c r="J30" i="72"/>
  <c r="J26" i="72"/>
  <c r="J65" i="72"/>
  <c r="J49" i="72"/>
  <c r="J31" i="72"/>
  <c r="J66" i="72"/>
  <c r="J58" i="72"/>
  <c r="J50" i="72"/>
  <c r="J32" i="72"/>
  <c r="J59" i="72"/>
  <c r="J68" i="72"/>
  <c r="J35" i="72"/>
  <c r="J51" i="72"/>
  <c r="J17" i="72"/>
  <c r="J33" i="72"/>
  <c r="J63" i="72"/>
  <c r="J48" i="72"/>
  <c r="J40" i="72"/>
  <c r="J19" i="72"/>
  <c r="J27" i="72"/>
  <c r="J23" i="72"/>
  <c r="H19" i="72"/>
  <c r="J36" i="72"/>
  <c r="J57" i="72"/>
  <c r="J52" i="72"/>
  <c r="J41" i="72"/>
  <c r="J21" i="72"/>
  <c r="J37" i="72"/>
  <c r="J28" i="72"/>
  <c r="J24" i="72"/>
  <c r="J22" i="72"/>
  <c r="L59" i="75"/>
  <c r="N59" i="75" s="1"/>
  <c r="F74" i="76"/>
  <c r="F93" i="76"/>
  <c r="F92" i="76"/>
  <c r="F85" i="76"/>
  <c r="F84" i="76"/>
  <c r="F76" i="76"/>
  <c r="F95" i="76"/>
  <c r="F94" i="76"/>
  <c r="F87" i="76"/>
  <c r="F86" i="76"/>
  <c r="F78" i="76"/>
  <c r="F77" i="76"/>
  <c r="F98" i="76"/>
  <c r="F89" i="76"/>
  <c r="F88" i="76"/>
  <c r="F99" i="76"/>
  <c r="F97" i="76"/>
  <c r="F80" i="76"/>
  <c r="F79" i="76"/>
  <c r="F103" i="76"/>
  <c r="F81" i="76"/>
  <c r="F91" i="76"/>
  <c r="F83" i="76"/>
  <c r="F82" i="76"/>
  <c r="F43" i="76"/>
  <c r="F39" i="76"/>
  <c r="F35" i="76"/>
  <c r="F70" i="76"/>
  <c r="F66" i="76"/>
  <c r="F62" i="76"/>
  <c r="F75" i="76"/>
  <c r="F57" i="76"/>
  <c r="F53" i="76"/>
  <c r="F71" i="76"/>
  <c r="F44" i="76"/>
  <c r="F40" i="76"/>
  <c r="F36" i="76"/>
  <c r="F72" i="76"/>
  <c r="F67" i="76"/>
  <c r="F63" i="76"/>
  <c r="F58" i="76"/>
  <c r="F54" i="76"/>
  <c r="F50" i="76"/>
  <c r="F49" i="76"/>
  <c r="F48" i="76"/>
  <c r="F41" i="76"/>
  <c r="F37" i="76"/>
  <c r="F33" i="76"/>
  <c r="F32" i="76"/>
  <c r="F68" i="76"/>
  <c r="F64" i="76"/>
  <c r="D46" i="76"/>
  <c r="L12" i="76"/>
  <c r="N12" i="76" s="1"/>
  <c r="F90" i="76"/>
  <c r="F73" i="76"/>
  <c r="F59" i="76"/>
  <c r="F55" i="76"/>
  <c r="F51" i="76"/>
  <c r="F56" i="76"/>
  <c r="F52" i="76"/>
  <c r="F69" i="76"/>
  <c r="F60" i="76"/>
  <c r="F42" i="76"/>
  <c r="F38" i="76"/>
  <c r="F34" i="76"/>
  <c r="F65" i="76"/>
  <c r="R20" i="61"/>
  <c r="R24" i="61"/>
  <c r="R28" i="61"/>
  <c r="R29" i="61"/>
  <c r="V47" i="61"/>
  <c r="R56" i="61"/>
  <c r="H16" i="62"/>
  <c r="T16" i="63"/>
  <c r="R19" i="63"/>
  <c r="R42" i="63"/>
  <c r="R43" i="63"/>
  <c r="J49" i="63"/>
  <c r="R50" i="63"/>
  <c r="R51" i="63"/>
  <c r="V53" i="63"/>
  <c r="J59" i="63"/>
  <c r="R62" i="63"/>
  <c r="R63" i="63"/>
  <c r="V65" i="63"/>
  <c r="J69" i="63"/>
  <c r="R70" i="63"/>
  <c r="V77" i="63"/>
  <c r="J81" i="63"/>
  <c r="R82" i="63"/>
  <c r="J85" i="63"/>
  <c r="V89" i="63"/>
  <c r="V42" i="68"/>
  <c r="V56" i="68"/>
  <c r="Z84" i="68"/>
  <c r="V94" i="68"/>
  <c r="J62" i="69"/>
  <c r="N109" i="70"/>
  <c r="X30" i="74"/>
  <c r="R70" i="75"/>
  <c r="R55" i="75"/>
  <c r="R54" i="75"/>
  <c r="R38" i="75"/>
  <c r="R34" i="75"/>
  <c r="R30" i="75"/>
  <c r="R65" i="75"/>
  <c r="R64" i="75"/>
  <c r="R57" i="75"/>
  <c r="R56" i="75"/>
  <c r="R48" i="75"/>
  <c r="R44" i="75"/>
  <c r="R29" i="75"/>
  <c r="R25" i="75"/>
  <c r="R83" i="75"/>
  <c r="R71" i="75"/>
  <c r="R40" i="75"/>
  <c r="R39" i="75"/>
  <c r="R35" i="75"/>
  <c r="R31" i="75"/>
  <c r="P27" i="75"/>
  <c r="R67" i="75"/>
  <c r="R66" i="75"/>
  <c r="R59" i="75"/>
  <c r="R58" i="75"/>
  <c r="X12" i="75"/>
  <c r="R49" i="75"/>
  <c r="R45" i="75"/>
  <c r="R41" i="75"/>
  <c r="R73" i="75"/>
  <c r="R72" i="75"/>
  <c r="R68" i="75"/>
  <c r="R60" i="75"/>
  <c r="R36" i="75"/>
  <c r="R32" i="75"/>
  <c r="R75" i="75"/>
  <c r="R74" i="75"/>
  <c r="R51" i="75"/>
  <c r="R50" i="75"/>
  <c r="R46" i="75"/>
  <c r="R42" i="75"/>
  <c r="R79" i="75"/>
  <c r="R78" i="75"/>
  <c r="R63" i="75"/>
  <c r="R47" i="75"/>
  <c r="R43" i="75"/>
  <c r="R62" i="75"/>
  <c r="R37" i="75"/>
  <c r="R52" i="75"/>
  <c r="R76" i="75"/>
  <c r="R53" i="75"/>
  <c r="R61" i="75"/>
  <c r="V14" i="60"/>
  <c r="V16" i="60"/>
  <c r="V18" i="60"/>
  <c r="N12" i="61"/>
  <c r="R14" i="61"/>
  <c r="R16" i="61"/>
  <c r="R18" i="61"/>
  <c r="V20" i="61"/>
  <c r="V24" i="61"/>
  <c r="V28" i="61"/>
  <c r="J32" i="61"/>
  <c r="R33" i="61"/>
  <c r="J36" i="61"/>
  <c r="R37" i="61"/>
  <c r="F40" i="61"/>
  <c r="F41" i="61"/>
  <c r="J42" i="61"/>
  <c r="R45" i="61"/>
  <c r="R46" i="61"/>
  <c r="V48" i="61"/>
  <c r="F52" i="61"/>
  <c r="F53" i="61"/>
  <c r="V56" i="61"/>
  <c r="V58" i="61"/>
  <c r="V60" i="61"/>
  <c r="F64" i="61"/>
  <c r="F67" i="61"/>
  <c r="J14" i="62"/>
  <c r="J16" i="62"/>
  <c r="J18" i="62"/>
  <c r="J20" i="62"/>
  <c r="V14" i="63"/>
  <c r="V16" i="63"/>
  <c r="V18" i="63"/>
  <c r="J22" i="63"/>
  <c r="R23" i="63"/>
  <c r="J26" i="63"/>
  <c r="R27" i="63"/>
  <c r="V42" i="63"/>
  <c r="J48" i="63"/>
  <c r="V50" i="63"/>
  <c r="J58" i="63"/>
  <c r="V62" i="63"/>
  <c r="V70" i="63"/>
  <c r="J74" i="63"/>
  <c r="R75" i="63"/>
  <c r="R76" i="63"/>
  <c r="V78" i="63"/>
  <c r="V82" i="63"/>
  <c r="R87" i="63"/>
  <c r="R88" i="63"/>
  <c r="V90" i="63"/>
  <c r="J94" i="63"/>
  <c r="R100" i="63"/>
  <c r="N38" i="68"/>
  <c r="L38" i="68"/>
  <c r="L69" i="68"/>
  <c r="V84" i="68"/>
  <c r="J15" i="69"/>
  <c r="J46" i="69"/>
  <c r="N53" i="70"/>
  <c r="Z76" i="70"/>
  <c r="N93" i="70"/>
  <c r="J16" i="72"/>
  <c r="F21" i="72"/>
  <c r="F50" i="72"/>
  <c r="X13" i="75"/>
  <c r="Z13" i="75" s="1"/>
  <c r="N48" i="76"/>
  <c r="R19" i="61"/>
  <c r="V33" i="61"/>
  <c r="V37" i="61"/>
  <c r="J41" i="61"/>
  <c r="L42" i="61"/>
  <c r="N42" i="61" s="1"/>
  <c r="V45" i="61"/>
  <c r="X48" i="61"/>
  <c r="Z48" i="61" s="1"/>
  <c r="J53" i="61"/>
  <c r="R54" i="61"/>
  <c r="R55" i="61"/>
  <c r="X58" i="61"/>
  <c r="L14" i="62"/>
  <c r="L18" i="62"/>
  <c r="L20" i="62"/>
  <c r="X12" i="63"/>
  <c r="X14" i="63"/>
  <c r="X18" i="63"/>
  <c r="Z18" i="63" s="1"/>
  <c r="J31" i="63"/>
  <c r="R32" i="63"/>
  <c r="J35" i="63"/>
  <c r="R36" i="63"/>
  <c r="J39" i="63"/>
  <c r="R40" i="63"/>
  <c r="R41" i="63"/>
  <c r="J47" i="63"/>
  <c r="J57" i="63"/>
  <c r="R60" i="63"/>
  <c r="R61" i="63"/>
  <c r="V75" i="63"/>
  <c r="V87" i="63"/>
  <c r="J93" i="63"/>
  <c r="R98" i="63"/>
  <c r="T35" i="68"/>
  <c r="V40" i="68"/>
  <c r="L34" i="70"/>
  <c r="D12" i="74"/>
  <c r="L15" i="74"/>
  <c r="V14" i="61"/>
  <c r="V16" i="61"/>
  <c r="V18" i="61"/>
  <c r="R23" i="61"/>
  <c r="R27" i="61"/>
  <c r="F31" i="61"/>
  <c r="F35" i="61"/>
  <c r="F39" i="61"/>
  <c r="J40" i="61"/>
  <c r="R43" i="61"/>
  <c r="V46" i="61"/>
  <c r="F50" i="61"/>
  <c r="J52" i="61"/>
  <c r="J64" i="61"/>
  <c r="J30" i="63"/>
  <c r="J46" i="63"/>
  <c r="R49" i="63"/>
  <c r="J56" i="63"/>
  <c r="J68" i="63"/>
  <c r="R69" i="63"/>
  <c r="V76" i="63"/>
  <c r="J80" i="63"/>
  <c r="R81" i="63"/>
  <c r="J84" i="63"/>
  <c r="R85" i="63"/>
  <c r="R86" i="63"/>
  <c r="V88" i="63"/>
  <c r="R96" i="63"/>
  <c r="V98" i="63"/>
  <c r="N87" i="68"/>
  <c r="L87" i="68"/>
  <c r="P66" i="69"/>
  <c r="N34" i="70"/>
  <c r="J26" i="68"/>
  <c r="J30" i="68"/>
  <c r="H35" i="68"/>
  <c r="J66" i="68"/>
  <c r="J76" i="68"/>
  <c r="J82" i="68"/>
  <c r="J90" i="68"/>
  <c r="F25" i="69"/>
  <c r="F29" i="69"/>
  <c r="V32" i="69"/>
  <c r="V36" i="69"/>
  <c r="V40" i="69"/>
  <c r="V52" i="69"/>
  <c r="R70" i="69"/>
  <c r="R73" i="69"/>
  <c r="V54" i="70"/>
  <c r="V58" i="70"/>
  <c r="V62" i="70"/>
  <c r="J66" i="70"/>
  <c r="J70" i="70"/>
  <c r="J74" i="70"/>
  <c r="V78" i="70"/>
  <c r="J82" i="70"/>
  <c r="V86" i="70"/>
  <c r="J90" i="70"/>
  <c r="V94" i="70"/>
  <c r="J98" i="70"/>
  <c r="V110" i="70"/>
  <c r="V56" i="72"/>
  <c r="N78" i="74"/>
  <c r="X102" i="74"/>
  <c r="N106" i="74"/>
  <c r="Z49" i="76"/>
  <c r="Z60" i="76"/>
  <c r="J29" i="68"/>
  <c r="J33" i="68"/>
  <c r="J47" i="68"/>
  <c r="J65" i="68"/>
  <c r="J81" i="68"/>
  <c r="J87" i="68"/>
  <c r="R16" i="69"/>
  <c r="T18" i="69"/>
  <c r="R21" i="69"/>
  <c r="F24" i="69"/>
  <c r="F28" i="69"/>
  <c r="V35" i="69"/>
  <c r="V39" i="69"/>
  <c r="F43" i="69"/>
  <c r="F44" i="69"/>
  <c r="R48" i="69"/>
  <c r="R49" i="69"/>
  <c r="V51" i="69"/>
  <c r="R56" i="69"/>
  <c r="R57" i="69"/>
  <c r="F60" i="69"/>
  <c r="V57" i="70"/>
  <c r="V61" i="70"/>
  <c r="J69" i="70"/>
  <c r="J73" i="70"/>
  <c r="V85" i="70"/>
  <c r="J89" i="70"/>
  <c r="V93" i="70"/>
  <c r="J97" i="70"/>
  <c r="J103" i="70"/>
  <c r="V105" i="70"/>
  <c r="V24" i="72"/>
  <c r="Z45" i="72"/>
  <c r="X45" i="72"/>
  <c r="Z68" i="72"/>
  <c r="X68" i="72"/>
  <c r="X78" i="74"/>
  <c r="Z78" i="74" s="1"/>
  <c r="X89" i="74"/>
  <c r="Z89" i="74" s="1"/>
  <c r="Z106" i="74"/>
  <c r="X106" i="74"/>
  <c r="N119" i="74"/>
  <c r="N136" i="74"/>
  <c r="N138" i="74"/>
  <c r="N140" i="74"/>
  <c r="L140" i="74"/>
  <c r="N53" i="75"/>
  <c r="Z67" i="75"/>
  <c r="J42" i="68"/>
  <c r="J46" i="68"/>
  <c r="J64" i="68"/>
  <c r="J74" i="68"/>
  <c r="J86" i="68"/>
  <c r="R25" i="69"/>
  <c r="R29" i="69"/>
  <c r="R30" i="69"/>
  <c r="F33" i="69"/>
  <c r="F37" i="69"/>
  <c r="V48" i="69"/>
  <c r="F53" i="69"/>
  <c r="V56" i="69"/>
  <c r="R64" i="69"/>
  <c r="R66" i="69"/>
  <c r="J38" i="70"/>
  <c r="J42" i="70"/>
  <c r="J46" i="70"/>
  <c r="H51" i="70"/>
  <c r="V66" i="70"/>
  <c r="V70" i="70"/>
  <c r="V74" i="70"/>
  <c r="V82" i="70"/>
  <c r="J88" i="70"/>
  <c r="V90" i="70"/>
  <c r="J96" i="70"/>
  <c r="V98" i="70"/>
  <c r="J102" i="70"/>
  <c r="V106" i="70"/>
  <c r="V28" i="72"/>
  <c r="N32" i="72"/>
  <c r="V37" i="72"/>
  <c r="Z55" i="75"/>
  <c r="Z59" i="75"/>
  <c r="N32" i="76"/>
  <c r="Z48" i="76"/>
  <c r="J51" i="68"/>
  <c r="J55" i="68"/>
  <c r="J63" i="68"/>
  <c r="J73" i="68"/>
  <c r="R15" i="69"/>
  <c r="R34" i="69"/>
  <c r="R38" i="69"/>
  <c r="F41" i="69"/>
  <c r="F42" i="69"/>
  <c r="R46" i="69"/>
  <c r="R47" i="69"/>
  <c r="R62" i="69"/>
  <c r="J51" i="70"/>
  <c r="J53" i="70"/>
  <c r="J55" i="70"/>
  <c r="J59" i="70"/>
  <c r="J63" i="70"/>
  <c r="J79" i="70"/>
  <c r="V83" i="70"/>
  <c r="J87" i="70"/>
  <c r="V91" i="70"/>
  <c r="J95" i="70"/>
  <c r="V99" i="70"/>
  <c r="J112" i="70"/>
  <c r="V62" i="72"/>
  <c r="V46" i="72"/>
  <c r="V30" i="72"/>
  <c r="V26" i="72"/>
  <c r="V22" i="72"/>
  <c r="Z12" i="72"/>
  <c r="V65" i="72"/>
  <c r="V57" i="72"/>
  <c r="V49" i="72"/>
  <c r="V21" i="72"/>
  <c r="V19" i="72"/>
  <c r="V17" i="72"/>
  <c r="V64" i="72"/>
  <c r="V48" i="72"/>
  <c r="V40" i="72"/>
  <c r="V36" i="72"/>
  <c r="V32" i="72"/>
  <c r="V68" i="72"/>
  <c r="V66" i="72"/>
  <c r="V58" i="72"/>
  <c r="V50" i="72"/>
  <c r="V59" i="72"/>
  <c r="V43" i="72"/>
  <c r="V72" i="72"/>
  <c r="V54" i="72"/>
  <c r="V42" i="72"/>
  <c r="V38" i="72"/>
  <c r="V34" i="72"/>
  <c r="V63" i="72"/>
  <c r="V55" i="72"/>
  <c r="V47" i="72"/>
  <c r="V39" i="72"/>
  <c r="V35" i="72"/>
  <c r="V16" i="72"/>
  <c r="X32" i="72"/>
  <c r="N128" i="74"/>
  <c r="L128" i="74"/>
  <c r="J54" i="70"/>
  <c r="J68" i="70"/>
  <c r="J72" i="70"/>
  <c r="J78" i="70"/>
  <c r="V104" i="70"/>
  <c r="J111" i="70"/>
  <c r="V116" i="70"/>
  <c r="Z32" i="72"/>
  <c r="L22" i="75"/>
  <c r="Z53" i="75"/>
  <c r="X53" i="75"/>
  <c r="Z32" i="76"/>
  <c r="R64" i="79"/>
  <c r="R63" i="79"/>
  <c r="R31" i="79"/>
  <c r="R27" i="79"/>
  <c r="R71" i="79"/>
  <c r="R70" i="79"/>
  <c r="R47" i="79"/>
  <c r="R46" i="79"/>
  <c r="R18" i="79"/>
  <c r="R65" i="79"/>
  <c r="R58" i="79"/>
  <c r="R57" i="79"/>
  <c r="R41" i="79"/>
  <c r="R37" i="79"/>
  <c r="R73" i="79"/>
  <c r="R72" i="79"/>
  <c r="R49" i="79"/>
  <c r="R48" i="79"/>
  <c r="R32" i="79"/>
  <c r="R28" i="79"/>
  <c r="R59" i="79"/>
  <c r="R24" i="79"/>
  <c r="R19" i="79"/>
  <c r="R74" i="79"/>
  <c r="R66" i="79"/>
  <c r="R51" i="79"/>
  <c r="R50" i="79"/>
  <c r="R42" i="79"/>
  <c r="R38" i="79"/>
  <c r="R23" i="79"/>
  <c r="X12" i="79"/>
  <c r="Z12" i="79" s="1"/>
  <c r="R76" i="79"/>
  <c r="R34" i="79"/>
  <c r="R33" i="79"/>
  <c r="R29" i="79"/>
  <c r="R25" i="79"/>
  <c r="P21" i="79"/>
  <c r="R61" i="79"/>
  <c r="R60" i="79"/>
  <c r="R53" i="79"/>
  <c r="R52" i="79"/>
  <c r="R80" i="79"/>
  <c r="R62" i="79"/>
  <c r="R55" i="79"/>
  <c r="R54" i="79"/>
  <c r="R30" i="79"/>
  <c r="R26" i="79"/>
  <c r="R56" i="79"/>
  <c r="R45" i="79"/>
  <c r="R44" i="79"/>
  <c r="R40" i="79"/>
  <c r="R36" i="79"/>
  <c r="R17" i="79"/>
  <c r="R69" i="79"/>
  <c r="R67" i="79"/>
  <c r="R43" i="79"/>
  <c r="R35" i="79"/>
  <c r="R68" i="79"/>
  <c r="R39" i="79"/>
  <c r="Z61" i="79"/>
  <c r="J41" i="68"/>
  <c r="J45" i="68"/>
  <c r="J61" i="68"/>
  <c r="J71" i="68"/>
  <c r="J79" i="68"/>
  <c r="J85" i="68"/>
  <c r="V15" i="69"/>
  <c r="D18" i="69"/>
  <c r="R24" i="69"/>
  <c r="R28" i="69"/>
  <c r="F32" i="69"/>
  <c r="F36" i="69"/>
  <c r="F40" i="69"/>
  <c r="R44" i="69"/>
  <c r="R45" i="69"/>
  <c r="V47" i="69"/>
  <c r="F51" i="69"/>
  <c r="F52" i="69"/>
  <c r="V55" i="69"/>
  <c r="R60" i="69"/>
  <c r="R61" i="69"/>
  <c r="J37" i="70"/>
  <c r="J41" i="70"/>
  <c r="J45" i="70"/>
  <c r="J49" i="70"/>
  <c r="V65" i="70"/>
  <c r="V69" i="70"/>
  <c r="V73" i="70"/>
  <c r="J77" i="70"/>
  <c r="V81" i="70"/>
  <c r="V89" i="70"/>
  <c r="V97" i="70"/>
  <c r="J101" i="70"/>
  <c r="J109" i="70"/>
  <c r="J110" i="70"/>
  <c r="V41" i="72"/>
  <c r="V44" i="72"/>
  <c r="V52" i="72"/>
  <c r="N54" i="72"/>
  <c r="N63" i="72"/>
  <c r="L100" i="74"/>
  <c r="N100" i="74" s="1"/>
  <c r="X117" i="74"/>
  <c r="Z117" i="74" s="1"/>
  <c r="Z128" i="74"/>
  <c r="N30" i="75"/>
  <c r="J58" i="70"/>
  <c r="J62" i="70"/>
  <c r="J76" i="70"/>
  <c r="J86" i="70"/>
  <c r="J94" i="70"/>
  <c r="V102" i="70"/>
  <c r="Z21" i="72"/>
  <c r="V61" i="72"/>
  <c r="J27" i="68"/>
  <c r="J31" i="68"/>
  <c r="J59" i="68"/>
  <c r="J69" i="68"/>
  <c r="J83" i="68"/>
  <c r="L12" i="69"/>
  <c r="F21" i="69"/>
  <c r="F22" i="69"/>
  <c r="F26" i="69"/>
  <c r="V33" i="69"/>
  <c r="V37" i="69"/>
  <c r="R42" i="69"/>
  <c r="R43" i="69"/>
  <c r="V45" i="69"/>
  <c r="F49" i="69"/>
  <c r="F50" i="69"/>
  <c r="V53" i="69"/>
  <c r="F57" i="69"/>
  <c r="F58" i="69"/>
  <c r="V61" i="69"/>
  <c r="F68" i="69"/>
  <c r="V55" i="70"/>
  <c r="V59" i="70"/>
  <c r="V63" i="70"/>
  <c r="J67" i="70"/>
  <c r="J71" i="70"/>
  <c r="J75" i="70"/>
  <c r="V79" i="70"/>
  <c r="J85" i="70"/>
  <c r="V87" i="70"/>
  <c r="J93" i="70"/>
  <c r="V95" i="70"/>
  <c r="V103" i="70"/>
  <c r="J107" i="70"/>
  <c r="V23" i="72"/>
  <c r="V25" i="72"/>
  <c r="V27" i="72"/>
  <c r="N51" i="72"/>
  <c r="L51" i="72"/>
  <c r="L56" i="72"/>
  <c r="N56" i="72" s="1"/>
  <c r="L52" i="74"/>
  <c r="N52" i="74" s="1"/>
  <c r="Z100" i="74"/>
  <c r="N144" i="74"/>
  <c r="J75" i="75"/>
  <c r="J69" i="75"/>
  <c r="J61" i="75"/>
  <c r="J51" i="75"/>
  <c r="J37" i="75"/>
  <c r="J33" i="75"/>
  <c r="J76" i="75"/>
  <c r="J62" i="75"/>
  <c r="J52" i="75"/>
  <c r="J63" i="75"/>
  <c r="J53" i="75"/>
  <c r="J47" i="75"/>
  <c r="J43" i="75"/>
  <c r="J79" i="75"/>
  <c r="J78" i="75"/>
  <c r="J70" i="75"/>
  <c r="J54" i="75"/>
  <c r="J38" i="75"/>
  <c r="J34" i="75"/>
  <c r="J55" i="75"/>
  <c r="J64" i="75"/>
  <c r="J56" i="75"/>
  <c r="J48" i="75"/>
  <c r="J44" i="75"/>
  <c r="J30" i="75"/>
  <c r="J83" i="75"/>
  <c r="J71" i="75"/>
  <c r="J65" i="75"/>
  <c r="J57" i="75"/>
  <c r="J39" i="75"/>
  <c r="J35" i="75"/>
  <c r="J31" i="75"/>
  <c r="J29" i="75"/>
  <c r="J25" i="75"/>
  <c r="J66" i="75"/>
  <c r="J58" i="75"/>
  <c r="J40" i="75"/>
  <c r="H27" i="75"/>
  <c r="J27" i="75" s="1"/>
  <c r="N12" i="75"/>
  <c r="J67" i="75"/>
  <c r="J59" i="75"/>
  <c r="J49" i="75"/>
  <c r="J45" i="75"/>
  <c r="J41" i="75"/>
  <c r="J74" i="75"/>
  <c r="J50" i="75"/>
  <c r="J46" i="75"/>
  <c r="J42" i="75"/>
  <c r="L51" i="79"/>
  <c r="N51" i="79" s="1"/>
  <c r="J40" i="68"/>
  <c r="J44" i="68"/>
  <c r="J58" i="68"/>
  <c r="J68" i="68"/>
  <c r="J94" i="68"/>
  <c r="R23" i="69"/>
  <c r="R27" i="69"/>
  <c r="F30" i="69"/>
  <c r="F31" i="69"/>
  <c r="F35" i="69"/>
  <c r="F39" i="69"/>
  <c r="V42" i="69"/>
  <c r="V54" i="69"/>
  <c r="R59" i="69"/>
  <c r="F64" i="69"/>
  <c r="F66" i="69"/>
  <c r="J36" i="70"/>
  <c r="J40" i="70"/>
  <c r="J44" i="70"/>
  <c r="J48" i="70"/>
  <c r="V68" i="70"/>
  <c r="V72" i="70"/>
  <c r="J84" i="70"/>
  <c r="V88" i="70"/>
  <c r="J92" i="70"/>
  <c r="V96" i="70"/>
  <c r="J100" i="70"/>
  <c r="J106" i="70"/>
  <c r="V112" i="70"/>
  <c r="V114" i="70"/>
  <c r="V31" i="72"/>
  <c r="T149" i="74"/>
  <c r="P12" i="76"/>
  <c r="X13" i="76"/>
  <c r="Z13" i="76" s="1"/>
  <c r="L60" i="76"/>
  <c r="N60" i="76" s="1"/>
  <c r="J49" i="68"/>
  <c r="J53" i="68"/>
  <c r="J57" i="68"/>
  <c r="J67" i="68"/>
  <c r="R32" i="69"/>
  <c r="R36" i="69"/>
  <c r="R40" i="69"/>
  <c r="R41" i="69"/>
  <c r="F47" i="69"/>
  <c r="F48" i="69"/>
  <c r="J57" i="70"/>
  <c r="J61" i="70"/>
  <c r="V77" i="70"/>
  <c r="J83" i="70"/>
  <c r="J91" i="70"/>
  <c r="J99" i="70"/>
  <c r="V101" i="70"/>
  <c r="J105" i="70"/>
  <c r="N22" i="72"/>
  <c r="V29" i="72"/>
  <c r="Z56" i="72"/>
  <c r="N108" i="74"/>
  <c r="N110" i="74"/>
  <c r="Z144" i="74"/>
  <c r="X144" i="74"/>
  <c r="Z78" i="75"/>
  <c r="V55" i="74"/>
  <c r="V59" i="74"/>
  <c r="V63" i="74"/>
  <c r="V67" i="74"/>
  <c r="V71" i="74"/>
  <c r="J83" i="74"/>
  <c r="J87" i="74"/>
  <c r="J103" i="74"/>
  <c r="V107" i="74"/>
  <c r="J113" i="74"/>
  <c r="V119" i="74"/>
  <c r="J123" i="74"/>
  <c r="V131" i="74"/>
  <c r="V135" i="74"/>
  <c r="V147" i="74"/>
  <c r="V149" i="74"/>
  <c r="V30" i="75"/>
  <c r="V34" i="75"/>
  <c r="V38" i="75"/>
  <c r="V54" i="75"/>
  <c r="V70" i="75"/>
  <c r="J35" i="76"/>
  <c r="J39" i="76"/>
  <c r="J43" i="76"/>
  <c r="T46" i="76"/>
  <c r="V63" i="76"/>
  <c r="V67" i="76"/>
  <c r="N77" i="76"/>
  <c r="V87" i="76"/>
  <c r="Z34" i="79"/>
  <c r="F72" i="80"/>
  <c r="N57" i="83"/>
  <c r="L57" i="83"/>
  <c r="J57" i="83"/>
  <c r="J52" i="74"/>
  <c r="V54" i="74"/>
  <c r="V58" i="74"/>
  <c r="V62" i="74"/>
  <c r="V66" i="74"/>
  <c r="V70" i="74"/>
  <c r="V74" i="74"/>
  <c r="V76" i="74"/>
  <c r="V78" i="74"/>
  <c r="J82" i="74"/>
  <c r="J86" i="74"/>
  <c r="J100" i="74"/>
  <c r="V106" i="74"/>
  <c r="V114" i="74"/>
  <c r="J122" i="74"/>
  <c r="J128" i="74"/>
  <c r="V130" i="74"/>
  <c r="V134" i="74"/>
  <c r="J140" i="74"/>
  <c r="V142" i="74"/>
  <c r="V144" i="74"/>
  <c r="V33" i="75"/>
  <c r="V37" i="75"/>
  <c r="V53" i="75"/>
  <c r="V61" i="75"/>
  <c r="V69" i="75"/>
  <c r="J93" i="76"/>
  <c r="J85" i="76"/>
  <c r="J75" i="76"/>
  <c r="J94" i="76"/>
  <c r="J86" i="76"/>
  <c r="J76" i="76"/>
  <c r="J95" i="76"/>
  <c r="J87" i="76"/>
  <c r="J77" i="76"/>
  <c r="J88" i="76"/>
  <c r="J98" i="76"/>
  <c r="J97" i="76"/>
  <c r="J89" i="76"/>
  <c r="J79" i="76"/>
  <c r="J99" i="76"/>
  <c r="J80" i="76"/>
  <c r="J90" i="76"/>
  <c r="J82" i="76"/>
  <c r="J72" i="76"/>
  <c r="J92" i="76"/>
  <c r="J84" i="76"/>
  <c r="J34" i="76"/>
  <c r="J38" i="76"/>
  <c r="J42" i="76"/>
  <c r="J60" i="76"/>
  <c r="V62" i="76"/>
  <c r="V66" i="76"/>
  <c r="V70" i="76"/>
  <c r="X75" i="76"/>
  <c r="Z75" i="76" s="1"/>
  <c r="N92" i="76"/>
  <c r="X94" i="76"/>
  <c r="X55" i="79"/>
  <c r="N73" i="79"/>
  <c r="V26" i="80"/>
  <c r="F43" i="80"/>
  <c r="F86" i="83"/>
  <c r="F85" i="83"/>
  <c r="F84" i="83"/>
  <c r="F78" i="83"/>
  <c r="F66" i="83"/>
  <c r="F58" i="83"/>
  <c r="F57" i="83"/>
  <c r="F18" i="83"/>
  <c r="F73" i="83"/>
  <c r="F72" i="83"/>
  <c r="F49" i="83"/>
  <c r="F48" i="83"/>
  <c r="F41" i="83"/>
  <c r="F37" i="83"/>
  <c r="F92" i="83"/>
  <c r="F60" i="83"/>
  <c r="F59" i="83"/>
  <c r="F32" i="83"/>
  <c r="F28" i="83"/>
  <c r="F79" i="83"/>
  <c r="F75" i="83"/>
  <c r="F74" i="83"/>
  <c r="F67" i="83"/>
  <c r="F51" i="83"/>
  <c r="F50" i="83"/>
  <c r="F19" i="83"/>
  <c r="F62" i="83"/>
  <c r="F61" i="83"/>
  <c r="F42" i="83"/>
  <c r="F38" i="83"/>
  <c r="F34" i="83"/>
  <c r="F33" i="83"/>
  <c r="F81" i="83"/>
  <c r="F80" i="83"/>
  <c r="F69" i="83"/>
  <c r="F68" i="83"/>
  <c r="F29" i="83"/>
  <c r="F25" i="83"/>
  <c r="F24" i="83"/>
  <c r="F94" i="83"/>
  <c r="F76" i="83"/>
  <c r="F64" i="83"/>
  <c r="F63" i="83"/>
  <c r="F52" i="83"/>
  <c r="F43" i="83"/>
  <c r="F39" i="83"/>
  <c r="F35" i="83"/>
  <c r="D21" i="83"/>
  <c r="F97" i="83"/>
  <c r="F82" i="83"/>
  <c r="F70" i="83"/>
  <c r="F88" i="83"/>
  <c r="F77" i="83"/>
  <c r="F65" i="83"/>
  <c r="F45" i="83"/>
  <c r="F44" i="83"/>
  <c r="F17" i="83"/>
  <c r="F16" i="83"/>
  <c r="F27" i="83"/>
  <c r="F56" i="83"/>
  <c r="F31" i="83"/>
  <c r="F54" i="83"/>
  <c r="F47" i="83"/>
  <c r="F21" i="83"/>
  <c r="F26" i="83"/>
  <c r="F71" i="83"/>
  <c r="L12" i="83"/>
  <c r="N12" i="83" s="1"/>
  <c r="F55" i="83"/>
  <c r="F40" i="83"/>
  <c r="F36" i="83"/>
  <c r="F30" i="83"/>
  <c r="F53" i="83"/>
  <c r="V79" i="74"/>
  <c r="V83" i="74"/>
  <c r="V87" i="74"/>
  <c r="J91" i="74"/>
  <c r="J95" i="74"/>
  <c r="J99" i="74"/>
  <c r="V103" i="74"/>
  <c r="J111" i="74"/>
  <c r="V115" i="74"/>
  <c r="J121" i="74"/>
  <c r="V123" i="74"/>
  <c r="J127" i="74"/>
  <c r="J139" i="74"/>
  <c r="J151" i="74"/>
  <c r="V42" i="75"/>
  <c r="V46" i="75"/>
  <c r="V50" i="75"/>
  <c r="V62" i="75"/>
  <c r="V74" i="75"/>
  <c r="V71" i="76"/>
  <c r="V77" i="76"/>
  <c r="V79" i="76"/>
  <c r="Z94" i="76"/>
  <c r="Z55" i="79"/>
  <c r="H19" i="80"/>
  <c r="N15" i="80"/>
  <c r="V23" i="82"/>
  <c r="T49" i="82"/>
  <c r="J110" i="74"/>
  <c r="J120" i="74"/>
  <c r="J132" i="74"/>
  <c r="J138" i="74"/>
  <c r="V51" i="75"/>
  <c r="V75" i="75"/>
  <c r="D78" i="75"/>
  <c r="L78" i="75" s="1"/>
  <c r="N78" i="75" s="1"/>
  <c r="V52" i="76"/>
  <c r="V56" i="76"/>
  <c r="J64" i="76"/>
  <c r="J68" i="76"/>
  <c r="J73" i="76"/>
  <c r="N88" i="76"/>
  <c r="J103" i="76"/>
  <c r="N49" i="79"/>
  <c r="Z51" i="79"/>
  <c r="N71" i="79"/>
  <c r="Z21" i="80"/>
  <c r="F25" i="80"/>
  <c r="V30" i="80"/>
  <c r="F52" i="80"/>
  <c r="V32" i="75"/>
  <c r="V36" i="75"/>
  <c r="V60" i="75"/>
  <c r="V68" i="75"/>
  <c r="V72" i="75"/>
  <c r="H46" i="76"/>
  <c r="T21" i="79"/>
  <c r="L15" i="80"/>
  <c r="V32" i="80"/>
  <c r="F56" i="80"/>
  <c r="V82" i="74"/>
  <c r="V86" i="74"/>
  <c r="J90" i="74"/>
  <c r="J94" i="74"/>
  <c r="J98" i="74"/>
  <c r="V102" i="74"/>
  <c r="J108" i="74"/>
  <c r="J118" i="74"/>
  <c r="V122" i="74"/>
  <c r="J126" i="74"/>
  <c r="J136" i="74"/>
  <c r="J147" i="74"/>
  <c r="V41" i="75"/>
  <c r="V45" i="75"/>
  <c r="V49" i="75"/>
  <c r="V73" i="75"/>
  <c r="V99" i="76"/>
  <c r="V89" i="76"/>
  <c r="V80" i="76"/>
  <c r="V90" i="76"/>
  <c r="V82" i="76"/>
  <c r="V103" i="76"/>
  <c r="V81" i="76"/>
  <c r="V92" i="76"/>
  <c r="V84" i="76"/>
  <c r="V72" i="76"/>
  <c r="V91" i="76"/>
  <c r="V83" i="76"/>
  <c r="V75" i="76"/>
  <c r="V94" i="76"/>
  <c r="V86" i="76"/>
  <c r="V88" i="76"/>
  <c r="V76" i="76"/>
  <c r="V98" i="76"/>
  <c r="V78" i="76"/>
  <c r="J32" i="76"/>
  <c r="V34" i="76"/>
  <c r="V38" i="76"/>
  <c r="V42" i="76"/>
  <c r="J46" i="76"/>
  <c r="J48" i="76"/>
  <c r="J50" i="76"/>
  <c r="J54" i="76"/>
  <c r="J58" i="76"/>
  <c r="J78" i="76"/>
  <c r="L82" i="76"/>
  <c r="N82" i="76" s="1"/>
  <c r="N84" i="76"/>
  <c r="X86" i="76"/>
  <c r="Z86" i="76" s="1"/>
  <c r="Z88" i="76"/>
  <c r="V95" i="76"/>
  <c r="J80" i="79"/>
  <c r="J68" i="79"/>
  <c r="J62" i="79"/>
  <c r="J54" i="79"/>
  <c r="J30" i="79"/>
  <c r="J26" i="79"/>
  <c r="J69" i="79"/>
  <c r="J55" i="79"/>
  <c r="J56" i="79"/>
  <c r="J44" i="79"/>
  <c r="J40" i="79"/>
  <c r="J36" i="79"/>
  <c r="J63" i="79"/>
  <c r="J45" i="79"/>
  <c r="J31" i="79"/>
  <c r="J27" i="79"/>
  <c r="J17" i="79"/>
  <c r="J70" i="79"/>
  <c r="J64" i="79"/>
  <c r="J46" i="79"/>
  <c r="J18" i="79"/>
  <c r="J71" i="79"/>
  <c r="J65" i="79"/>
  <c r="J57" i="79"/>
  <c r="J47" i="79"/>
  <c r="J41" i="79"/>
  <c r="J37" i="79"/>
  <c r="J72" i="79"/>
  <c r="J58" i="79"/>
  <c r="J48" i="79"/>
  <c r="J32" i="79"/>
  <c r="J28" i="79"/>
  <c r="J73" i="79"/>
  <c r="J59" i="79"/>
  <c r="J49" i="79"/>
  <c r="J19" i="79"/>
  <c r="J51" i="79"/>
  <c r="J33" i="79"/>
  <c r="J29" i="79"/>
  <c r="J25" i="79"/>
  <c r="J23" i="79"/>
  <c r="J67" i="79"/>
  <c r="J61" i="79"/>
  <c r="J53" i="79"/>
  <c r="J43" i="79"/>
  <c r="J39" i="79"/>
  <c r="J35" i="79"/>
  <c r="X17" i="79"/>
  <c r="Z17" i="79" s="1"/>
  <c r="H21" i="79"/>
  <c r="J21" i="79" s="1"/>
  <c r="J38" i="79"/>
  <c r="N45" i="79"/>
  <c r="J52" i="79"/>
  <c r="J74" i="79"/>
  <c r="F29" i="80"/>
  <c r="F42" i="80"/>
  <c r="F45" i="80"/>
  <c r="Z46" i="80"/>
  <c r="J59" i="74"/>
  <c r="J63" i="74"/>
  <c r="J67" i="74"/>
  <c r="J71" i="74"/>
  <c r="H76" i="74"/>
  <c r="J89" i="74"/>
  <c r="V91" i="74"/>
  <c r="V95" i="74"/>
  <c r="V99" i="74"/>
  <c r="J107" i="74"/>
  <c r="V111" i="74"/>
  <c r="J117" i="74"/>
  <c r="J125" i="74"/>
  <c r="V127" i="74"/>
  <c r="J131" i="74"/>
  <c r="J135" i="74"/>
  <c r="V139" i="74"/>
  <c r="J146" i="74"/>
  <c r="V151" i="74"/>
  <c r="Z12" i="75"/>
  <c r="V58" i="75"/>
  <c r="V66" i="75"/>
  <c r="V55" i="76"/>
  <c r="V59" i="76"/>
  <c r="J63" i="76"/>
  <c r="J67" i="76"/>
  <c r="J91" i="76"/>
  <c r="V70" i="80"/>
  <c r="V68" i="80"/>
  <c r="V66" i="80"/>
  <c r="V60" i="80"/>
  <c r="V55" i="80"/>
  <c r="V77" i="80"/>
  <c r="V74" i="80"/>
  <c r="V72" i="80"/>
  <c r="V54" i="80"/>
  <c r="V61" i="80"/>
  <c r="V42" i="80"/>
  <c r="V41" i="80"/>
  <c r="V37" i="80"/>
  <c r="V33" i="80"/>
  <c r="V44" i="80"/>
  <c r="V28" i="80"/>
  <c r="V24" i="80"/>
  <c r="V51" i="80"/>
  <c r="V43" i="80"/>
  <c r="V15" i="80"/>
  <c r="V63" i="80"/>
  <c r="V62" i="80"/>
  <c r="V59" i="80"/>
  <c r="V46" i="80"/>
  <c r="V38" i="80"/>
  <c r="V34" i="80"/>
  <c r="V56" i="80"/>
  <c r="V52" i="80"/>
  <c r="V45" i="80"/>
  <c r="V29" i="80"/>
  <c r="V25" i="80"/>
  <c r="V48" i="80"/>
  <c r="V16" i="80"/>
  <c r="V47" i="80"/>
  <c r="V39" i="80"/>
  <c r="V35" i="80"/>
  <c r="V31" i="80"/>
  <c r="V64" i="80"/>
  <c r="V57" i="80"/>
  <c r="V53" i="80"/>
  <c r="V21" i="80"/>
  <c r="V19" i="80"/>
  <c r="V17" i="80"/>
  <c r="V27" i="80"/>
  <c r="V23" i="80"/>
  <c r="V40" i="80"/>
  <c r="V50" i="80"/>
  <c r="F62" i="80"/>
  <c r="N63" i="83"/>
  <c r="V52" i="74"/>
  <c r="V56" i="74"/>
  <c r="V60" i="74"/>
  <c r="V64" i="74"/>
  <c r="V68" i="74"/>
  <c r="V72" i="74"/>
  <c r="J76" i="74"/>
  <c r="J78" i="74"/>
  <c r="J80" i="74"/>
  <c r="J84" i="74"/>
  <c r="J88" i="74"/>
  <c r="V100" i="74"/>
  <c r="J106" i="74"/>
  <c r="J116" i="74"/>
  <c r="V120" i="74"/>
  <c r="J124" i="74"/>
  <c r="V128" i="74"/>
  <c r="V132" i="74"/>
  <c r="V140" i="74"/>
  <c r="J144" i="74"/>
  <c r="J145" i="74"/>
  <c r="V31" i="75"/>
  <c r="V35" i="75"/>
  <c r="V39" i="75"/>
  <c r="V59" i="75"/>
  <c r="V67" i="75"/>
  <c r="V71" i="75"/>
  <c r="V83" i="75"/>
  <c r="J36" i="76"/>
  <c r="J40" i="76"/>
  <c r="J44" i="76"/>
  <c r="V60" i="76"/>
  <c r="V64" i="76"/>
  <c r="V68" i="76"/>
  <c r="J34" i="79"/>
  <c r="Z45" i="79"/>
  <c r="J50" i="79"/>
  <c r="Z12" i="80"/>
  <c r="V65" i="80"/>
  <c r="F83" i="83"/>
  <c r="J79" i="74"/>
  <c r="V81" i="74"/>
  <c r="V85" i="74"/>
  <c r="J93" i="74"/>
  <c r="J97" i="74"/>
  <c r="J105" i="74"/>
  <c r="V109" i="74"/>
  <c r="J115" i="74"/>
  <c r="V121" i="74"/>
  <c r="V137" i="74"/>
  <c r="T27" i="75"/>
  <c r="V40" i="75"/>
  <c r="V44" i="75"/>
  <c r="V48" i="75"/>
  <c r="V56" i="75"/>
  <c r="V64" i="75"/>
  <c r="J53" i="76"/>
  <c r="J57" i="76"/>
  <c r="J71" i="76"/>
  <c r="V73" i="76"/>
  <c r="V93" i="76"/>
  <c r="N23" i="79"/>
  <c r="L68" i="84"/>
  <c r="N68" i="84" s="1"/>
  <c r="J54" i="74"/>
  <c r="J58" i="74"/>
  <c r="J62" i="74"/>
  <c r="J66" i="74"/>
  <c r="J70" i="74"/>
  <c r="J74" i="74"/>
  <c r="V90" i="74"/>
  <c r="V94" i="74"/>
  <c r="V98" i="74"/>
  <c r="J104" i="74"/>
  <c r="V110" i="74"/>
  <c r="J114" i="74"/>
  <c r="V118" i="74"/>
  <c r="V126" i="74"/>
  <c r="J130" i="74"/>
  <c r="J134" i="74"/>
  <c r="V25" i="75"/>
  <c r="V27" i="75"/>
  <c r="V29" i="75"/>
  <c r="V57" i="75"/>
  <c r="V50" i="76"/>
  <c r="V54" i="76"/>
  <c r="V58" i="76"/>
  <c r="J62" i="76"/>
  <c r="J66" i="76"/>
  <c r="J70" i="76"/>
  <c r="J81" i="76"/>
  <c r="F77" i="80"/>
  <c r="F74" i="80"/>
  <c r="F57" i="80"/>
  <c r="F64" i="80"/>
  <c r="F63" i="80"/>
  <c r="F59" i="80"/>
  <c r="F58" i="80"/>
  <c r="F51" i="80"/>
  <c r="F50" i="80"/>
  <c r="F68" i="80"/>
  <c r="F60" i="80"/>
  <c r="F47" i="80"/>
  <c r="F46" i="80"/>
  <c r="F39" i="80"/>
  <c r="F35" i="80"/>
  <c r="F53" i="80"/>
  <c r="F30" i="80"/>
  <c r="F26" i="80"/>
  <c r="L12" i="80"/>
  <c r="F48" i="80"/>
  <c r="F17" i="80"/>
  <c r="F70" i="80"/>
  <c r="F49" i="80"/>
  <c r="F40" i="80"/>
  <c r="F36" i="80"/>
  <c r="F32" i="80"/>
  <c r="F31" i="80"/>
  <c r="F65" i="80"/>
  <c r="F27" i="80"/>
  <c r="F23" i="80"/>
  <c r="F22" i="80"/>
  <c r="F61" i="80"/>
  <c r="F54" i="80"/>
  <c r="F21" i="80"/>
  <c r="F19" i="80"/>
  <c r="F66" i="80"/>
  <c r="F41" i="80"/>
  <c r="F37" i="80"/>
  <c r="F33" i="80"/>
  <c r="D19" i="80"/>
  <c r="F28" i="80"/>
  <c r="F24" i="80"/>
  <c r="F38" i="80"/>
  <c r="F34" i="80"/>
  <c r="F16" i="80"/>
  <c r="F15" i="80"/>
  <c r="T19" i="80"/>
  <c r="F44" i="80"/>
  <c r="V49" i="80"/>
  <c r="F21" i="79"/>
  <c r="F23" i="79"/>
  <c r="V27" i="79"/>
  <c r="V31" i="79"/>
  <c r="V47" i="79"/>
  <c r="F51" i="79"/>
  <c r="F52" i="79"/>
  <c r="F60" i="79"/>
  <c r="V63" i="79"/>
  <c r="V71" i="79"/>
  <c r="P12" i="80"/>
  <c r="L52" i="80"/>
  <c r="P12" i="82"/>
  <c r="X13" i="82"/>
  <c r="Z13" i="82" s="1"/>
  <c r="Z24" i="83"/>
  <c r="V24" i="83"/>
  <c r="D32" i="88"/>
  <c r="L12" i="79"/>
  <c r="N12" i="79" s="1"/>
  <c r="V17" i="79"/>
  <c r="F38" i="79"/>
  <c r="F42" i="79"/>
  <c r="V45" i="79"/>
  <c r="F49" i="79"/>
  <c r="F50" i="79"/>
  <c r="F66" i="79"/>
  <c r="V69" i="79"/>
  <c r="F73" i="79"/>
  <c r="F74" i="79"/>
  <c r="N35" i="82"/>
  <c r="J35" i="82"/>
  <c r="X80" i="83"/>
  <c r="Z80" i="83" s="1"/>
  <c r="F28" i="79"/>
  <c r="F32" i="79"/>
  <c r="V35" i="79"/>
  <c r="V39" i="79"/>
  <c r="V43" i="79"/>
  <c r="F47" i="79"/>
  <c r="F48" i="79"/>
  <c r="V55" i="79"/>
  <c r="V67" i="79"/>
  <c r="F71" i="79"/>
  <c r="F72" i="79"/>
  <c r="D12" i="82"/>
  <c r="N44" i="83"/>
  <c r="N46" i="83"/>
  <c r="X85" i="83"/>
  <c r="L83" i="84"/>
  <c r="N83" i="84" s="1"/>
  <c r="X96" i="84"/>
  <c r="P12" i="85"/>
  <c r="X13" i="85"/>
  <c r="Z13" i="85" s="1"/>
  <c r="F37" i="79"/>
  <c r="F41" i="79"/>
  <c r="V52" i="79"/>
  <c r="F57" i="79"/>
  <c r="V60" i="79"/>
  <c r="F64" i="79"/>
  <c r="F65" i="79"/>
  <c r="V68" i="79"/>
  <c r="H49" i="82"/>
  <c r="H21" i="83"/>
  <c r="Z63" i="83"/>
  <c r="X63" i="83"/>
  <c r="Z85" i="83"/>
  <c r="Z96" i="84"/>
  <c r="F17" i="79"/>
  <c r="F18" i="79"/>
  <c r="V25" i="79"/>
  <c r="V29" i="79"/>
  <c r="V33" i="79"/>
  <c r="F45" i="79"/>
  <c r="F46" i="79"/>
  <c r="V53" i="79"/>
  <c r="V61" i="79"/>
  <c r="F70" i="79"/>
  <c r="L13" i="80"/>
  <c r="L16" i="83"/>
  <c r="N16" i="83" s="1"/>
  <c r="V63" i="83"/>
  <c r="Z72" i="83"/>
  <c r="Z74" i="83"/>
  <c r="P12" i="84"/>
  <c r="X15" i="84"/>
  <c r="L45" i="84"/>
  <c r="N45" i="84" s="1"/>
  <c r="Z81" i="84"/>
  <c r="F27" i="79"/>
  <c r="F31" i="79"/>
  <c r="V34" i="79"/>
  <c r="V38" i="79"/>
  <c r="V42" i="79"/>
  <c r="V50" i="79"/>
  <c r="F63" i="79"/>
  <c r="V66" i="79"/>
  <c r="V74" i="79"/>
  <c r="V76" i="79"/>
  <c r="F82" i="79"/>
  <c r="F85" i="79"/>
  <c r="V19" i="79"/>
  <c r="V21" i="79"/>
  <c r="V23" i="79"/>
  <c r="F36" i="79"/>
  <c r="F40" i="79"/>
  <c r="F44" i="79"/>
  <c r="V51" i="79"/>
  <c r="F55" i="79"/>
  <c r="F56" i="79"/>
  <c r="V59" i="79"/>
  <c r="X76" i="79"/>
  <c r="X63" i="80"/>
  <c r="Z25" i="82"/>
  <c r="V25" i="82"/>
  <c r="Z55" i="83"/>
  <c r="X68" i="83"/>
  <c r="Z68" i="83" s="1"/>
  <c r="V24" i="79"/>
  <c r="V28" i="79"/>
  <c r="V32" i="79"/>
  <c r="V48" i="79"/>
  <c r="F68" i="79"/>
  <c r="F69" i="79"/>
  <c r="V72" i="79"/>
  <c r="J62" i="80"/>
  <c r="J64" i="80"/>
  <c r="J58" i="80"/>
  <c r="J65" i="80"/>
  <c r="J59" i="80"/>
  <c r="J51" i="80"/>
  <c r="J66" i="80"/>
  <c r="J52" i="80"/>
  <c r="J22" i="80"/>
  <c r="J32" i="80"/>
  <c r="J36" i="80"/>
  <c r="J40" i="80"/>
  <c r="J49" i="80"/>
  <c r="J70" i="80"/>
  <c r="J74" i="80"/>
  <c r="X18" i="82"/>
  <c r="Z18" i="82" s="1"/>
  <c r="T90" i="83"/>
  <c r="V90" i="83" s="1"/>
  <c r="N24" i="83"/>
  <c r="X50" i="83"/>
  <c r="Z45" i="84"/>
  <c r="F26" i="79"/>
  <c r="F30" i="79"/>
  <c r="V37" i="79"/>
  <c r="V41" i="79"/>
  <c r="V49" i="79"/>
  <c r="F53" i="79"/>
  <c r="F54" i="79"/>
  <c r="V57" i="79"/>
  <c r="F61" i="79"/>
  <c r="F62" i="79"/>
  <c r="V65" i="79"/>
  <c r="V73" i="79"/>
  <c r="F80" i="79"/>
  <c r="P12" i="83"/>
  <c r="X13" i="83"/>
  <c r="Z13" i="83" s="1"/>
  <c r="Z50" i="83"/>
  <c r="V18" i="79"/>
  <c r="D21" i="79"/>
  <c r="F34" i="79"/>
  <c r="F35" i="79"/>
  <c r="F39" i="79"/>
  <c r="F43" i="79"/>
  <c r="V46" i="79"/>
  <c r="V58" i="79"/>
  <c r="F67" i="79"/>
  <c r="F76" i="79"/>
  <c r="J48" i="80"/>
  <c r="J53" i="80"/>
  <c r="N80" i="83"/>
  <c r="X22" i="85"/>
  <c r="Z22" i="85" s="1"/>
  <c r="V45" i="82"/>
  <c r="V47" i="82"/>
  <c r="V49" i="82"/>
  <c r="J36" i="83"/>
  <c r="J40" i="83"/>
  <c r="J46" i="83"/>
  <c r="J56" i="83"/>
  <c r="V60" i="83"/>
  <c r="V68" i="83"/>
  <c r="V80" i="83"/>
  <c r="V85" i="83"/>
  <c r="V40" i="84"/>
  <c r="N55" i="84"/>
  <c r="V96" i="84"/>
  <c r="V106" i="84"/>
  <c r="V114" i="84"/>
  <c r="J60" i="87"/>
  <c r="V27" i="82"/>
  <c r="V31" i="82"/>
  <c r="J39" i="82"/>
  <c r="J43" i="82"/>
  <c r="J16" i="83"/>
  <c r="J26" i="83"/>
  <c r="J30" i="83"/>
  <c r="J44" i="83"/>
  <c r="V50" i="83"/>
  <c r="J54" i="83"/>
  <c r="V58" i="83"/>
  <c r="V66" i="83"/>
  <c r="J70" i="83"/>
  <c r="V74" i="83"/>
  <c r="V78" i="83"/>
  <c r="J82" i="83"/>
  <c r="J88" i="83"/>
  <c r="N44" i="84"/>
  <c r="L111" i="84"/>
  <c r="N111" i="84" s="1"/>
  <c r="F18" i="85"/>
  <c r="F24" i="85"/>
  <c r="F23" i="85"/>
  <c r="F22" i="85"/>
  <c r="F20" i="85"/>
  <c r="D20" i="85"/>
  <c r="F28" i="85"/>
  <c r="F26" i="85"/>
  <c r="F17" i="85"/>
  <c r="F32" i="85"/>
  <c r="X44" i="87"/>
  <c r="V80" i="84"/>
  <c r="V107" i="84"/>
  <c r="V40" i="83"/>
  <c r="V48" i="83"/>
  <c r="J52" i="83"/>
  <c r="V56" i="83"/>
  <c r="J64" i="83"/>
  <c r="V72" i="83"/>
  <c r="J76" i="83"/>
  <c r="J86" i="83"/>
  <c r="V102" i="84"/>
  <c r="V90" i="84"/>
  <c r="V70" i="84"/>
  <c r="V62" i="84"/>
  <c r="V58" i="84"/>
  <c r="V109" i="84"/>
  <c r="V97" i="84"/>
  <c r="V81" i="84"/>
  <c r="V69" i="84"/>
  <c r="V53" i="84"/>
  <c r="V49" i="84"/>
  <c r="V45" i="84"/>
  <c r="V108" i="84"/>
  <c r="V92" i="84"/>
  <c r="V121" i="84"/>
  <c r="V111" i="84"/>
  <c r="V103" i="84"/>
  <c r="V99" i="84"/>
  <c r="V91" i="84"/>
  <c r="V83" i="84"/>
  <c r="V71" i="84"/>
  <c r="V63" i="84"/>
  <c r="V59" i="84"/>
  <c r="V55" i="84"/>
  <c r="V110" i="84"/>
  <c r="V98" i="84"/>
  <c r="V82" i="84"/>
  <c r="V74" i="84"/>
  <c r="V54" i="84"/>
  <c r="V50" i="84"/>
  <c r="V93" i="84"/>
  <c r="V85" i="84"/>
  <c r="V112" i="84"/>
  <c r="V104" i="84"/>
  <c r="V100" i="84"/>
  <c r="V84" i="84"/>
  <c r="V76" i="84"/>
  <c r="V64" i="84"/>
  <c r="V60" i="84"/>
  <c r="V56" i="84"/>
  <c r="V87" i="84"/>
  <c r="V75" i="84"/>
  <c r="V51" i="84"/>
  <c r="V47" i="84"/>
  <c r="V113" i="84"/>
  <c r="V105" i="84"/>
  <c r="V101" i="84"/>
  <c r="V89" i="84"/>
  <c r="V77" i="84"/>
  <c r="V65" i="84"/>
  <c r="V61" i="84"/>
  <c r="V57" i="84"/>
  <c r="V36" i="84"/>
  <c r="Z55" i="84"/>
  <c r="V66" i="84"/>
  <c r="Z68" i="84"/>
  <c r="L74" i="84"/>
  <c r="X87" i="84"/>
  <c r="V95" i="84"/>
  <c r="N99" i="84"/>
  <c r="L12" i="85"/>
  <c r="T28" i="85"/>
  <c r="J41" i="87"/>
  <c r="V26" i="82"/>
  <c r="V30" i="82"/>
  <c r="V34" i="82"/>
  <c r="J38" i="82"/>
  <c r="J42" i="82"/>
  <c r="J21" i="83"/>
  <c r="J23" i="83"/>
  <c r="J25" i="83"/>
  <c r="J29" i="83"/>
  <c r="V45" i="83"/>
  <c r="V57" i="83"/>
  <c r="J63" i="83"/>
  <c r="V65" i="83"/>
  <c r="J69" i="83"/>
  <c r="V77" i="83"/>
  <c r="J81" i="83"/>
  <c r="Z83" i="83"/>
  <c r="V39" i="84"/>
  <c r="V52" i="84"/>
  <c r="Z87" i="84"/>
  <c r="J51" i="87"/>
  <c r="J19" i="82"/>
  <c r="V35" i="82"/>
  <c r="V39" i="82"/>
  <c r="V43" i="82"/>
  <c r="J47" i="82"/>
  <c r="J49" i="82"/>
  <c r="J24" i="83"/>
  <c r="V26" i="83"/>
  <c r="V30" i="83"/>
  <c r="J34" i="83"/>
  <c r="J38" i="83"/>
  <c r="J42" i="83"/>
  <c r="V46" i="83"/>
  <c r="V54" i="83"/>
  <c r="X57" i="83"/>
  <c r="Z57" i="83" s="1"/>
  <c r="J62" i="83"/>
  <c r="L63" i="83"/>
  <c r="J68" i="83"/>
  <c r="V70" i="83"/>
  <c r="J80" i="83"/>
  <c r="V82" i="83"/>
  <c r="V83" i="83"/>
  <c r="J74" i="84"/>
  <c r="V78" i="84"/>
  <c r="J18" i="82"/>
  <c r="V20" i="82"/>
  <c r="J28" i="82"/>
  <c r="J32" i="82"/>
  <c r="J19" i="83"/>
  <c r="J33" i="83"/>
  <c r="V35" i="83"/>
  <c r="V39" i="83"/>
  <c r="V43" i="83"/>
  <c r="J51" i="83"/>
  <c r="V55" i="83"/>
  <c r="J61" i="83"/>
  <c r="J67" i="83"/>
  <c r="J75" i="83"/>
  <c r="J79" i="83"/>
  <c r="J85" i="83"/>
  <c r="V88" i="83"/>
  <c r="D12" i="84"/>
  <c r="V44" i="84"/>
  <c r="V67" i="84"/>
  <c r="Z89" i="84"/>
  <c r="H123" i="84"/>
  <c r="F16" i="85"/>
  <c r="J77" i="87"/>
  <c r="J73" i="87"/>
  <c r="J67" i="87"/>
  <c r="J61" i="87"/>
  <c r="J90" i="87"/>
  <c r="J88" i="87"/>
  <c r="J68" i="87"/>
  <c r="J62" i="87"/>
  <c r="J52" i="87"/>
  <c r="J42" i="87"/>
  <c r="J28" i="87"/>
  <c r="J24" i="87"/>
  <c r="J69" i="87"/>
  <c r="J63" i="87"/>
  <c r="J53" i="87"/>
  <c r="J43" i="87"/>
  <c r="J92" i="87"/>
  <c r="J78" i="87"/>
  <c r="J74" i="87"/>
  <c r="J70" i="87"/>
  <c r="J54" i="87"/>
  <c r="J44" i="87"/>
  <c r="J38" i="87"/>
  <c r="J34" i="87"/>
  <c r="J79" i="87"/>
  <c r="J55" i="87"/>
  <c r="J45" i="87"/>
  <c r="J97" i="87"/>
  <c r="J94" i="87"/>
  <c r="J80" i="87"/>
  <c r="J64" i="87"/>
  <c r="J81" i="87"/>
  <c r="J75" i="87"/>
  <c r="J71" i="87"/>
  <c r="J57" i="87"/>
  <c r="J47" i="87"/>
  <c r="J39" i="87"/>
  <c r="J35" i="87"/>
  <c r="J82" i="87"/>
  <c r="J58" i="87"/>
  <c r="J30" i="87"/>
  <c r="J26" i="87"/>
  <c r="J83" i="87"/>
  <c r="J65" i="87"/>
  <c r="J31" i="87"/>
  <c r="J17" i="87"/>
  <c r="J84" i="87"/>
  <c r="J76" i="87"/>
  <c r="J72" i="87"/>
  <c r="J48" i="87"/>
  <c r="J40" i="87"/>
  <c r="J36" i="87"/>
  <c r="J32" i="87"/>
  <c r="J22" i="87"/>
  <c r="J49" i="87"/>
  <c r="J37" i="87"/>
  <c r="J56" i="87"/>
  <c r="J33" i="87"/>
  <c r="J86" i="87"/>
  <c r="J59" i="87"/>
  <c r="J66" i="87"/>
  <c r="J29" i="87"/>
  <c r="J19" i="87"/>
  <c r="J50" i="87"/>
  <c r="J27" i="87"/>
  <c r="H19" i="87"/>
  <c r="N12" i="87"/>
  <c r="J46" i="87"/>
  <c r="J25" i="87"/>
  <c r="V29" i="82"/>
  <c r="V33" i="82"/>
  <c r="J37" i="82"/>
  <c r="J41" i="82"/>
  <c r="J45" i="82"/>
  <c r="V51" i="82"/>
  <c r="J28" i="83"/>
  <c r="J32" i="83"/>
  <c r="V44" i="83"/>
  <c r="J50" i="83"/>
  <c r="V52" i="83"/>
  <c r="J60" i="83"/>
  <c r="V64" i="83"/>
  <c r="J74" i="83"/>
  <c r="V76" i="83"/>
  <c r="V86" i="83"/>
  <c r="J92" i="83"/>
  <c r="L13" i="84"/>
  <c r="N13" i="84" s="1"/>
  <c r="V38" i="84"/>
  <c r="J21" i="87"/>
  <c r="J23" i="87"/>
  <c r="V38" i="82"/>
  <c r="V25" i="83"/>
  <c r="V29" i="83"/>
  <c r="J37" i="83"/>
  <c r="J41" i="83"/>
  <c r="J49" i="83"/>
  <c r="V53" i="83"/>
  <c r="J59" i="83"/>
  <c r="V69" i="83"/>
  <c r="V81" i="83"/>
  <c r="V35" i="84"/>
  <c r="T42" i="84"/>
  <c r="V72" i="84"/>
  <c r="V86" i="84"/>
  <c r="V117" i="84"/>
  <c r="L16" i="85"/>
  <c r="N16" i="85" s="1"/>
  <c r="J55" i="84"/>
  <c r="J73" i="84"/>
  <c r="J83" i="84"/>
  <c r="J93" i="84"/>
  <c r="J99" i="84"/>
  <c r="J111" i="84"/>
  <c r="J123" i="84"/>
  <c r="J16" i="85"/>
  <c r="V18" i="85"/>
  <c r="V20" i="85"/>
  <c r="V22" i="85"/>
  <c r="D19" i="87"/>
  <c r="Z21" i="87"/>
  <c r="R30" i="87"/>
  <c r="F32" i="87"/>
  <c r="R44" i="87"/>
  <c r="F48" i="87"/>
  <c r="X58" i="91"/>
  <c r="Z58" i="91" s="1"/>
  <c r="J45" i="84"/>
  <c r="J59" i="84"/>
  <c r="J63" i="84"/>
  <c r="J71" i="84"/>
  <c r="J81" i="84"/>
  <c r="J91" i="84"/>
  <c r="J103" i="84"/>
  <c r="J109" i="84"/>
  <c r="J121" i="84"/>
  <c r="N12" i="85"/>
  <c r="J30" i="85"/>
  <c r="F29" i="87"/>
  <c r="F36" i="87"/>
  <c r="N55" i="87"/>
  <c r="J36" i="84"/>
  <c r="J40" i="84"/>
  <c r="J70" i="84"/>
  <c r="J80" i="84"/>
  <c r="J108" i="84"/>
  <c r="V17" i="85"/>
  <c r="R92" i="87"/>
  <c r="R79" i="87"/>
  <c r="R78" i="87"/>
  <c r="R74" i="87"/>
  <c r="R70" i="87"/>
  <c r="R97" i="87"/>
  <c r="R94" i="87"/>
  <c r="R46" i="87"/>
  <c r="R45" i="87"/>
  <c r="R29" i="87"/>
  <c r="R25" i="87"/>
  <c r="R81" i="87"/>
  <c r="R80" i="87"/>
  <c r="R64" i="87"/>
  <c r="R57" i="87"/>
  <c r="R56" i="87"/>
  <c r="X12" i="87"/>
  <c r="R75" i="87"/>
  <c r="R71" i="87"/>
  <c r="R47" i="87"/>
  <c r="R39" i="87"/>
  <c r="R35" i="87"/>
  <c r="R16" i="87"/>
  <c r="R83" i="87"/>
  <c r="R82" i="87"/>
  <c r="R58" i="87"/>
  <c r="R65" i="87"/>
  <c r="R85" i="87"/>
  <c r="R84" i="87"/>
  <c r="R76" i="87"/>
  <c r="R72" i="87"/>
  <c r="R49" i="87"/>
  <c r="R48" i="87"/>
  <c r="R40" i="87"/>
  <c r="R36" i="87"/>
  <c r="R32" i="87"/>
  <c r="R21" i="87"/>
  <c r="R19" i="87"/>
  <c r="R60" i="87"/>
  <c r="R59" i="87"/>
  <c r="R27" i="87"/>
  <c r="R23" i="87"/>
  <c r="R86" i="87"/>
  <c r="R67" i="87"/>
  <c r="R66" i="87"/>
  <c r="R51" i="87"/>
  <c r="R50" i="87"/>
  <c r="R90" i="87"/>
  <c r="R88" i="87"/>
  <c r="R77" i="87"/>
  <c r="R73" i="87"/>
  <c r="R62" i="87"/>
  <c r="R61" i="87"/>
  <c r="R42" i="87"/>
  <c r="R41" i="87"/>
  <c r="R37" i="87"/>
  <c r="R33" i="87"/>
  <c r="F38" i="87"/>
  <c r="R43" i="87"/>
  <c r="F45" i="87"/>
  <c r="R53" i="87"/>
  <c r="N72" i="93"/>
  <c r="L72" i="93"/>
  <c r="J97" i="84"/>
  <c r="J117" i="84"/>
  <c r="J119" i="84"/>
  <c r="J26" i="85"/>
  <c r="P19" i="87"/>
  <c r="F22" i="87"/>
  <c r="R34" i="87"/>
  <c r="F40" i="87"/>
  <c r="R55" i="87"/>
  <c r="F59" i="87"/>
  <c r="R69" i="87"/>
  <c r="F76" i="87"/>
  <c r="J58" i="84"/>
  <c r="J62" i="84"/>
  <c r="J68" i="84"/>
  <c r="J90" i="84"/>
  <c r="J96" i="84"/>
  <c r="J102" i="84"/>
  <c r="H20" i="85"/>
  <c r="Z19" i="87"/>
  <c r="T90" i="87"/>
  <c r="F31" i="87"/>
  <c r="X46" i="87"/>
  <c r="Z46" i="87" s="1"/>
  <c r="Z55" i="87"/>
  <c r="F84" i="87"/>
  <c r="P32" i="88"/>
  <c r="J67" i="84"/>
  <c r="J79" i="84"/>
  <c r="J89" i="84"/>
  <c r="J95" i="84"/>
  <c r="J107" i="84"/>
  <c r="J115" i="84"/>
  <c r="V16" i="85"/>
  <c r="J20" i="85"/>
  <c r="J22" i="85"/>
  <c r="V30" i="85"/>
  <c r="R38" i="87"/>
  <c r="L49" i="87"/>
  <c r="Z29" i="91"/>
  <c r="X29" i="91"/>
  <c r="T85" i="92"/>
  <c r="J88" i="84"/>
  <c r="J106" i="84"/>
  <c r="J114" i="84"/>
  <c r="F86" i="87"/>
  <c r="F85" i="87"/>
  <c r="F66" i="87"/>
  <c r="F77" i="87"/>
  <c r="F73" i="87"/>
  <c r="F61" i="87"/>
  <c r="F60" i="87"/>
  <c r="F41" i="87"/>
  <c r="F37" i="87"/>
  <c r="F33" i="87"/>
  <c r="F68" i="87"/>
  <c r="F67" i="87"/>
  <c r="F52" i="87"/>
  <c r="F51" i="87"/>
  <c r="F28" i="87"/>
  <c r="F24" i="87"/>
  <c r="F90" i="87"/>
  <c r="F88" i="87"/>
  <c r="F63" i="87"/>
  <c r="F62" i="87"/>
  <c r="F43" i="87"/>
  <c r="F42" i="87"/>
  <c r="F92" i="87"/>
  <c r="F78" i="87"/>
  <c r="F74" i="87"/>
  <c r="F70" i="87"/>
  <c r="F69" i="87"/>
  <c r="F54" i="87"/>
  <c r="F53" i="87"/>
  <c r="F80" i="87"/>
  <c r="F79" i="87"/>
  <c r="F64" i="87"/>
  <c r="F56" i="87"/>
  <c r="F55" i="87"/>
  <c r="L12" i="87"/>
  <c r="F97" i="87"/>
  <c r="F94" i="87"/>
  <c r="F75" i="87"/>
  <c r="F71" i="87"/>
  <c r="F47" i="87"/>
  <c r="F46" i="87"/>
  <c r="F39" i="87"/>
  <c r="F35" i="87"/>
  <c r="F82" i="87"/>
  <c r="F81" i="87"/>
  <c r="F58" i="87"/>
  <c r="F57" i="87"/>
  <c r="F30" i="87"/>
  <c r="F26" i="87"/>
  <c r="F65" i="87"/>
  <c r="F17" i="87"/>
  <c r="F49" i="87"/>
  <c r="J57" i="84"/>
  <c r="J61" i="84"/>
  <c r="J65" i="84"/>
  <c r="J77" i="84"/>
  <c r="J87" i="84"/>
  <c r="J101" i="84"/>
  <c r="J105" i="84"/>
  <c r="J113" i="84"/>
  <c r="L13" i="87"/>
  <c r="F16" i="87"/>
  <c r="F21" i="87"/>
  <c r="Z22" i="87"/>
  <c r="X22" i="87"/>
  <c r="R31" i="87"/>
  <c r="R54" i="87"/>
  <c r="R68" i="87"/>
  <c r="Z14" i="91"/>
  <c r="T16" i="91"/>
  <c r="J76" i="84"/>
  <c r="J86" i="84"/>
  <c r="N21" i="87"/>
  <c r="R26" i="87"/>
  <c r="F44" i="87"/>
  <c r="J24" i="91"/>
  <c r="R58" i="91"/>
  <c r="Z77" i="91"/>
  <c r="J80" i="91"/>
  <c r="V81" i="91"/>
  <c r="L21" i="92"/>
  <c r="J62" i="93"/>
  <c r="L14" i="94"/>
  <c r="D12" i="94"/>
  <c r="V24" i="87"/>
  <c r="V28" i="87"/>
  <c r="V44" i="87"/>
  <c r="V52" i="87"/>
  <c r="V68" i="87"/>
  <c r="J22" i="88"/>
  <c r="V26" i="88"/>
  <c r="J36" i="88"/>
  <c r="J39" i="88"/>
  <c r="R82" i="91"/>
  <c r="R60" i="91"/>
  <c r="R53" i="91"/>
  <c r="R52" i="91"/>
  <c r="R36" i="91"/>
  <c r="R32" i="91"/>
  <c r="X12" i="91"/>
  <c r="R86" i="91"/>
  <c r="R73" i="91"/>
  <c r="R72" i="91"/>
  <c r="R68" i="91"/>
  <c r="R56" i="91"/>
  <c r="R91" i="91"/>
  <c r="R88" i="91"/>
  <c r="R75" i="91"/>
  <c r="R74" i="91"/>
  <c r="R77" i="91"/>
  <c r="R76" i="91"/>
  <c r="R65" i="91"/>
  <c r="R64" i="91"/>
  <c r="R49" i="91"/>
  <c r="R48" i="91"/>
  <c r="R81" i="91"/>
  <c r="R80" i="91"/>
  <c r="R42" i="91"/>
  <c r="R41" i="91"/>
  <c r="J20" i="91"/>
  <c r="R21" i="91"/>
  <c r="F27" i="91"/>
  <c r="R37" i="91"/>
  <c r="R44" i="91"/>
  <c r="J47" i="91"/>
  <c r="R51" i="91"/>
  <c r="F53" i="91"/>
  <c r="R54" i="91"/>
  <c r="V57" i="91"/>
  <c r="J62" i="91"/>
  <c r="R63" i="91"/>
  <c r="F70" i="91"/>
  <c r="F78" i="91"/>
  <c r="N50" i="92"/>
  <c r="L50" i="92"/>
  <c r="R53" i="92"/>
  <c r="J72" i="93"/>
  <c r="Z75" i="93"/>
  <c r="X75" i="93"/>
  <c r="P78" i="94"/>
  <c r="X20" i="94"/>
  <c r="V33" i="87"/>
  <c r="V37" i="87"/>
  <c r="V41" i="87"/>
  <c r="V53" i="87"/>
  <c r="V61" i="87"/>
  <c r="V69" i="87"/>
  <c r="V73" i="87"/>
  <c r="V77" i="87"/>
  <c r="H16" i="88"/>
  <c r="L16" i="88" s="1"/>
  <c r="F19" i="88"/>
  <c r="F20" i="88"/>
  <c r="J21" i="88"/>
  <c r="R24" i="88"/>
  <c r="R25" i="88"/>
  <c r="V27" i="88"/>
  <c r="F34" i="88"/>
  <c r="V71" i="91"/>
  <c r="V67" i="91"/>
  <c r="V55" i="91"/>
  <c r="V43" i="91"/>
  <c r="V27" i="91"/>
  <c r="V23" i="91"/>
  <c r="V19" i="91"/>
  <c r="V75" i="91"/>
  <c r="V63" i="91"/>
  <c r="V47" i="91"/>
  <c r="V74" i="91"/>
  <c r="V62" i="91"/>
  <c r="V58" i="91"/>
  <c r="V46" i="91"/>
  <c r="V38" i="91"/>
  <c r="V34" i="91"/>
  <c r="V30" i="91"/>
  <c r="V77" i="91"/>
  <c r="V59" i="91"/>
  <c r="V51" i="91"/>
  <c r="V39" i="91"/>
  <c r="V35" i="91"/>
  <c r="V31" i="91"/>
  <c r="V84" i="91"/>
  <c r="V82" i="91"/>
  <c r="V60" i="91"/>
  <c r="V52" i="91"/>
  <c r="V44" i="91"/>
  <c r="V36" i="91"/>
  <c r="V32" i="91"/>
  <c r="V21" i="91"/>
  <c r="R24" i="91"/>
  <c r="J27" i="91"/>
  <c r="F33" i="91"/>
  <c r="F36" i="91"/>
  <c r="V37" i="91"/>
  <c r="F39" i="91"/>
  <c r="R40" i="91"/>
  <c r="V54" i="91"/>
  <c r="J56" i="91"/>
  <c r="J70" i="91"/>
  <c r="L73" i="91"/>
  <c r="N73" i="91" s="1"/>
  <c r="V76" i="91"/>
  <c r="J78" i="91"/>
  <c r="J91" i="91"/>
  <c r="F32" i="92"/>
  <c r="F59" i="92"/>
  <c r="F65" i="92"/>
  <c r="F69" i="92"/>
  <c r="F87" i="93"/>
  <c r="F84" i="93"/>
  <c r="F80" i="93"/>
  <c r="F68" i="93"/>
  <c r="F64" i="93"/>
  <c r="F63" i="93"/>
  <c r="F48" i="93"/>
  <c r="F47" i="93"/>
  <c r="F40" i="93"/>
  <c r="F36" i="93"/>
  <c r="F31" i="93"/>
  <c r="F27" i="93"/>
  <c r="F23" i="93"/>
  <c r="F22" i="93"/>
  <c r="F74" i="93"/>
  <c r="F58" i="93"/>
  <c r="F50" i="93"/>
  <c r="F49" i="93"/>
  <c r="F21" i="93"/>
  <c r="F19" i="93"/>
  <c r="F69" i="93"/>
  <c r="F65" i="93"/>
  <c r="F41" i="93"/>
  <c r="F37" i="93"/>
  <c r="F33" i="93"/>
  <c r="F32" i="93"/>
  <c r="D19" i="93"/>
  <c r="F82" i="93"/>
  <c r="F76" i="93"/>
  <c r="F75" i="93"/>
  <c r="F52" i="93"/>
  <c r="F51" i="93"/>
  <c r="F28" i="93"/>
  <c r="F24" i="93"/>
  <c r="F59" i="93"/>
  <c r="F70" i="93"/>
  <c r="F66" i="93"/>
  <c r="F54" i="93"/>
  <c r="F53" i="93"/>
  <c r="F42" i="93"/>
  <c r="F38" i="93"/>
  <c r="F34" i="93"/>
  <c r="F61" i="93"/>
  <c r="F60" i="93"/>
  <c r="F29" i="93"/>
  <c r="F25" i="93"/>
  <c r="F56" i="93"/>
  <c r="F55" i="93"/>
  <c r="F44" i="93"/>
  <c r="F43" i="93"/>
  <c r="L12" i="93"/>
  <c r="F73" i="93"/>
  <c r="F72" i="93"/>
  <c r="F57" i="93"/>
  <c r="F17" i="93"/>
  <c r="F16" i="93"/>
  <c r="J17" i="93"/>
  <c r="R52" i="94"/>
  <c r="R51" i="94"/>
  <c r="R71" i="94"/>
  <c r="R70" i="94"/>
  <c r="R63" i="94"/>
  <c r="R62" i="94"/>
  <c r="R54" i="94"/>
  <c r="R53" i="94"/>
  <c r="R29" i="94"/>
  <c r="R25" i="94"/>
  <c r="R73" i="94"/>
  <c r="R72" i="94"/>
  <c r="R65" i="94"/>
  <c r="R64" i="94"/>
  <c r="R74" i="94"/>
  <c r="R66" i="94"/>
  <c r="R30" i="94"/>
  <c r="R26" i="94"/>
  <c r="R78" i="94"/>
  <c r="R76" i="94"/>
  <c r="R57" i="94"/>
  <c r="R46" i="94"/>
  <c r="R45" i="94"/>
  <c r="R67" i="94"/>
  <c r="R48" i="94"/>
  <c r="R47" i="94"/>
  <c r="R31" i="94"/>
  <c r="R27" i="94"/>
  <c r="R80" i="94"/>
  <c r="R59" i="94"/>
  <c r="R58" i="94"/>
  <c r="R69" i="94"/>
  <c r="R68" i="94"/>
  <c r="R61" i="94"/>
  <c r="R60" i="94"/>
  <c r="R33" i="94"/>
  <c r="R32" i="94"/>
  <c r="R28" i="94"/>
  <c r="R24" i="94"/>
  <c r="R42" i="94"/>
  <c r="R34" i="94"/>
  <c r="R22" i="94"/>
  <c r="R55" i="94"/>
  <c r="R37" i="94"/>
  <c r="R23" i="94"/>
  <c r="R17" i="94"/>
  <c r="R56" i="94"/>
  <c r="R40" i="94"/>
  <c r="R43" i="94"/>
  <c r="R35" i="94"/>
  <c r="R18" i="94"/>
  <c r="R38" i="94"/>
  <c r="X12" i="94"/>
  <c r="R44" i="94"/>
  <c r="R41" i="94"/>
  <c r="R39" i="94"/>
  <c r="R20" i="94"/>
  <c r="V42" i="87"/>
  <c r="V50" i="87"/>
  <c r="V62" i="87"/>
  <c r="V66" i="87"/>
  <c r="V86" i="87"/>
  <c r="V88" i="87"/>
  <c r="V90" i="87"/>
  <c r="J14" i="88"/>
  <c r="J16" i="88"/>
  <c r="J18" i="88"/>
  <c r="J20" i="88"/>
  <c r="V24" i="88"/>
  <c r="F30" i="88"/>
  <c r="F32" i="88"/>
  <c r="J34" i="88"/>
  <c r="D16" i="91"/>
  <c r="F18" i="91"/>
  <c r="F23" i="91"/>
  <c r="V24" i="91"/>
  <c r="R31" i="91"/>
  <c r="J33" i="91"/>
  <c r="R34" i="91"/>
  <c r="J36" i="91"/>
  <c r="F46" i="91"/>
  <c r="L49" i="91"/>
  <c r="R50" i="91"/>
  <c r="F59" i="91"/>
  <c r="V80" i="91"/>
  <c r="J86" i="91"/>
  <c r="R74" i="92"/>
  <c r="R62" i="92"/>
  <c r="R46" i="92"/>
  <c r="R38" i="92"/>
  <c r="R34" i="92"/>
  <c r="R15" i="92"/>
  <c r="R78" i="92"/>
  <c r="R76" i="92"/>
  <c r="R30" i="92"/>
  <c r="R29" i="92"/>
  <c r="R25" i="92"/>
  <c r="R68" i="92"/>
  <c r="R57" i="92"/>
  <c r="R56" i="92"/>
  <c r="R21" i="92"/>
  <c r="R16" i="92"/>
  <c r="R64" i="92"/>
  <c r="R63" i="92"/>
  <c r="R48" i="92"/>
  <c r="R47" i="92"/>
  <c r="R80" i="92"/>
  <c r="R59" i="92"/>
  <c r="R58" i="92"/>
  <c r="R26" i="92"/>
  <c r="R22" i="92"/>
  <c r="P18" i="92"/>
  <c r="X12" i="92"/>
  <c r="R85" i="92"/>
  <c r="R82" i="92"/>
  <c r="R70" i="92"/>
  <c r="R69" i="92"/>
  <c r="R65" i="92"/>
  <c r="R50" i="92"/>
  <c r="R49" i="92"/>
  <c r="R60" i="92"/>
  <c r="R41" i="92"/>
  <c r="R40" i="92"/>
  <c r="R36" i="92"/>
  <c r="R32" i="92"/>
  <c r="R71" i="92"/>
  <c r="R52" i="92"/>
  <c r="R51" i="92"/>
  <c r="R66" i="92"/>
  <c r="R43" i="92"/>
  <c r="R42" i="92"/>
  <c r="R67" i="92"/>
  <c r="R55" i="92"/>
  <c r="R23" i="92"/>
  <c r="N59" i="92"/>
  <c r="L59" i="92"/>
  <c r="J76" i="93"/>
  <c r="J80" i="93"/>
  <c r="J78" i="93"/>
  <c r="J49" i="93"/>
  <c r="J31" i="93"/>
  <c r="J27" i="93"/>
  <c r="J23" i="93"/>
  <c r="J21" i="93"/>
  <c r="J19" i="93"/>
  <c r="J74" i="93"/>
  <c r="J58" i="93"/>
  <c r="J50" i="93"/>
  <c r="J32" i="93"/>
  <c r="H19" i="93"/>
  <c r="J75" i="93"/>
  <c r="J69" i="93"/>
  <c r="J65" i="93"/>
  <c r="J51" i="93"/>
  <c r="J41" i="93"/>
  <c r="J37" i="93"/>
  <c r="J33" i="93"/>
  <c r="J82" i="93"/>
  <c r="J52" i="93"/>
  <c r="J28" i="93"/>
  <c r="J24" i="93"/>
  <c r="J59" i="93"/>
  <c r="J53" i="93"/>
  <c r="J70" i="93"/>
  <c r="J66" i="93"/>
  <c r="J60" i="93"/>
  <c r="J54" i="93"/>
  <c r="J42" i="93"/>
  <c r="J38" i="93"/>
  <c r="J34" i="93"/>
  <c r="J61" i="93"/>
  <c r="J55" i="93"/>
  <c r="J43" i="93"/>
  <c r="J29" i="93"/>
  <c r="J25" i="93"/>
  <c r="J84" i="93"/>
  <c r="J56" i="93"/>
  <c r="J44" i="93"/>
  <c r="N12" i="93"/>
  <c r="J71" i="93"/>
  <c r="J67" i="93"/>
  <c r="J45" i="93"/>
  <c r="J39" i="93"/>
  <c r="J35" i="93"/>
  <c r="J68" i="93"/>
  <c r="J64" i="93"/>
  <c r="J48" i="93"/>
  <c r="J40" i="93"/>
  <c r="J36" i="93"/>
  <c r="J22" i="93"/>
  <c r="F46" i="93"/>
  <c r="R74" i="93"/>
  <c r="V97" i="95"/>
  <c r="V95" i="95"/>
  <c r="V92" i="95"/>
  <c r="V84" i="95"/>
  <c r="V80" i="95"/>
  <c r="V68" i="95"/>
  <c r="V60" i="95"/>
  <c r="V48" i="95"/>
  <c r="V20" i="95"/>
  <c r="V75" i="95"/>
  <c r="V59" i="95"/>
  <c r="V51" i="95"/>
  <c r="V43" i="95"/>
  <c r="V39" i="95"/>
  <c r="V94" i="95"/>
  <c r="V86" i="95"/>
  <c r="V74" i="95"/>
  <c r="V70" i="95"/>
  <c r="V62" i="95"/>
  <c r="V50" i="95"/>
  <c r="V34" i="95"/>
  <c r="V30" i="95"/>
  <c r="V26" i="95"/>
  <c r="V93" i="95"/>
  <c r="V85" i="95"/>
  <c r="V81" i="95"/>
  <c r="V77" i="95"/>
  <c r="V61" i="95"/>
  <c r="V53" i="95"/>
  <c r="V25" i="95"/>
  <c r="V21" i="95"/>
  <c r="V101" i="95"/>
  <c r="V76" i="95"/>
  <c r="V64" i="95"/>
  <c r="V52" i="95"/>
  <c r="V44" i="95"/>
  <c r="V40" i="95"/>
  <c r="V36" i="95"/>
  <c r="T23" i="95"/>
  <c r="V87" i="95"/>
  <c r="V71" i="95"/>
  <c r="V63" i="95"/>
  <c r="V35" i="95"/>
  <c r="V31" i="95"/>
  <c r="V27" i="95"/>
  <c r="V82" i="95"/>
  <c r="V78" i="95"/>
  <c r="V66" i="95"/>
  <c r="V54" i="95"/>
  <c r="V18" i="95"/>
  <c r="V89" i="95"/>
  <c r="V65" i="95"/>
  <c r="V45" i="95"/>
  <c r="V41" i="95"/>
  <c r="V37" i="95"/>
  <c r="V88" i="95"/>
  <c r="V72" i="95"/>
  <c r="V56" i="95"/>
  <c r="V32" i="95"/>
  <c r="V28" i="95"/>
  <c r="V91" i="95"/>
  <c r="V83" i="95"/>
  <c r="V79" i="95"/>
  <c r="V67" i="95"/>
  <c r="V55" i="95"/>
  <c r="V47" i="95"/>
  <c r="V19" i="95"/>
  <c r="V73" i="95"/>
  <c r="V69" i="95"/>
  <c r="V57" i="95"/>
  <c r="V49" i="95"/>
  <c r="V33" i="95"/>
  <c r="V29" i="95"/>
  <c r="V90" i="95"/>
  <c r="V38" i="95"/>
  <c r="V46" i="95"/>
  <c r="V23" i="87"/>
  <c r="V27" i="87"/>
  <c r="V51" i="87"/>
  <c r="V59" i="87"/>
  <c r="V67" i="87"/>
  <c r="J19" i="88"/>
  <c r="V25" i="88"/>
  <c r="F16" i="91"/>
  <c r="J19" i="91"/>
  <c r="R20" i="91"/>
  <c r="J23" i="91"/>
  <c r="F26" i="91"/>
  <c r="F30" i="91"/>
  <c r="V40" i="91"/>
  <c r="R43" i="91"/>
  <c r="J46" i="91"/>
  <c r="R47" i="91"/>
  <c r="F49" i="91"/>
  <c r="V50" i="91"/>
  <c r="F61" i="91"/>
  <c r="R62" i="91"/>
  <c r="J72" i="91"/>
  <c r="Z73" i="91"/>
  <c r="V91" i="91"/>
  <c r="X13" i="92"/>
  <c r="R61" i="92"/>
  <c r="Z21" i="93"/>
  <c r="J46" i="93"/>
  <c r="Z49" i="93"/>
  <c r="V72" i="87"/>
  <c r="V76" i="87"/>
  <c r="V84" i="87"/>
  <c r="J30" i="88"/>
  <c r="J32" i="88"/>
  <c r="H16" i="91"/>
  <c r="J18" i="91"/>
  <c r="J26" i="91"/>
  <c r="J30" i="91"/>
  <c r="R39" i="91"/>
  <c r="V56" i="91"/>
  <c r="J61" i="91"/>
  <c r="V65" i="91"/>
  <c r="J69" i="91"/>
  <c r="R70" i="91"/>
  <c r="V73" i="91"/>
  <c r="J75" i="91"/>
  <c r="R78" i="91"/>
  <c r="T78" i="94"/>
  <c r="Z20" i="94"/>
  <c r="V49" i="87"/>
  <c r="V65" i="87"/>
  <c r="V85" i="87"/>
  <c r="J16" i="91"/>
  <c r="J42" i="91"/>
  <c r="J52" i="91"/>
  <c r="Z53" i="91"/>
  <c r="F58" i="91"/>
  <c r="R59" i="91"/>
  <c r="R67" i="91"/>
  <c r="V70" i="91"/>
  <c r="V78" i="91"/>
  <c r="V86" i="91"/>
  <c r="N16" i="93"/>
  <c r="L16" i="93"/>
  <c r="Z51" i="93"/>
  <c r="X51" i="93"/>
  <c r="V22" i="87"/>
  <c r="V26" i="87"/>
  <c r="V30" i="87"/>
  <c r="V58" i="87"/>
  <c r="V82" i="87"/>
  <c r="N12" i="88"/>
  <c r="V20" i="88"/>
  <c r="X23" i="88"/>
  <c r="J28" i="88"/>
  <c r="V34" i="88"/>
  <c r="V36" i="88"/>
  <c r="V39" i="88"/>
  <c r="J14" i="91"/>
  <c r="J22" i="91"/>
  <c r="R23" i="91"/>
  <c r="F25" i="91"/>
  <c r="F32" i="91"/>
  <c r="V33" i="91"/>
  <c r="F35" i="91"/>
  <c r="J38" i="91"/>
  <c r="J45" i="91"/>
  <c r="R46" i="91"/>
  <c r="V53" i="91"/>
  <c r="F66" i="91"/>
  <c r="V72" i="91"/>
  <c r="F77" i="91"/>
  <c r="J81" i="91"/>
  <c r="X82" i="91"/>
  <c r="F66" i="92"/>
  <c r="F42" i="92"/>
  <c r="F41" i="92"/>
  <c r="F61" i="92"/>
  <c r="F53" i="92"/>
  <c r="F52" i="92"/>
  <c r="F37" i="92"/>
  <c r="F33" i="92"/>
  <c r="F72" i="92"/>
  <c r="F44" i="92"/>
  <c r="F43" i="92"/>
  <c r="F28" i="92"/>
  <c r="F24" i="92"/>
  <c r="F67" i="92"/>
  <c r="F55" i="92"/>
  <c r="F54" i="92"/>
  <c r="F74" i="92"/>
  <c r="F73" i="92"/>
  <c r="F62" i="92"/>
  <c r="F46" i="92"/>
  <c r="F45" i="92"/>
  <c r="F38" i="92"/>
  <c r="F34" i="92"/>
  <c r="F29" i="92"/>
  <c r="F25" i="92"/>
  <c r="F68" i="92"/>
  <c r="F56" i="92"/>
  <c r="F16" i="92"/>
  <c r="F15" i="92"/>
  <c r="F78" i="92"/>
  <c r="F76" i="92"/>
  <c r="F63" i="92"/>
  <c r="F47" i="92"/>
  <c r="F39" i="92"/>
  <c r="F35" i="92"/>
  <c r="F31" i="92"/>
  <c r="F30" i="92"/>
  <c r="F80" i="92"/>
  <c r="F58" i="92"/>
  <c r="F57" i="92"/>
  <c r="F26" i="92"/>
  <c r="F22" i="92"/>
  <c r="F21" i="92"/>
  <c r="L12" i="92"/>
  <c r="F85" i="92"/>
  <c r="F82" i="92"/>
  <c r="F71" i="92"/>
  <c r="F70" i="92"/>
  <c r="F51" i="92"/>
  <c r="F50" i="92"/>
  <c r="F27" i="92"/>
  <c r="F23" i="92"/>
  <c r="R20" i="92"/>
  <c r="F60" i="92"/>
  <c r="F64" i="92"/>
  <c r="J16" i="93"/>
  <c r="J63" i="93"/>
  <c r="F67" i="93"/>
  <c r="J73" i="93"/>
  <c r="V31" i="87"/>
  <c r="V35" i="87"/>
  <c r="V39" i="87"/>
  <c r="L44" i="87"/>
  <c r="V47" i="87"/>
  <c r="V71" i="87"/>
  <c r="V75" i="87"/>
  <c r="V83" i="87"/>
  <c r="T16" i="88"/>
  <c r="V21" i="88"/>
  <c r="F25" i="88"/>
  <c r="J27" i="88"/>
  <c r="X18" i="91"/>
  <c r="Z18" i="91" s="1"/>
  <c r="R19" i="91"/>
  <c r="J25" i="91"/>
  <c r="R26" i="91"/>
  <c r="R30" i="91"/>
  <c r="J32" i="91"/>
  <c r="F41" i="91"/>
  <c r="J55" i="91"/>
  <c r="R61" i="91"/>
  <c r="V64" i="91"/>
  <c r="J66" i="91"/>
  <c r="R69" i="91"/>
  <c r="J61" i="92"/>
  <c r="J53" i="92"/>
  <c r="J43" i="92"/>
  <c r="J37" i="92"/>
  <c r="J33" i="92"/>
  <c r="J72" i="92"/>
  <c r="J54" i="92"/>
  <c r="J44" i="92"/>
  <c r="J28" i="92"/>
  <c r="J24" i="92"/>
  <c r="J73" i="92"/>
  <c r="J67" i="92"/>
  <c r="J55" i="92"/>
  <c r="J45" i="92"/>
  <c r="J74" i="92"/>
  <c r="J62" i="92"/>
  <c r="J46" i="92"/>
  <c r="J29" i="92"/>
  <c r="J25" i="92"/>
  <c r="J15" i="92"/>
  <c r="J78" i="92"/>
  <c r="J76" i="92"/>
  <c r="J68" i="92"/>
  <c r="J56" i="92"/>
  <c r="J30" i="92"/>
  <c r="J16" i="92"/>
  <c r="J63" i="92"/>
  <c r="J57" i="92"/>
  <c r="J47" i="92"/>
  <c r="J39" i="92"/>
  <c r="J35" i="92"/>
  <c r="J31" i="92"/>
  <c r="J21" i="92"/>
  <c r="J80" i="92"/>
  <c r="J64" i="92"/>
  <c r="J58" i="92"/>
  <c r="J48" i="92"/>
  <c r="J69" i="92"/>
  <c r="J65" i="92"/>
  <c r="J59" i="92"/>
  <c r="J49" i="92"/>
  <c r="H18" i="92"/>
  <c r="J66" i="92"/>
  <c r="J52" i="92"/>
  <c r="J42" i="92"/>
  <c r="D18" i="92"/>
  <c r="J26" i="92"/>
  <c r="R54" i="92"/>
  <c r="J60" i="92"/>
  <c r="F26" i="93"/>
  <c r="F30" i="93"/>
  <c r="F45" i="93"/>
  <c r="F78" i="93"/>
  <c r="J87" i="93"/>
  <c r="Z77" i="95"/>
  <c r="V56" i="87"/>
  <c r="V64" i="87"/>
  <c r="V80" i="87"/>
  <c r="V14" i="88"/>
  <c r="V16" i="88"/>
  <c r="F76" i="91"/>
  <c r="F75" i="91"/>
  <c r="F64" i="91"/>
  <c r="F63" i="91"/>
  <c r="F48" i="91"/>
  <c r="F47" i="91"/>
  <c r="F81" i="91"/>
  <c r="F60" i="91"/>
  <c r="F52" i="91"/>
  <c r="F51" i="91"/>
  <c r="F82" i="91"/>
  <c r="F80" i="91"/>
  <c r="F71" i="91"/>
  <c r="F67" i="91"/>
  <c r="F43" i="91"/>
  <c r="F42" i="91"/>
  <c r="F86" i="91"/>
  <c r="F72" i="91"/>
  <c r="F68" i="91"/>
  <c r="F56" i="91"/>
  <c r="F55" i="91"/>
  <c r="F28" i="91"/>
  <c r="F24" i="91"/>
  <c r="F20" i="91"/>
  <c r="F19" i="91"/>
  <c r="F91" i="91"/>
  <c r="F88" i="91"/>
  <c r="F69" i="91"/>
  <c r="F57" i="91"/>
  <c r="P16" i="91"/>
  <c r="R18" i="91"/>
  <c r="F21" i="91"/>
  <c r="J28" i="91"/>
  <c r="F37" i="91"/>
  <c r="L40" i="91"/>
  <c r="J41" i="91"/>
  <c r="F44" i="91"/>
  <c r="V49" i="91"/>
  <c r="X55" i="91"/>
  <c r="J57" i="91"/>
  <c r="V61" i="91"/>
  <c r="V69" i="91"/>
  <c r="F84" i="91"/>
  <c r="R45" i="92"/>
  <c r="N70" i="92"/>
  <c r="L70" i="92"/>
  <c r="R73" i="92"/>
  <c r="R87" i="93"/>
  <c r="R84" i="93"/>
  <c r="R82" i="93"/>
  <c r="R53" i="93"/>
  <c r="R52" i="93"/>
  <c r="R28" i="93"/>
  <c r="R24" i="93"/>
  <c r="R76" i="93"/>
  <c r="R60" i="93"/>
  <c r="R59" i="93"/>
  <c r="R70" i="93"/>
  <c r="R66" i="93"/>
  <c r="R55" i="93"/>
  <c r="R54" i="93"/>
  <c r="R43" i="93"/>
  <c r="R42" i="93"/>
  <c r="R38" i="93"/>
  <c r="R34" i="93"/>
  <c r="R61" i="93"/>
  <c r="R29" i="93"/>
  <c r="R25" i="93"/>
  <c r="R56" i="93"/>
  <c r="R45" i="93"/>
  <c r="R44" i="93"/>
  <c r="X12" i="93"/>
  <c r="R78" i="93"/>
  <c r="R72" i="93"/>
  <c r="R71" i="93"/>
  <c r="R67" i="93"/>
  <c r="R39" i="93"/>
  <c r="R35" i="93"/>
  <c r="R16" i="93"/>
  <c r="R63" i="93"/>
  <c r="R62" i="93"/>
  <c r="R47" i="93"/>
  <c r="R46" i="93"/>
  <c r="R30" i="93"/>
  <c r="R26" i="93"/>
  <c r="R73" i="93"/>
  <c r="R57" i="93"/>
  <c r="R22" i="93"/>
  <c r="R17" i="93"/>
  <c r="R80" i="93"/>
  <c r="R68" i="93"/>
  <c r="R64" i="93"/>
  <c r="R49" i="93"/>
  <c r="R48" i="93"/>
  <c r="R40" i="93"/>
  <c r="R36" i="93"/>
  <c r="R21" i="93"/>
  <c r="R19" i="93"/>
  <c r="R69" i="93"/>
  <c r="R65" i="93"/>
  <c r="R41" i="93"/>
  <c r="R37" i="93"/>
  <c r="R33" i="93"/>
  <c r="P19" i="93"/>
  <c r="J26" i="93"/>
  <c r="J30" i="93"/>
  <c r="N45" i="93"/>
  <c r="L45" i="93"/>
  <c r="J77" i="91"/>
  <c r="J65" i="91"/>
  <c r="J59" i="91"/>
  <c r="J49" i="91"/>
  <c r="J39" i="91"/>
  <c r="J35" i="91"/>
  <c r="J31" i="91"/>
  <c r="J82" i="91"/>
  <c r="J71" i="91"/>
  <c r="J67" i="91"/>
  <c r="J53" i="91"/>
  <c r="J43" i="91"/>
  <c r="J84" i="91"/>
  <c r="J54" i="91"/>
  <c r="J44" i="91"/>
  <c r="J73" i="91"/>
  <c r="J29" i="91"/>
  <c r="J76" i="91"/>
  <c r="J64" i="91"/>
  <c r="J58" i="91"/>
  <c r="J48" i="91"/>
  <c r="X14" i="91"/>
  <c r="J21" i="91"/>
  <c r="J37" i="91"/>
  <c r="J51" i="91"/>
  <c r="F54" i="91"/>
  <c r="R55" i="91"/>
  <c r="J60" i="91"/>
  <c r="J63" i="91"/>
  <c r="J68" i="91"/>
  <c r="J88" i="91"/>
  <c r="X45" i="92"/>
  <c r="Z45" i="92" s="1"/>
  <c r="Z73" i="92"/>
  <c r="X73" i="92"/>
  <c r="Z18" i="92"/>
  <c r="V30" i="92"/>
  <c r="V34" i="92"/>
  <c r="V38" i="92"/>
  <c r="V46" i="92"/>
  <c r="V62" i="92"/>
  <c r="V74" i="92"/>
  <c r="V76" i="92"/>
  <c r="V78" i="92"/>
  <c r="V24" i="93"/>
  <c r="V28" i="93"/>
  <c r="V52" i="93"/>
  <c r="V60" i="93"/>
  <c r="X17" i="94"/>
  <c r="L33" i="94"/>
  <c r="L54" i="94"/>
  <c r="L61" i="94"/>
  <c r="V33" i="92"/>
  <c r="V37" i="92"/>
  <c r="V45" i="92"/>
  <c r="V53" i="92"/>
  <c r="V61" i="92"/>
  <c r="V73" i="92"/>
  <c r="V23" i="93"/>
  <c r="V27" i="93"/>
  <c r="V31" i="93"/>
  <c r="V51" i="93"/>
  <c r="V75" i="93"/>
  <c r="X33" i="94"/>
  <c r="F106" i="95"/>
  <c r="F103" i="95"/>
  <c r="F65" i="95"/>
  <c r="F64" i="95"/>
  <c r="F45" i="95"/>
  <c r="F41" i="95"/>
  <c r="F37" i="95"/>
  <c r="F36" i="95"/>
  <c r="D23" i="95"/>
  <c r="F88" i="95"/>
  <c r="F72" i="95"/>
  <c r="F32" i="95"/>
  <c r="F28" i="95"/>
  <c r="L12" i="95"/>
  <c r="N12" i="95" s="1"/>
  <c r="F97" i="95"/>
  <c r="F83" i="95"/>
  <c r="F79" i="95"/>
  <c r="F67" i="95"/>
  <c r="F66" i="95"/>
  <c r="F55" i="95"/>
  <c r="F19" i="95"/>
  <c r="F18" i="95"/>
  <c r="F90" i="95"/>
  <c r="F89" i="95"/>
  <c r="F46" i="95"/>
  <c r="F42" i="95"/>
  <c r="F38" i="95"/>
  <c r="F99" i="95"/>
  <c r="F73" i="95"/>
  <c r="F57" i="95"/>
  <c r="F56" i="95"/>
  <c r="F33" i="95"/>
  <c r="F29" i="95"/>
  <c r="F92" i="95"/>
  <c r="F91" i="95"/>
  <c r="F84" i="95"/>
  <c r="F80" i="95"/>
  <c r="F68" i="95"/>
  <c r="F48" i="95"/>
  <c r="F47" i="95"/>
  <c r="F20" i="95"/>
  <c r="F59" i="95"/>
  <c r="F58" i="95"/>
  <c r="F43" i="95"/>
  <c r="F39" i="95"/>
  <c r="F101" i="95"/>
  <c r="F74" i="95"/>
  <c r="F70" i="95"/>
  <c r="F69" i="95"/>
  <c r="F50" i="95"/>
  <c r="F49" i="95"/>
  <c r="F34" i="95"/>
  <c r="F30" i="95"/>
  <c r="F93" i="95"/>
  <c r="F85" i="95"/>
  <c r="F81" i="95"/>
  <c r="F61" i="95"/>
  <c r="F60" i="95"/>
  <c r="F21" i="95"/>
  <c r="F76" i="95"/>
  <c r="F75" i="95"/>
  <c r="F52" i="95"/>
  <c r="F51" i="95"/>
  <c r="F44" i="95"/>
  <c r="F40" i="95"/>
  <c r="F82" i="95"/>
  <c r="F78" i="95"/>
  <c r="F77" i="95"/>
  <c r="F54" i="95"/>
  <c r="F53" i="95"/>
  <c r="F25" i="95"/>
  <c r="F23" i="95"/>
  <c r="F26" i="95"/>
  <c r="X47" i="95"/>
  <c r="Z47" i="95" s="1"/>
  <c r="Z56" i="95"/>
  <c r="F63" i="95"/>
  <c r="X91" i="95"/>
  <c r="V68" i="93"/>
  <c r="T80" i="93"/>
  <c r="V51" i="92"/>
  <c r="V71" i="92"/>
  <c r="V49" i="93"/>
  <c r="V57" i="93"/>
  <c r="F94" i="95"/>
  <c r="P85" i="97"/>
  <c r="X19" i="97"/>
  <c r="V32" i="92"/>
  <c r="V36" i="92"/>
  <c r="V40" i="92"/>
  <c r="V52" i="92"/>
  <c r="V60" i="92"/>
  <c r="V87" i="93"/>
  <c r="V84" i="93"/>
  <c r="V82" i="93"/>
  <c r="V80" i="93"/>
  <c r="V78" i="93"/>
  <c r="V76" i="93"/>
  <c r="V22" i="93"/>
  <c r="V26" i="93"/>
  <c r="V30" i="93"/>
  <c r="V46" i="93"/>
  <c r="V62" i="93"/>
  <c r="N53" i="95"/>
  <c r="J53" i="95"/>
  <c r="N94" i="95"/>
  <c r="V41" i="92"/>
  <c r="V49" i="92"/>
  <c r="V65" i="92"/>
  <c r="V69" i="92"/>
  <c r="V47" i="93"/>
  <c r="V63" i="93"/>
  <c r="V67" i="93"/>
  <c r="V71" i="93"/>
  <c r="V56" i="93"/>
  <c r="V72" i="93"/>
  <c r="H99" i="95"/>
  <c r="J23" i="95"/>
  <c r="Z53" i="95"/>
  <c r="V59" i="92"/>
  <c r="V63" i="92"/>
  <c r="V61" i="93"/>
  <c r="L25" i="95"/>
  <c r="N25" i="95" s="1"/>
  <c r="L45" i="92"/>
  <c r="N45" i="92" s="1"/>
  <c r="X59" i="92"/>
  <c r="L73" i="92"/>
  <c r="V70" i="93"/>
  <c r="J25" i="95"/>
  <c r="N51" i="95"/>
  <c r="N58" i="95"/>
  <c r="L13" i="97"/>
  <c r="D12" i="97"/>
  <c r="V21" i="92"/>
  <c r="V25" i="92"/>
  <c r="V29" i="92"/>
  <c r="V43" i="93"/>
  <c r="V55" i="93"/>
  <c r="V59" i="93"/>
  <c r="J80" i="94"/>
  <c r="J58" i="94"/>
  <c r="J48" i="94"/>
  <c r="J18" i="94"/>
  <c r="J59" i="94"/>
  <c r="J49" i="94"/>
  <c r="J85" i="94"/>
  <c r="J82" i="94"/>
  <c r="J68" i="94"/>
  <c r="J60" i="94"/>
  <c r="J50" i="94"/>
  <c r="J32" i="94"/>
  <c r="J28" i="94"/>
  <c r="J24" i="94"/>
  <c r="J22" i="94"/>
  <c r="J20" i="94"/>
  <c r="J69" i="94"/>
  <c r="J61" i="94"/>
  <c r="J51" i="94"/>
  <c r="J33" i="94"/>
  <c r="J70" i="94"/>
  <c r="J71" i="94"/>
  <c r="J63" i="94"/>
  <c r="J53" i="94"/>
  <c r="J29" i="94"/>
  <c r="J25" i="94"/>
  <c r="J72" i="94"/>
  <c r="J64" i="94"/>
  <c r="J54" i="94"/>
  <c r="J73" i="94"/>
  <c r="J65" i="94"/>
  <c r="J74" i="94"/>
  <c r="J66" i="94"/>
  <c r="J56" i="94"/>
  <c r="J44" i="94"/>
  <c r="J30" i="94"/>
  <c r="J26" i="94"/>
  <c r="J57" i="94"/>
  <c r="J67" i="94"/>
  <c r="J47" i="94"/>
  <c r="J31" i="94"/>
  <c r="J27" i="94"/>
  <c r="H20" i="94"/>
  <c r="J76" i="94"/>
  <c r="L77" i="95"/>
  <c r="N77" i="95" s="1"/>
  <c r="F95" i="95"/>
  <c r="V51" i="94"/>
  <c r="V63" i="94"/>
  <c r="V71" i="94"/>
  <c r="P12" i="95"/>
  <c r="L18" i="95"/>
  <c r="N18" i="95" s="1"/>
  <c r="J37" i="95"/>
  <c r="J41" i="95"/>
  <c r="J45" i="95"/>
  <c r="J65" i="95"/>
  <c r="R83" i="97"/>
  <c r="V61" i="94"/>
  <c r="V69" i="94"/>
  <c r="J63" i="95"/>
  <c r="J71" i="95"/>
  <c r="J77" i="95"/>
  <c r="J87" i="95"/>
  <c r="J95" i="95"/>
  <c r="T85" i="97"/>
  <c r="N19" i="99"/>
  <c r="V18" i="94"/>
  <c r="V20" i="94"/>
  <c r="V22" i="94"/>
  <c r="V50" i="94"/>
  <c r="V58" i="94"/>
  <c r="V80" i="94"/>
  <c r="V82" i="94"/>
  <c r="V85" i="94"/>
  <c r="J26" i="95"/>
  <c r="J40" i="95"/>
  <c r="J44" i="95"/>
  <c r="J52" i="95"/>
  <c r="J62" i="95"/>
  <c r="J76" i="95"/>
  <c r="J86" i="95"/>
  <c r="J94" i="95"/>
  <c r="V67" i="94"/>
  <c r="J51" i="95"/>
  <c r="X56" i="95"/>
  <c r="J61" i="95"/>
  <c r="L62" i="95"/>
  <c r="N62" i="95" s="1"/>
  <c r="J75" i="95"/>
  <c r="J81" i="95"/>
  <c r="J85" i="95"/>
  <c r="L86" i="95"/>
  <c r="N86" i="95" s="1"/>
  <c r="J93" i="95"/>
  <c r="R82" i="97"/>
  <c r="F21" i="98"/>
  <c r="F20" i="98"/>
  <c r="F19" i="98"/>
  <c r="F17" i="98"/>
  <c r="F15" i="98"/>
  <c r="D17" i="98"/>
  <c r="F23" i="98"/>
  <c r="L12" i="98"/>
  <c r="F27" i="98"/>
  <c r="J50" i="95"/>
  <c r="J60" i="95"/>
  <c r="J70" i="95"/>
  <c r="J74" i="95"/>
  <c r="J101" i="95"/>
  <c r="H85" i="97"/>
  <c r="N19" i="97"/>
  <c r="V45" i="94"/>
  <c r="V57" i="94"/>
  <c r="L13" i="95"/>
  <c r="N13" i="95" s="1"/>
  <c r="J39" i="95"/>
  <c r="J43" i="95"/>
  <c r="J49" i="95"/>
  <c r="J59" i="95"/>
  <c r="J69" i="95"/>
  <c r="J80" i="97"/>
  <c r="J64" i="97"/>
  <c r="J48" i="97"/>
  <c r="J40" i="97"/>
  <c r="J36" i="97"/>
  <c r="J32" i="97"/>
  <c r="J22" i="97"/>
  <c r="J65" i="97"/>
  <c r="J49" i="97"/>
  <c r="J27" i="97"/>
  <c r="J23" i="97"/>
  <c r="J21" i="97"/>
  <c r="J19" i="97"/>
  <c r="J83" i="97"/>
  <c r="J82" i="97"/>
  <c r="J74" i="97"/>
  <c r="J70" i="97"/>
  <c r="J66" i="97"/>
  <c r="J58" i="97"/>
  <c r="J50" i="97"/>
  <c r="J85" i="97"/>
  <c r="J59" i="97"/>
  <c r="J51" i="97"/>
  <c r="J41" i="97"/>
  <c r="J37" i="97"/>
  <c r="J33" i="97"/>
  <c r="J60" i="97"/>
  <c r="J52" i="97"/>
  <c r="J42" i="97"/>
  <c r="J28" i="97"/>
  <c r="J24" i="97"/>
  <c r="J87" i="97"/>
  <c r="J75" i="97"/>
  <c r="J71" i="97"/>
  <c r="J67" i="97"/>
  <c r="J53" i="97"/>
  <c r="J43" i="97"/>
  <c r="J76" i="97"/>
  <c r="J54" i="97"/>
  <c r="J44" i="97"/>
  <c r="J38" i="97"/>
  <c r="J34" i="97"/>
  <c r="J92" i="97"/>
  <c r="J89" i="97"/>
  <c r="J77" i="97"/>
  <c r="J61" i="97"/>
  <c r="J55" i="97"/>
  <c r="J45" i="97"/>
  <c r="J29" i="97"/>
  <c r="J25" i="97"/>
  <c r="J72" i="97"/>
  <c r="J68" i="97"/>
  <c r="J62" i="97"/>
  <c r="J56" i="97"/>
  <c r="J46" i="97"/>
  <c r="J63" i="97"/>
  <c r="J47" i="97"/>
  <c r="J39" i="97"/>
  <c r="J35" i="97"/>
  <c r="J79" i="97"/>
  <c r="J73" i="97"/>
  <c r="J69" i="97"/>
  <c r="J57" i="97"/>
  <c r="J31" i="97"/>
  <c r="J17" i="97"/>
  <c r="V74" i="94"/>
  <c r="V76" i="94"/>
  <c r="V78" i="94"/>
  <c r="J58" i="95"/>
  <c r="J68" i="95"/>
  <c r="J80" i="95"/>
  <c r="J84" i="95"/>
  <c r="J92" i="95"/>
  <c r="V35" i="94"/>
  <c r="V39" i="94"/>
  <c r="V43" i="94"/>
  <c r="V55" i="94"/>
  <c r="J29" i="95"/>
  <c r="J33" i="95"/>
  <c r="J47" i="95"/>
  <c r="J57" i="95"/>
  <c r="J73" i="95"/>
  <c r="J91" i="95"/>
  <c r="R42" i="97"/>
  <c r="R41" i="97"/>
  <c r="R37" i="97"/>
  <c r="R33" i="97"/>
  <c r="R60" i="97"/>
  <c r="R53" i="97"/>
  <c r="R52" i="97"/>
  <c r="R28" i="97"/>
  <c r="R24" i="97"/>
  <c r="R87" i="97"/>
  <c r="R76" i="97"/>
  <c r="R75" i="97"/>
  <c r="R71" i="97"/>
  <c r="R67" i="97"/>
  <c r="R44" i="97"/>
  <c r="R43" i="97"/>
  <c r="R92" i="97"/>
  <c r="R89" i="97"/>
  <c r="R55" i="97"/>
  <c r="R54" i="97"/>
  <c r="R38" i="97"/>
  <c r="R34" i="97"/>
  <c r="R77" i="97"/>
  <c r="R62" i="97"/>
  <c r="R61" i="97"/>
  <c r="R46" i="97"/>
  <c r="R45" i="97"/>
  <c r="R29" i="97"/>
  <c r="R25" i="97"/>
  <c r="R72" i="97"/>
  <c r="R68" i="97"/>
  <c r="R56" i="97"/>
  <c r="R63" i="97"/>
  <c r="R47" i="97"/>
  <c r="R39" i="97"/>
  <c r="R35" i="97"/>
  <c r="R16" i="97"/>
  <c r="R79" i="97"/>
  <c r="R78" i="97"/>
  <c r="R31" i="97"/>
  <c r="R30" i="97"/>
  <c r="R26" i="97"/>
  <c r="R73" i="97"/>
  <c r="R69" i="97"/>
  <c r="R57" i="97"/>
  <c r="R22" i="97"/>
  <c r="R17" i="97"/>
  <c r="R80" i="97"/>
  <c r="R65" i="97"/>
  <c r="R64" i="97"/>
  <c r="R49" i="97"/>
  <c r="R48" i="97"/>
  <c r="R40" i="97"/>
  <c r="R36" i="97"/>
  <c r="R32" i="97"/>
  <c r="R21" i="97"/>
  <c r="R19" i="97"/>
  <c r="R85" i="97"/>
  <c r="R74" i="97"/>
  <c r="R70" i="97"/>
  <c r="R66" i="97"/>
  <c r="R59" i="97"/>
  <c r="R58" i="97"/>
  <c r="R51" i="97"/>
  <c r="R50" i="97"/>
  <c r="Z16" i="97"/>
  <c r="V44" i="94"/>
  <c r="V56" i="94"/>
  <c r="V64" i="94"/>
  <c r="V72" i="94"/>
  <c r="J99" i="95"/>
  <c r="J97" i="95"/>
  <c r="J38" i="95"/>
  <c r="J42" i="95"/>
  <c r="J46" i="95"/>
  <c r="J56" i="95"/>
  <c r="J90" i="95"/>
  <c r="D56" i="99"/>
  <c r="V53" i="94"/>
  <c r="V65" i="94"/>
  <c r="V73" i="94"/>
  <c r="J55" i="95"/>
  <c r="J67" i="95"/>
  <c r="J79" i="95"/>
  <c r="J83" i="95"/>
  <c r="J89" i="95"/>
  <c r="V34" i="94"/>
  <c r="V38" i="94"/>
  <c r="V42" i="94"/>
  <c r="V54" i="94"/>
  <c r="V62" i="94"/>
  <c r="J28" i="95"/>
  <c r="J32" i="95"/>
  <c r="J66" i="95"/>
  <c r="J72" i="95"/>
  <c r="J88" i="95"/>
  <c r="R27" i="97"/>
  <c r="Z18" i="99"/>
  <c r="V33" i="97"/>
  <c r="V37" i="97"/>
  <c r="V41" i="97"/>
  <c r="V53" i="97"/>
  <c r="P17" i="98"/>
  <c r="R21" i="98"/>
  <c r="H16" i="99"/>
  <c r="L16" i="99" s="1"/>
  <c r="F19" i="99"/>
  <c r="F20" i="99"/>
  <c r="V31" i="99"/>
  <c r="V35" i="99"/>
  <c r="R40" i="99"/>
  <c r="R41" i="99"/>
  <c r="V51" i="99"/>
  <c r="V58" i="99"/>
  <c r="L14" i="100"/>
  <c r="J32" i="100"/>
  <c r="Z25" i="101"/>
  <c r="X25" i="101"/>
  <c r="L56" i="102"/>
  <c r="V23" i="97"/>
  <c r="V27" i="97"/>
  <c r="V51" i="97"/>
  <c r="V59" i="97"/>
  <c r="V83" i="97"/>
  <c r="V85" i="97"/>
  <c r="T17" i="98"/>
  <c r="R20" i="98"/>
  <c r="F54" i="99"/>
  <c r="F63" i="99"/>
  <c r="F60" i="99"/>
  <c r="F49" i="99"/>
  <c r="F48" i="99"/>
  <c r="F53" i="99"/>
  <c r="F51" i="99"/>
  <c r="L14" i="99"/>
  <c r="J19" i="99"/>
  <c r="V21" i="99"/>
  <c r="V25" i="99"/>
  <c r="J29" i="99"/>
  <c r="R30" i="99"/>
  <c r="J33" i="99"/>
  <c r="R34" i="99"/>
  <c r="J37" i="99"/>
  <c r="R38" i="99"/>
  <c r="R39" i="99"/>
  <c r="V41" i="99"/>
  <c r="J45" i="99"/>
  <c r="V47" i="99"/>
  <c r="J49" i="99"/>
  <c r="V63" i="99"/>
  <c r="R25" i="100"/>
  <c r="N28" i="100"/>
  <c r="L28" i="100"/>
  <c r="Z34" i="101"/>
  <c r="X34" i="101"/>
  <c r="D12" i="103"/>
  <c r="L14" i="103"/>
  <c r="N14" i="103" s="1"/>
  <c r="Z50" i="103"/>
  <c r="V32" i="97"/>
  <c r="V36" i="97"/>
  <c r="V40" i="97"/>
  <c r="V48" i="97"/>
  <c r="V64" i="97"/>
  <c r="V80" i="97"/>
  <c r="V82" i="97"/>
  <c r="V15" i="98"/>
  <c r="V17" i="98"/>
  <c r="V19" i="98"/>
  <c r="J29" i="98"/>
  <c r="J32" i="98"/>
  <c r="J56" i="99"/>
  <c r="J47" i="99"/>
  <c r="J48" i="99"/>
  <c r="J52" i="99"/>
  <c r="J51" i="99"/>
  <c r="J54" i="99"/>
  <c r="F23" i="99"/>
  <c r="F27" i="99"/>
  <c r="J28" i="99"/>
  <c r="V30" i="99"/>
  <c r="V34" i="99"/>
  <c r="V38" i="99"/>
  <c r="F43" i="99"/>
  <c r="J44" i="99"/>
  <c r="F56" i="99"/>
  <c r="X14" i="100"/>
  <c r="R19" i="100"/>
  <c r="J28" i="100"/>
  <c r="Z14" i="101"/>
  <c r="X14" i="101"/>
  <c r="X18" i="101"/>
  <c r="Z18" i="101" s="1"/>
  <c r="Z18" i="102"/>
  <c r="X44" i="102"/>
  <c r="N26" i="103"/>
  <c r="Z48" i="103"/>
  <c r="V49" i="97"/>
  <c r="V57" i="97"/>
  <c r="V65" i="97"/>
  <c r="V69" i="97"/>
  <c r="V73" i="97"/>
  <c r="P16" i="99"/>
  <c r="R20" i="99"/>
  <c r="R24" i="99"/>
  <c r="F36" i="99"/>
  <c r="V39" i="99"/>
  <c r="J43" i="99"/>
  <c r="J60" i="99"/>
  <c r="Z19" i="100"/>
  <c r="R24" i="100"/>
  <c r="V14" i="101"/>
  <c r="V18" i="101"/>
  <c r="V20" i="101"/>
  <c r="V33" i="101"/>
  <c r="Z44" i="102"/>
  <c r="R89" i="103"/>
  <c r="R72" i="103"/>
  <c r="R93" i="103"/>
  <c r="R82" i="103"/>
  <c r="R78" i="103"/>
  <c r="R46" i="103"/>
  <c r="R42" i="103"/>
  <c r="R73" i="103"/>
  <c r="R58" i="103"/>
  <c r="R57" i="103"/>
  <c r="R75" i="103"/>
  <c r="R74" i="103"/>
  <c r="R86" i="103"/>
  <c r="R85" i="103"/>
  <c r="R70" i="103"/>
  <c r="R69" i="103"/>
  <c r="R62" i="103"/>
  <c r="R61" i="103"/>
  <c r="R87" i="103"/>
  <c r="R71" i="103"/>
  <c r="R64" i="103"/>
  <c r="R63" i="103"/>
  <c r="R52" i="103"/>
  <c r="R51" i="103"/>
  <c r="R35" i="103"/>
  <c r="R56" i="103"/>
  <c r="R43" i="103"/>
  <c r="R20" i="103"/>
  <c r="R79" i="103"/>
  <c r="R77" i="103"/>
  <c r="R37" i="103"/>
  <c r="R83" i="103"/>
  <c r="R81" i="103"/>
  <c r="R34" i="103"/>
  <c r="R30" i="103"/>
  <c r="R67" i="103"/>
  <c r="R53" i="103"/>
  <c r="R44" i="103"/>
  <c r="R26" i="103"/>
  <c r="R21" i="103"/>
  <c r="R47" i="103"/>
  <c r="R41" i="103"/>
  <c r="R38" i="103"/>
  <c r="R25" i="103"/>
  <c r="R84" i="103"/>
  <c r="R59" i="103"/>
  <c r="R54" i="103"/>
  <c r="R48" i="103"/>
  <c r="R31" i="103"/>
  <c r="R27" i="103"/>
  <c r="P23" i="103"/>
  <c r="R23" i="103" s="1"/>
  <c r="R76" i="103"/>
  <c r="R80" i="103"/>
  <c r="R18" i="103"/>
  <c r="R68" i="103"/>
  <c r="R65" i="103"/>
  <c r="R60" i="103"/>
  <c r="R45" i="103"/>
  <c r="R39" i="103"/>
  <c r="R32" i="103"/>
  <c r="R28" i="103"/>
  <c r="X12" i="103"/>
  <c r="Z12" i="103" s="1"/>
  <c r="R55" i="103"/>
  <c r="R49" i="103"/>
  <c r="R19" i="103"/>
  <c r="R50" i="103"/>
  <c r="R40" i="103"/>
  <c r="R36" i="103"/>
  <c r="R33" i="103"/>
  <c r="R29" i="103"/>
  <c r="V22" i="97"/>
  <c r="V26" i="97"/>
  <c r="V30" i="97"/>
  <c r="V78" i="97"/>
  <c r="J27" i="98"/>
  <c r="R14" i="99"/>
  <c r="R16" i="99"/>
  <c r="R18" i="99"/>
  <c r="V20" i="99"/>
  <c r="V24" i="99"/>
  <c r="R29" i="99"/>
  <c r="J32" i="99"/>
  <c r="R33" i="99"/>
  <c r="J36" i="99"/>
  <c r="R37" i="99"/>
  <c r="R45" i="99"/>
  <c r="R46" i="99"/>
  <c r="L48" i="99"/>
  <c r="F52" i="99"/>
  <c r="X53" i="99"/>
  <c r="Z53" i="99" s="1"/>
  <c r="R18" i="100"/>
  <c r="R28" i="100"/>
  <c r="V22" i="101"/>
  <c r="T58" i="102"/>
  <c r="X58" i="102" s="1"/>
  <c r="Z16" i="102"/>
  <c r="V35" i="97"/>
  <c r="V39" i="97"/>
  <c r="L44" i="97"/>
  <c r="V47" i="97"/>
  <c r="V63" i="97"/>
  <c r="L76" i="97"/>
  <c r="V79" i="97"/>
  <c r="N12" i="98"/>
  <c r="R63" i="99"/>
  <c r="R60" i="99"/>
  <c r="R52" i="99"/>
  <c r="R51" i="99"/>
  <c r="R53" i="99"/>
  <c r="R56" i="99"/>
  <c r="R58" i="99"/>
  <c r="T16" i="99"/>
  <c r="R19" i="99"/>
  <c r="F26" i="99"/>
  <c r="V29" i="99"/>
  <c r="V33" i="99"/>
  <c r="V37" i="99"/>
  <c r="F41" i="99"/>
  <c r="F42" i="99"/>
  <c r="V45" i="99"/>
  <c r="Z46" i="99"/>
  <c r="J26" i="100"/>
  <c r="J19" i="100"/>
  <c r="J37" i="100"/>
  <c r="J34" i="100"/>
  <c r="J20" i="100"/>
  <c r="J18" i="100"/>
  <c r="J16" i="100"/>
  <c r="J14" i="100"/>
  <c r="J22" i="100"/>
  <c r="J23" i="100"/>
  <c r="J25" i="100"/>
  <c r="R32" i="101"/>
  <c r="X12" i="101"/>
  <c r="R34" i="101"/>
  <c r="R33" i="101"/>
  <c r="R25" i="101"/>
  <c r="R24" i="101"/>
  <c r="R20" i="101"/>
  <c r="P16" i="101"/>
  <c r="R35" i="101"/>
  <c r="R39" i="101"/>
  <c r="R37" i="101"/>
  <c r="R27" i="101"/>
  <c r="R26" i="101"/>
  <c r="R21" i="101"/>
  <c r="R29" i="101"/>
  <c r="R28" i="101"/>
  <c r="R46" i="101"/>
  <c r="R43" i="101"/>
  <c r="R31" i="101"/>
  <c r="R30" i="101"/>
  <c r="R22" i="101"/>
  <c r="R16" i="101"/>
  <c r="N18" i="103"/>
  <c r="V56" i="97"/>
  <c r="V68" i="97"/>
  <c r="V72" i="97"/>
  <c r="J23" i="98"/>
  <c r="J25" i="98"/>
  <c r="V53" i="99"/>
  <c r="V56" i="99"/>
  <c r="V54" i="99"/>
  <c r="V14" i="99"/>
  <c r="V16" i="99"/>
  <c r="V18" i="99"/>
  <c r="J22" i="99"/>
  <c r="R23" i="99"/>
  <c r="J26" i="99"/>
  <c r="R27" i="99"/>
  <c r="R28" i="99"/>
  <c r="F31" i="99"/>
  <c r="F35" i="99"/>
  <c r="J42" i="99"/>
  <c r="R43" i="99"/>
  <c r="R44" i="99"/>
  <c r="V46" i="99"/>
  <c r="H16" i="100"/>
  <c r="V32" i="101"/>
  <c r="Z12" i="101"/>
  <c r="V23" i="101"/>
  <c r="V19" i="101"/>
  <c r="V34" i="101"/>
  <c r="V39" i="101"/>
  <c r="V37" i="101"/>
  <c r="V35" i="101"/>
  <c r="V27" i="101"/>
  <c r="V26" i="101"/>
  <c r="V29" i="101"/>
  <c r="V21" i="101"/>
  <c r="V28" i="101"/>
  <c r="V46" i="101"/>
  <c r="V43" i="101"/>
  <c r="V41" i="101"/>
  <c r="V31" i="101"/>
  <c r="T16" i="101"/>
  <c r="V45" i="97"/>
  <c r="V61" i="97"/>
  <c r="V77" i="97"/>
  <c r="H17" i="98"/>
  <c r="R27" i="98"/>
  <c r="X12" i="99"/>
  <c r="V19" i="99"/>
  <c r="V23" i="99"/>
  <c r="V27" i="99"/>
  <c r="J31" i="99"/>
  <c r="R32" i="99"/>
  <c r="J35" i="99"/>
  <c r="R36" i="99"/>
  <c r="F39" i="99"/>
  <c r="F40" i="99"/>
  <c r="J41" i="99"/>
  <c r="V43" i="99"/>
  <c r="X48" i="99"/>
  <c r="L51" i="99"/>
  <c r="N51" i="99" s="1"/>
  <c r="F58" i="99"/>
  <c r="V60" i="99"/>
  <c r="N12" i="100"/>
  <c r="V16" i="101"/>
  <c r="R41" i="101"/>
  <c r="X16" i="102"/>
  <c r="N66" i="103"/>
  <c r="V34" i="97"/>
  <c r="V38" i="97"/>
  <c r="V46" i="97"/>
  <c r="V54" i="97"/>
  <c r="V62" i="97"/>
  <c r="X12" i="98"/>
  <c r="J15" i="98"/>
  <c r="J17" i="98"/>
  <c r="J19" i="98"/>
  <c r="J21" i="98"/>
  <c r="V27" i="98"/>
  <c r="V29" i="98"/>
  <c r="F25" i="99"/>
  <c r="V28" i="99"/>
  <c r="V32" i="99"/>
  <c r="V36" i="99"/>
  <c r="J40" i="99"/>
  <c r="V44" i="99"/>
  <c r="R48" i="99"/>
  <c r="V52" i="99"/>
  <c r="J58" i="99"/>
  <c r="R32" i="100"/>
  <c r="R23" i="100"/>
  <c r="R22" i="100"/>
  <c r="R26" i="100"/>
  <c r="X12" i="100"/>
  <c r="P16" i="100"/>
  <c r="V30" i="101"/>
  <c r="V43" i="97"/>
  <c r="V55" i="97"/>
  <c r="V67" i="97"/>
  <c r="V71" i="97"/>
  <c r="V75" i="97"/>
  <c r="V87" i="97"/>
  <c r="V89" i="97"/>
  <c r="V92" i="97"/>
  <c r="J21" i="99"/>
  <c r="R22" i="99"/>
  <c r="J25" i="99"/>
  <c r="R26" i="99"/>
  <c r="F30" i="99"/>
  <c r="F34" i="99"/>
  <c r="F38" i="99"/>
  <c r="J39" i="99"/>
  <c r="R42" i="99"/>
  <c r="F47" i="99"/>
  <c r="J63" i="99"/>
  <c r="J30" i="100"/>
  <c r="N27" i="101"/>
  <c r="Z19" i="102"/>
  <c r="N48" i="102"/>
  <c r="R66" i="103"/>
  <c r="V24" i="97"/>
  <c r="V28" i="97"/>
  <c r="V44" i="97"/>
  <c r="V52" i="97"/>
  <c r="V60" i="97"/>
  <c r="R23" i="98"/>
  <c r="V22" i="99"/>
  <c r="V26" i="99"/>
  <c r="J30" i="99"/>
  <c r="R31" i="99"/>
  <c r="J34" i="99"/>
  <c r="R35" i="99"/>
  <c r="J38" i="99"/>
  <c r="V42" i="99"/>
  <c r="F46" i="99"/>
  <c r="V48" i="99"/>
  <c r="R54" i="99"/>
  <c r="T30" i="100"/>
  <c r="R30" i="100"/>
  <c r="R37" i="100"/>
  <c r="P62" i="102"/>
  <c r="V19" i="100"/>
  <c r="F23" i="100"/>
  <c r="F24" i="100"/>
  <c r="D16" i="101"/>
  <c r="J21" i="101"/>
  <c r="F25" i="101"/>
  <c r="F26" i="101"/>
  <c r="J27" i="101"/>
  <c r="J37" i="101"/>
  <c r="J39" i="101"/>
  <c r="V14" i="102"/>
  <c r="V16" i="102"/>
  <c r="V18" i="102"/>
  <c r="J22" i="102"/>
  <c r="R23" i="102"/>
  <c r="J26" i="102"/>
  <c r="R27" i="102"/>
  <c r="F31" i="102"/>
  <c r="F35" i="102"/>
  <c r="F39" i="102"/>
  <c r="J40" i="102"/>
  <c r="R43" i="102"/>
  <c r="R44" i="102"/>
  <c r="F47" i="102"/>
  <c r="J48" i="102"/>
  <c r="V50" i="102"/>
  <c r="F56" i="102"/>
  <c r="F58" i="102"/>
  <c r="J60" i="102"/>
  <c r="J18" i="103"/>
  <c r="J28" i="103"/>
  <c r="J32" i="103"/>
  <c r="V37" i="103"/>
  <c r="J39" i="103"/>
  <c r="V43" i="103"/>
  <c r="N60" i="103"/>
  <c r="Z75" i="103"/>
  <c r="P12" i="105"/>
  <c r="X14" i="105"/>
  <c r="Z14" i="105" s="1"/>
  <c r="Z56" i="105"/>
  <c r="Z62" i="105"/>
  <c r="F84" i="105"/>
  <c r="D16" i="100"/>
  <c r="F21" i="100"/>
  <c r="F22" i="100"/>
  <c r="H16" i="101"/>
  <c r="F19" i="101"/>
  <c r="F20" i="101"/>
  <c r="F24" i="101"/>
  <c r="J25" i="101"/>
  <c r="J35" i="101"/>
  <c r="Z14" i="102"/>
  <c r="F21" i="102"/>
  <c r="F25" i="102"/>
  <c r="V32" i="102"/>
  <c r="V36" i="102"/>
  <c r="R41" i="102"/>
  <c r="R42" i="102"/>
  <c r="V44" i="102"/>
  <c r="R49" i="102"/>
  <c r="J56" i="102"/>
  <c r="J58" i="102"/>
  <c r="R62" i="102"/>
  <c r="R65" i="102"/>
  <c r="V93" i="103"/>
  <c r="V67" i="103"/>
  <c r="V55" i="103"/>
  <c r="V82" i="103"/>
  <c r="V78" i="103"/>
  <c r="V73" i="103"/>
  <c r="V57" i="103"/>
  <c r="V84" i="103"/>
  <c r="V68" i="103"/>
  <c r="V60" i="103"/>
  <c r="V48" i="103"/>
  <c r="V85" i="103"/>
  <c r="V69" i="103"/>
  <c r="V61" i="103"/>
  <c r="V49" i="103"/>
  <c r="V80" i="103"/>
  <c r="V76" i="103"/>
  <c r="V64" i="103"/>
  <c r="V52" i="103"/>
  <c r="V66" i="103"/>
  <c r="V54" i="103"/>
  <c r="H23" i="103"/>
  <c r="J35" i="103"/>
  <c r="V50" i="103"/>
  <c r="X60" i="103"/>
  <c r="Z60" i="103" s="1"/>
  <c r="Z66" i="103"/>
  <c r="J80" i="103"/>
  <c r="J82" i="103"/>
  <c r="D16" i="104"/>
  <c r="Z26" i="105"/>
  <c r="F61" i="105"/>
  <c r="F14" i="100"/>
  <c r="F16" i="100"/>
  <c r="F18" i="100"/>
  <c r="V26" i="100"/>
  <c r="V28" i="100"/>
  <c r="V30" i="100"/>
  <c r="F34" i="100"/>
  <c r="F37" i="100"/>
  <c r="J14" i="101"/>
  <c r="J16" i="101"/>
  <c r="J18" i="101"/>
  <c r="J20" i="101"/>
  <c r="J24" i="101"/>
  <c r="F33" i="101"/>
  <c r="J34" i="101"/>
  <c r="D16" i="102"/>
  <c r="J21" i="102"/>
  <c r="R22" i="102"/>
  <c r="J25" i="102"/>
  <c r="R26" i="102"/>
  <c r="F29" i="102"/>
  <c r="F30" i="102"/>
  <c r="F34" i="102"/>
  <c r="F38" i="102"/>
  <c r="V41" i="102"/>
  <c r="F46" i="102"/>
  <c r="V49" i="102"/>
  <c r="F53" i="102"/>
  <c r="F54" i="102"/>
  <c r="R60" i="102"/>
  <c r="V19" i="103"/>
  <c r="J23" i="103"/>
  <c r="J25" i="103"/>
  <c r="J27" i="103"/>
  <c r="J31" i="103"/>
  <c r="X52" i="103"/>
  <c r="Z52" i="103" s="1"/>
  <c r="V63" i="103"/>
  <c r="J76" i="103"/>
  <c r="J78" i="103"/>
  <c r="N84" i="103"/>
  <c r="F14" i="102"/>
  <c r="F16" i="102"/>
  <c r="F18" i="102"/>
  <c r="J30" i="102"/>
  <c r="J34" i="102"/>
  <c r="J38" i="102"/>
  <c r="J46" i="102"/>
  <c r="R47" i="102"/>
  <c r="R48" i="102"/>
  <c r="J54" i="102"/>
  <c r="V60" i="102"/>
  <c r="V62" i="102"/>
  <c r="V65" i="102"/>
  <c r="J26" i="103"/>
  <c r="J38" i="103"/>
  <c r="J47" i="103"/>
  <c r="J59" i="103"/>
  <c r="V65" i="103"/>
  <c r="J70" i="103"/>
  <c r="V74" i="103"/>
  <c r="J86" i="103"/>
  <c r="R26" i="108"/>
  <c r="X12" i="108"/>
  <c r="R22" i="108"/>
  <c r="R16" i="108"/>
  <c r="R28" i="108"/>
  <c r="P16" i="108"/>
  <c r="R24" i="108"/>
  <c r="R18" i="108"/>
  <c r="R20" i="108"/>
  <c r="R31" i="108"/>
  <c r="R14" i="108"/>
  <c r="R21" i="108"/>
  <c r="V24" i="100"/>
  <c r="F23" i="101"/>
  <c r="H16" i="102"/>
  <c r="F19" i="102"/>
  <c r="F20" i="102"/>
  <c r="F24" i="102"/>
  <c r="F28" i="102"/>
  <c r="J29" i="102"/>
  <c r="V31" i="102"/>
  <c r="V35" i="102"/>
  <c r="V39" i="102"/>
  <c r="V47" i="102"/>
  <c r="F51" i="102"/>
  <c r="F52" i="102"/>
  <c r="J53" i="102"/>
  <c r="J21" i="103"/>
  <c r="V35" i="103"/>
  <c r="J44" i="103"/>
  <c r="X48" i="103"/>
  <c r="J62" i="103"/>
  <c r="V89" i="103"/>
  <c r="P16" i="104"/>
  <c r="F94" i="105"/>
  <c r="F87" i="105"/>
  <c r="F89" i="105"/>
  <c r="F88" i="105"/>
  <c r="F75" i="105"/>
  <c r="F63" i="105"/>
  <c r="F62" i="105"/>
  <c r="F51" i="105"/>
  <c r="F50" i="105"/>
  <c r="F35" i="105"/>
  <c r="F31" i="105"/>
  <c r="F27" i="105"/>
  <c r="F26" i="105"/>
  <c r="F70" i="105"/>
  <c r="F25" i="105"/>
  <c r="F23" i="105"/>
  <c r="F90" i="105"/>
  <c r="F77" i="105"/>
  <c r="F76" i="105"/>
  <c r="F65" i="105"/>
  <c r="F64" i="105"/>
  <c r="F53" i="105"/>
  <c r="F52" i="105"/>
  <c r="F45" i="105"/>
  <c r="F41" i="105"/>
  <c r="D23" i="105"/>
  <c r="F85" i="105"/>
  <c r="F82" i="105"/>
  <c r="F72" i="105"/>
  <c r="F71" i="105"/>
  <c r="F36" i="105"/>
  <c r="F32" i="105"/>
  <c r="F28" i="105"/>
  <c r="L12" i="105"/>
  <c r="N12" i="105" s="1"/>
  <c r="F79" i="105"/>
  <c r="F78" i="105"/>
  <c r="F67" i="105"/>
  <c r="F66" i="105"/>
  <c r="F55" i="105"/>
  <c r="F54" i="105"/>
  <c r="F19" i="105"/>
  <c r="F18" i="105"/>
  <c r="F46" i="105"/>
  <c r="F42" i="105"/>
  <c r="F38" i="105"/>
  <c r="F37" i="105"/>
  <c r="F91" i="105"/>
  <c r="F73" i="105"/>
  <c r="F57" i="105"/>
  <c r="F56" i="105"/>
  <c r="F33" i="105"/>
  <c r="F29" i="105"/>
  <c r="F98" i="105"/>
  <c r="F83" i="105"/>
  <c r="F80" i="105"/>
  <c r="F68" i="105"/>
  <c r="F20" i="105"/>
  <c r="F86" i="105"/>
  <c r="F59" i="105"/>
  <c r="F58" i="105"/>
  <c r="F47" i="105"/>
  <c r="F43" i="105"/>
  <c r="F39" i="105"/>
  <c r="F92" i="105"/>
  <c r="F74" i="105"/>
  <c r="F34" i="105"/>
  <c r="F30" i="105"/>
  <c r="F81" i="105"/>
  <c r="F44" i="105"/>
  <c r="F40" i="105"/>
  <c r="F93" i="107"/>
  <c r="F90" i="107"/>
  <c r="F79" i="107"/>
  <c r="F78" i="107"/>
  <c r="F59" i="107"/>
  <c r="F58" i="107"/>
  <c r="F47" i="107"/>
  <c r="F46" i="107"/>
  <c r="F31" i="107"/>
  <c r="F27" i="107"/>
  <c r="F23" i="107"/>
  <c r="F22" i="107"/>
  <c r="F74" i="107"/>
  <c r="F21" i="107"/>
  <c r="F19" i="107"/>
  <c r="F69" i="107"/>
  <c r="F61" i="107"/>
  <c r="F60" i="107"/>
  <c r="F49" i="107"/>
  <c r="F48" i="107"/>
  <c r="F41" i="107"/>
  <c r="F37" i="107"/>
  <c r="D19" i="107"/>
  <c r="F80" i="107"/>
  <c r="F32" i="107"/>
  <c r="F28" i="107"/>
  <c r="F24" i="107"/>
  <c r="F75" i="107"/>
  <c r="F71" i="107"/>
  <c r="F70" i="107"/>
  <c r="F63" i="107"/>
  <c r="F62" i="107"/>
  <c r="F51" i="107"/>
  <c r="F50" i="107"/>
  <c r="F82" i="107"/>
  <c r="F81" i="107"/>
  <c r="F42" i="107"/>
  <c r="F38" i="107"/>
  <c r="F34" i="107"/>
  <c r="F33" i="107"/>
  <c r="F65" i="107"/>
  <c r="F64" i="107"/>
  <c r="F53" i="107"/>
  <c r="F52" i="107"/>
  <c r="F29" i="107"/>
  <c r="F25" i="107"/>
  <c r="F76" i="107"/>
  <c r="F72" i="107"/>
  <c r="F86" i="107"/>
  <c r="F84" i="107"/>
  <c r="F67" i="107"/>
  <c r="F66" i="107"/>
  <c r="F55" i="107"/>
  <c r="F54" i="107"/>
  <c r="F43" i="107"/>
  <c r="F39" i="107"/>
  <c r="F35" i="107"/>
  <c r="F68" i="107"/>
  <c r="F40" i="107"/>
  <c r="F36" i="107"/>
  <c r="F17" i="107"/>
  <c r="F30" i="107"/>
  <c r="F57" i="107"/>
  <c r="F45" i="107"/>
  <c r="F16" i="107"/>
  <c r="F73" i="107"/>
  <c r="F88" i="107"/>
  <c r="F56" i="107"/>
  <c r="L12" i="107"/>
  <c r="N12" i="107" s="1"/>
  <c r="F44" i="107"/>
  <c r="F77" i="107"/>
  <c r="V25" i="100"/>
  <c r="L12" i="101"/>
  <c r="J23" i="101"/>
  <c r="F31" i="101"/>
  <c r="F32" i="101"/>
  <c r="F43" i="101"/>
  <c r="F46" i="101"/>
  <c r="J14" i="102"/>
  <c r="J16" i="102"/>
  <c r="J18" i="102"/>
  <c r="J20" i="102"/>
  <c r="R21" i="102"/>
  <c r="J24" i="102"/>
  <c r="R25" i="102"/>
  <c r="J28" i="102"/>
  <c r="F33" i="102"/>
  <c r="F37" i="102"/>
  <c r="V40" i="102"/>
  <c r="F44" i="102"/>
  <c r="F45" i="102"/>
  <c r="V48" i="102"/>
  <c r="J52" i="102"/>
  <c r="R56" i="102"/>
  <c r="R58" i="102"/>
  <c r="J30" i="103"/>
  <c r="J34" i="103"/>
  <c r="J67" i="103"/>
  <c r="J19" i="102"/>
  <c r="J33" i="102"/>
  <c r="J37" i="102"/>
  <c r="J45" i="102"/>
  <c r="F50" i="102"/>
  <c r="J51" i="102"/>
  <c r="J37" i="103"/>
  <c r="V59" i="103"/>
  <c r="V72" i="103"/>
  <c r="J83" i="103"/>
  <c r="F23" i="102"/>
  <c r="F27" i="102"/>
  <c r="F42" i="102"/>
  <c r="F43" i="102"/>
  <c r="J44" i="102"/>
  <c r="J50" i="102"/>
  <c r="F62" i="102"/>
  <c r="F65" i="102"/>
  <c r="J20" i="103"/>
  <c r="T95" i="103"/>
  <c r="V95" i="103" s="1"/>
  <c r="V38" i="103"/>
  <c r="V41" i="103"/>
  <c r="J43" i="103"/>
  <c r="V47" i="103"/>
  <c r="N50" i="103"/>
  <c r="V51" i="103"/>
  <c r="X54" i="103"/>
  <c r="J56" i="103"/>
  <c r="L58" i="103"/>
  <c r="N58" i="103" s="1"/>
  <c r="J61" i="103"/>
  <c r="Z62" i="103"/>
  <c r="J64" i="103"/>
  <c r="L66" i="103"/>
  <c r="J69" i="103"/>
  <c r="V70" i="103"/>
  <c r="J79" i="103"/>
  <c r="V86" i="103"/>
  <c r="L22" i="104"/>
  <c r="T24" i="104"/>
  <c r="F21" i="105"/>
  <c r="Z25" i="105"/>
  <c r="F48" i="105"/>
  <c r="N58" i="105"/>
  <c r="L31" i="101"/>
  <c r="F41" i="101"/>
  <c r="L12" i="102"/>
  <c r="J23" i="102"/>
  <c r="J27" i="102"/>
  <c r="F32" i="102"/>
  <c r="F36" i="102"/>
  <c r="J43" i="102"/>
  <c r="L44" i="102"/>
  <c r="N44" i="102" s="1"/>
  <c r="R52" i="102"/>
  <c r="R53" i="102"/>
  <c r="X56" i="102"/>
  <c r="V23" i="103"/>
  <c r="V25" i="103"/>
  <c r="J29" i="103"/>
  <c r="J33" i="103"/>
  <c r="J40" i="103"/>
  <c r="J46" i="103"/>
  <c r="J50" i="103"/>
  <c r="V62" i="103"/>
  <c r="V91" i="103"/>
  <c r="F27" i="101"/>
  <c r="F28" i="101"/>
  <c r="F37" i="101"/>
  <c r="F39" i="101"/>
  <c r="J41" i="101"/>
  <c r="N12" i="102"/>
  <c r="J32" i="102"/>
  <c r="R33" i="102"/>
  <c r="J36" i="102"/>
  <c r="R37" i="102"/>
  <c r="F40" i="102"/>
  <c r="F41" i="102"/>
  <c r="J42" i="102"/>
  <c r="R45" i="102"/>
  <c r="F48" i="102"/>
  <c r="F49" i="102"/>
  <c r="J62" i="102"/>
  <c r="J65" i="102"/>
  <c r="J85" i="103"/>
  <c r="J87" i="103"/>
  <c r="J71" i="103"/>
  <c r="J63" i="103"/>
  <c r="J51" i="103"/>
  <c r="J89" i="103"/>
  <c r="J81" i="103"/>
  <c r="J77" i="103"/>
  <c r="J65" i="103"/>
  <c r="J53" i="103"/>
  <c r="J45" i="103"/>
  <c r="J41" i="103"/>
  <c r="J72" i="103"/>
  <c r="J66" i="103"/>
  <c r="J54" i="103"/>
  <c r="J36" i="103"/>
  <c r="J93" i="103"/>
  <c r="J73" i="103"/>
  <c r="J57" i="103"/>
  <c r="J68" i="103"/>
  <c r="J58" i="103"/>
  <c r="J84" i="103"/>
  <c r="J74" i="103"/>
  <c r="J60" i="103"/>
  <c r="J48" i="103"/>
  <c r="V81" i="103"/>
  <c r="V83" i="103"/>
  <c r="V14" i="100"/>
  <c r="V16" i="100"/>
  <c r="V18" i="100"/>
  <c r="V32" i="100"/>
  <c r="V34" i="100"/>
  <c r="R19" i="102"/>
  <c r="F22" i="102"/>
  <c r="F26" i="102"/>
  <c r="V29" i="102"/>
  <c r="V33" i="102"/>
  <c r="V37" i="102"/>
  <c r="J41" i="102"/>
  <c r="V45" i="102"/>
  <c r="R50" i="102"/>
  <c r="J19" i="103"/>
  <c r="J49" i="103"/>
  <c r="J55" i="103"/>
  <c r="V77" i="103"/>
  <c r="V79" i="103"/>
  <c r="V87" i="103"/>
  <c r="N26" i="105"/>
  <c r="Z37" i="105"/>
  <c r="H16" i="104"/>
  <c r="F19" i="104"/>
  <c r="F20" i="104"/>
  <c r="R26" i="104"/>
  <c r="V19" i="105"/>
  <c r="J23" i="105"/>
  <c r="J25" i="105"/>
  <c r="J27" i="105"/>
  <c r="J31" i="105"/>
  <c r="J35" i="105"/>
  <c r="J51" i="105"/>
  <c r="V55" i="105"/>
  <c r="J63" i="105"/>
  <c r="V67" i="105"/>
  <c r="J75" i="105"/>
  <c r="V79" i="105"/>
  <c r="H96" i="105"/>
  <c r="Z78" i="107"/>
  <c r="V37" i="105"/>
  <c r="V41" i="105"/>
  <c r="V45" i="105"/>
  <c r="J49" i="105"/>
  <c r="V53" i="105"/>
  <c r="J61" i="105"/>
  <c r="V65" i="105"/>
  <c r="J69" i="105"/>
  <c r="V77" i="105"/>
  <c r="V87" i="105"/>
  <c r="V18" i="105"/>
  <c r="J30" i="105"/>
  <c r="J34" i="105"/>
  <c r="J48" i="105"/>
  <c r="V54" i="105"/>
  <c r="J60" i="105"/>
  <c r="V66" i="105"/>
  <c r="V70" i="105"/>
  <c r="J74" i="105"/>
  <c r="V78" i="105"/>
  <c r="X33" i="107"/>
  <c r="L44" i="107"/>
  <c r="N44" i="107" s="1"/>
  <c r="Z81" i="107"/>
  <c r="V31" i="105"/>
  <c r="V35" i="105"/>
  <c r="V51" i="105"/>
  <c r="V63" i="105"/>
  <c r="V71" i="105"/>
  <c r="V75" i="105"/>
  <c r="V81" i="105"/>
  <c r="V84" i="105"/>
  <c r="J86" i="105"/>
  <c r="Z33" i="107"/>
  <c r="N56" i="107"/>
  <c r="L56" i="107"/>
  <c r="T23" i="105"/>
  <c r="V23" i="105" s="1"/>
  <c r="V40" i="105"/>
  <c r="V44" i="105"/>
  <c r="V52" i="105"/>
  <c r="J58" i="105"/>
  <c r="V64" i="105"/>
  <c r="J68" i="105"/>
  <c r="V76" i="105"/>
  <c r="J83" i="105"/>
  <c r="V89" i="105"/>
  <c r="V33" i="107"/>
  <c r="N52" i="107"/>
  <c r="N54" i="107"/>
  <c r="N64" i="107"/>
  <c r="N66" i="107"/>
  <c r="V21" i="105"/>
  <c r="V25" i="105"/>
  <c r="J29" i="105"/>
  <c r="J33" i="105"/>
  <c r="V49" i="105"/>
  <c r="J57" i="105"/>
  <c r="V61" i="105"/>
  <c r="X64" i="105"/>
  <c r="Z64" i="105" s="1"/>
  <c r="V69" i="105"/>
  <c r="X76" i="105"/>
  <c r="N16" i="107"/>
  <c r="L16" i="107"/>
  <c r="X70" i="107"/>
  <c r="Z70" i="107" s="1"/>
  <c r="V14" i="104"/>
  <c r="V16" i="104"/>
  <c r="J28" i="104"/>
  <c r="J31" i="104"/>
  <c r="J98" i="105"/>
  <c r="J88" i="105"/>
  <c r="J89" i="105"/>
  <c r="J84" i="105"/>
  <c r="J80" i="105"/>
  <c r="J92" i="105"/>
  <c r="V26" i="105"/>
  <c r="V30" i="105"/>
  <c r="V34" i="105"/>
  <c r="J38" i="105"/>
  <c r="J42" i="105"/>
  <c r="J46" i="105"/>
  <c r="V50" i="105"/>
  <c r="J56" i="105"/>
  <c r="V62" i="105"/>
  <c r="V74" i="105"/>
  <c r="V86" i="105"/>
  <c r="N88" i="105"/>
  <c r="J91" i="105"/>
  <c r="J94" i="105"/>
  <c r="T90" i="107"/>
  <c r="V90" i="107" s="1"/>
  <c r="Z48" i="107"/>
  <c r="Z52" i="107"/>
  <c r="Z60" i="107"/>
  <c r="F26" i="104"/>
  <c r="V39" i="105"/>
  <c r="V43" i="105"/>
  <c r="V47" i="105"/>
  <c r="J55" i="105"/>
  <c r="V59" i="105"/>
  <c r="J67" i="105"/>
  <c r="J79" i="105"/>
  <c r="V80" i="105"/>
  <c r="P12" i="107"/>
  <c r="X13" i="107"/>
  <c r="Z13" i="107" s="1"/>
  <c r="Z22" i="107"/>
  <c r="N78" i="107"/>
  <c r="T24" i="108"/>
  <c r="Z16" i="108"/>
  <c r="F22" i="104"/>
  <c r="V20" i="105"/>
  <c r="J28" i="105"/>
  <c r="J32" i="105"/>
  <c r="J36" i="105"/>
  <c r="V48" i="105"/>
  <c r="J54" i="105"/>
  <c r="V60" i="105"/>
  <c r="J66" i="105"/>
  <c r="V68" i="105"/>
  <c r="J72" i="105"/>
  <c r="J78" i="105"/>
  <c r="J82" i="105"/>
  <c r="V83" i="105"/>
  <c r="J85" i="105"/>
  <c r="X50" i="107"/>
  <c r="Z50" i="107" s="1"/>
  <c r="Z58" i="107"/>
  <c r="Z62" i="107"/>
  <c r="X62" i="107"/>
  <c r="V29" i="105"/>
  <c r="V33" i="105"/>
  <c r="V57" i="105"/>
  <c r="J77" i="105"/>
  <c r="J87" i="105"/>
  <c r="J90" i="105"/>
  <c r="V65" i="109"/>
  <c r="V49" i="109"/>
  <c r="V64" i="109"/>
  <c r="V40" i="109"/>
  <c r="V36" i="109"/>
  <c r="V32" i="109"/>
  <c r="V68" i="109"/>
  <c r="V66" i="109"/>
  <c r="V69" i="109"/>
  <c r="V53" i="109"/>
  <c r="V41" i="109"/>
  <c r="V37" i="109"/>
  <c r="V33" i="109"/>
  <c r="V60" i="109"/>
  <c r="V52" i="109"/>
  <c r="V44" i="109"/>
  <c r="V28" i="109"/>
  <c r="V24" i="109"/>
  <c r="V20" i="109"/>
  <c r="V55" i="109"/>
  <c r="V43" i="109"/>
  <c r="V62" i="109"/>
  <c r="V54" i="109"/>
  <c r="V46" i="109"/>
  <c r="V38" i="109"/>
  <c r="V34" i="109"/>
  <c r="V73" i="109"/>
  <c r="V61" i="109"/>
  <c r="V57" i="109"/>
  <c r="V45" i="109"/>
  <c r="V29" i="109"/>
  <c r="V25" i="109"/>
  <c r="V21" i="109"/>
  <c r="V58" i="109"/>
  <c r="V63" i="109"/>
  <c r="V39" i="109"/>
  <c r="V35" i="109"/>
  <c r="V30" i="109"/>
  <c r="V23" i="109"/>
  <c r="T17" i="109"/>
  <c r="V50" i="109"/>
  <c r="V59" i="109"/>
  <c r="V31" i="109"/>
  <c r="V26" i="109"/>
  <c r="V19" i="109"/>
  <c r="V42" i="109"/>
  <c r="V51" i="109"/>
  <c r="V47" i="109"/>
  <c r="V27" i="109"/>
  <c r="V15" i="109"/>
  <c r="Z12" i="109"/>
  <c r="V56" i="109"/>
  <c r="V48" i="109"/>
  <c r="V90" i="105"/>
  <c r="V85" i="105"/>
  <c r="V94" i="105"/>
  <c r="V92" i="105"/>
  <c r="V98" i="105"/>
  <c r="V88" i="105"/>
  <c r="V38" i="105"/>
  <c r="V42" i="105"/>
  <c r="V46" i="105"/>
  <c r="J52" i="105"/>
  <c r="V58" i="105"/>
  <c r="J64" i="105"/>
  <c r="J70" i="105"/>
  <c r="J76" i="105"/>
  <c r="V91" i="105"/>
  <c r="J21" i="107"/>
  <c r="J23" i="107"/>
  <c r="J27" i="107"/>
  <c r="J31" i="107"/>
  <c r="J47" i="107"/>
  <c r="V51" i="107"/>
  <c r="J59" i="107"/>
  <c r="V63" i="107"/>
  <c r="V71" i="107"/>
  <c r="V75" i="107"/>
  <c r="J79" i="107"/>
  <c r="L12" i="108"/>
  <c r="F31" i="108"/>
  <c r="N15" i="109"/>
  <c r="F47" i="109"/>
  <c r="Z48" i="109"/>
  <c r="L51" i="109"/>
  <c r="F60" i="109"/>
  <c r="R58" i="109"/>
  <c r="R31" i="109"/>
  <c r="R30" i="109"/>
  <c r="R26" i="109"/>
  <c r="R22" i="109"/>
  <c r="X12" i="109"/>
  <c r="R49" i="109"/>
  <c r="R65" i="109"/>
  <c r="R64" i="109"/>
  <c r="R59" i="109"/>
  <c r="R66" i="109"/>
  <c r="R51" i="109"/>
  <c r="R50" i="109"/>
  <c r="R69" i="109"/>
  <c r="R68" i="109"/>
  <c r="R42" i="109"/>
  <c r="R41" i="109"/>
  <c r="R37" i="109"/>
  <c r="R33" i="109"/>
  <c r="R60" i="109"/>
  <c r="R53" i="109"/>
  <c r="R52" i="109"/>
  <c r="R28" i="109"/>
  <c r="R44" i="109"/>
  <c r="R43" i="109"/>
  <c r="R20" i="109"/>
  <c r="R55" i="109"/>
  <c r="R54" i="109"/>
  <c r="R38" i="109"/>
  <c r="R34" i="109"/>
  <c r="R19" i="109"/>
  <c r="R17" i="109"/>
  <c r="R15" i="109"/>
  <c r="R63" i="109"/>
  <c r="R48" i="109"/>
  <c r="R47" i="109"/>
  <c r="R39" i="109"/>
  <c r="X15" i="109"/>
  <c r="R32" i="109"/>
  <c r="L42" i="109"/>
  <c r="N42" i="109" s="1"/>
  <c r="R45" i="109"/>
  <c r="R56" i="109"/>
  <c r="N51" i="109"/>
  <c r="J16" i="107"/>
  <c r="J26" i="107"/>
  <c r="J30" i="107"/>
  <c r="J44" i="107"/>
  <c r="V50" i="107"/>
  <c r="J56" i="107"/>
  <c r="V62" i="107"/>
  <c r="V70" i="107"/>
  <c r="V74" i="107"/>
  <c r="J88" i="107"/>
  <c r="D16" i="108"/>
  <c r="J18" i="108"/>
  <c r="R36" i="109"/>
  <c r="R40" i="109"/>
  <c r="J42" i="109"/>
  <c r="X51" i="109"/>
  <c r="N53" i="109"/>
  <c r="N68" i="109"/>
  <c r="J39" i="107"/>
  <c r="J43" i="107"/>
  <c r="V47" i="107"/>
  <c r="J55" i="107"/>
  <c r="V59" i="107"/>
  <c r="J67" i="107"/>
  <c r="V79" i="107"/>
  <c r="F28" i="108"/>
  <c r="D17" i="109"/>
  <c r="R29" i="109"/>
  <c r="Z51" i="109"/>
  <c r="F55" i="109"/>
  <c r="V36" i="107"/>
  <c r="V40" i="107"/>
  <c r="V48" i="107"/>
  <c r="J54" i="107"/>
  <c r="V60" i="107"/>
  <c r="J66" i="107"/>
  <c r="V68" i="107"/>
  <c r="J72" i="107"/>
  <c r="J76" i="107"/>
  <c r="J84" i="107"/>
  <c r="F17" i="109"/>
  <c r="F33" i="109"/>
  <c r="F35" i="109"/>
  <c r="R62" i="109"/>
  <c r="R73" i="109"/>
  <c r="V17" i="107"/>
  <c r="V19" i="107"/>
  <c r="V21" i="107"/>
  <c r="J25" i="107"/>
  <c r="J29" i="107"/>
  <c r="V45" i="107"/>
  <c r="J53" i="107"/>
  <c r="V57" i="107"/>
  <c r="J65" i="107"/>
  <c r="V73" i="107"/>
  <c r="V77" i="107"/>
  <c r="F14" i="108"/>
  <c r="H17" i="109"/>
  <c r="Z19" i="109"/>
  <c r="R24" i="109"/>
  <c r="F39" i="109"/>
  <c r="F46" i="109"/>
  <c r="Z62" i="109"/>
  <c r="V22" i="107"/>
  <c r="V26" i="107"/>
  <c r="V30" i="107"/>
  <c r="J34" i="107"/>
  <c r="J38" i="107"/>
  <c r="J42" i="107"/>
  <c r="V46" i="107"/>
  <c r="J52" i="107"/>
  <c r="V58" i="107"/>
  <c r="J64" i="107"/>
  <c r="V78" i="107"/>
  <c r="J82" i="107"/>
  <c r="V88" i="107"/>
  <c r="F28" i="109"/>
  <c r="F37" i="109"/>
  <c r="F41" i="109"/>
  <c r="N46" i="109"/>
  <c r="F52" i="109"/>
  <c r="J33" i="107"/>
  <c r="V35" i="107"/>
  <c r="V39" i="107"/>
  <c r="V43" i="107"/>
  <c r="J51" i="107"/>
  <c r="V55" i="107"/>
  <c r="J63" i="107"/>
  <c r="V67" i="107"/>
  <c r="J71" i="107"/>
  <c r="J75" i="107"/>
  <c r="J81" i="107"/>
  <c r="R21" i="109"/>
  <c r="N48" i="109"/>
  <c r="Z55" i="109"/>
  <c r="V16" i="107"/>
  <c r="J24" i="107"/>
  <c r="J28" i="107"/>
  <c r="J32" i="107"/>
  <c r="V44" i="107"/>
  <c r="J50" i="107"/>
  <c r="V56" i="107"/>
  <c r="J62" i="107"/>
  <c r="J70" i="107"/>
  <c r="V72" i="107"/>
  <c r="V76" i="107"/>
  <c r="J80" i="107"/>
  <c r="F15" i="109"/>
  <c r="P17" i="109"/>
  <c r="R23" i="109"/>
  <c r="X31" i="109"/>
  <c r="Z31" i="109" s="1"/>
  <c r="R35" i="109"/>
  <c r="R46" i="109"/>
  <c r="X57" i="109"/>
  <c r="R61" i="109"/>
  <c r="J37" i="107"/>
  <c r="J41" i="107"/>
  <c r="J49" i="107"/>
  <c r="V53" i="107"/>
  <c r="J61" i="107"/>
  <c r="V65" i="107"/>
  <c r="J69" i="107"/>
  <c r="F21" i="108"/>
  <c r="F26" i="108"/>
  <c r="F54" i="109"/>
  <c r="F53" i="109"/>
  <c r="F38" i="109"/>
  <c r="F34" i="109"/>
  <c r="F73" i="109"/>
  <c r="F61" i="109"/>
  <c r="F45" i="109"/>
  <c r="F44" i="109"/>
  <c r="F29" i="109"/>
  <c r="F25" i="109"/>
  <c r="F21" i="109"/>
  <c r="F20" i="109"/>
  <c r="F63" i="109"/>
  <c r="F62" i="109"/>
  <c r="F58" i="109"/>
  <c r="F57" i="109"/>
  <c r="F30" i="109"/>
  <c r="F26" i="109"/>
  <c r="F22" i="109"/>
  <c r="L12" i="109"/>
  <c r="N12" i="109" s="1"/>
  <c r="F49" i="109"/>
  <c r="F48" i="109"/>
  <c r="F64" i="109"/>
  <c r="F40" i="109"/>
  <c r="F36" i="109"/>
  <c r="F32" i="109"/>
  <c r="F31" i="109"/>
  <c r="F59" i="109"/>
  <c r="F27" i="109"/>
  <c r="F23" i="109"/>
  <c r="F66" i="109"/>
  <c r="F65" i="109"/>
  <c r="F50" i="109"/>
  <c r="F68" i="109"/>
  <c r="F43" i="109"/>
  <c r="F42" i="109"/>
  <c r="F56" i="109"/>
  <c r="R57" i="109"/>
  <c r="H19" i="107"/>
  <c r="J19" i="107" s="1"/>
  <c r="V34" i="107"/>
  <c r="V38" i="107"/>
  <c r="V42" i="107"/>
  <c r="J48" i="107"/>
  <c r="V54" i="107"/>
  <c r="J60" i="107"/>
  <c r="V66" i="107"/>
  <c r="V82" i="107"/>
  <c r="V84" i="107"/>
  <c r="J22" i="108"/>
  <c r="H16" i="108"/>
  <c r="J31" i="108"/>
  <c r="J28" i="108"/>
  <c r="X14" i="108"/>
  <c r="F20" i="108"/>
  <c r="Z57" i="109"/>
  <c r="J54" i="109"/>
  <c r="J33" i="109"/>
  <c r="J37" i="109"/>
  <c r="J41" i="109"/>
  <c r="J51" i="109"/>
  <c r="J50" i="109"/>
  <c r="J66" i="109"/>
  <c r="J59" i="109"/>
  <c r="J65" i="109"/>
  <c r="V14" i="108"/>
  <c r="V16" i="108"/>
  <c r="V18" i="108"/>
  <c r="J32" i="109"/>
  <c r="J36" i="109"/>
  <c r="J40" i="109"/>
  <c r="J64" i="109"/>
  <c r="J31" i="109"/>
  <c r="J49" i="109"/>
  <c r="J58" i="109"/>
  <c r="J63" i="109"/>
  <c r="J46" i="109"/>
  <c r="J56" i="109"/>
  <c r="J62" i="109"/>
  <c r="J15" i="109"/>
  <c r="J17" i="109"/>
  <c r="J19" i="109"/>
  <c r="J21" i="109"/>
  <c r="J25" i="109"/>
  <c r="J29" i="109"/>
  <c r="J45" i="109"/>
  <c r="J55" i="109"/>
  <c r="J61" i="109"/>
  <c r="B13" i="112"/>
  <c r="D21" i="111"/>
  <c r="H34" i="112"/>
  <c r="T20" i="52"/>
  <c r="B21" i="49"/>
  <c r="T21" i="50"/>
  <c r="D12" i="50"/>
  <c r="D4" i="50"/>
  <c r="T15" i="46"/>
  <c r="D33" i="50"/>
  <c r="P13" i="44"/>
  <c r="P34" i="49"/>
  <c r="P20" i="40"/>
  <c r="T33" i="37"/>
  <c r="D5" i="41"/>
  <c r="D29" i="44"/>
  <c r="D4" i="34"/>
  <c r="B25" i="34"/>
  <c r="B21" i="32"/>
  <c r="T34" i="31"/>
  <c r="B38" i="37"/>
  <c r="H21" i="29"/>
  <c r="D29" i="31"/>
  <c r="T16" i="23"/>
  <c r="P20" i="26"/>
  <c r="H24" i="22"/>
  <c r="D29" i="28"/>
  <c r="P15" i="111"/>
  <c r="H22" i="110"/>
  <c r="P24" i="112"/>
  <c r="T22" i="110"/>
  <c r="D5" i="53"/>
  <c r="H21" i="53"/>
  <c r="T20" i="49"/>
  <c r="T34" i="52"/>
  <c r="P20" i="47"/>
  <c r="D5" i="46"/>
  <c r="H21" i="50"/>
  <c r="H34" i="44"/>
  <c r="B25" i="41"/>
  <c r="P21" i="41"/>
  <c r="D22" i="40"/>
  <c r="D15" i="40"/>
  <c r="B38" i="35"/>
  <c r="P15" i="31"/>
  <c r="B13" i="37"/>
  <c r="T20" i="35"/>
  <c r="H29" i="34"/>
  <c r="D15" i="35"/>
  <c r="D16" i="29"/>
  <c r="P34" i="26"/>
  <c r="T16" i="25"/>
  <c r="H25" i="25"/>
  <c r="D25" i="22"/>
  <c r="D34" i="112"/>
  <c r="B21" i="112"/>
  <c r="T21" i="112"/>
  <c r="P21" i="112"/>
  <c r="H24" i="47"/>
  <c r="D22" i="47"/>
  <c r="D24" i="52"/>
  <c r="P20" i="49"/>
  <c r="D22" i="50"/>
  <c r="D16" i="43"/>
  <c r="P34" i="43"/>
  <c r="P13" i="43"/>
  <c r="T16" i="46"/>
  <c r="D15" i="38"/>
  <c r="T22" i="46"/>
  <c r="P33" i="49"/>
  <c r="P13" i="40"/>
  <c r="H21" i="34"/>
  <c r="D29" i="37"/>
  <c r="B21" i="31"/>
  <c r="T21" i="31"/>
  <c r="P15" i="29"/>
  <c r="H16" i="28"/>
  <c r="P29" i="29"/>
  <c r="H13" i="29"/>
  <c r="H34" i="28"/>
  <c r="D4" i="25"/>
  <c r="H13" i="112"/>
  <c r="D29" i="111"/>
  <c r="D16" i="111"/>
  <c r="P33" i="111"/>
  <c r="P21" i="52"/>
  <c r="T22" i="50"/>
  <c r="B38" i="52"/>
  <c r="D15" i="53"/>
  <c r="P22" i="53"/>
  <c r="P16" i="46"/>
  <c r="D16" i="47"/>
  <c r="T15" i="47"/>
  <c r="H25" i="43"/>
  <c r="P12" i="41"/>
  <c r="D25" i="40"/>
  <c r="B13" i="44"/>
  <c r="H21" i="38"/>
  <c r="B25" i="35"/>
  <c r="T33" i="40"/>
  <c r="T21" i="35"/>
  <c r="P13" i="34"/>
  <c r="P15" i="35"/>
  <c r="P20" i="34"/>
  <c r="T29" i="28"/>
  <c r="T13" i="26"/>
  <c r="D12" i="22"/>
  <c r="B38" i="26"/>
  <c r="D5" i="112"/>
  <c r="D25" i="111"/>
  <c r="B25" i="110"/>
  <c r="T29" i="110"/>
  <c r="B39" i="112"/>
  <c r="B38" i="111"/>
  <c r="P12" i="112"/>
  <c r="P29" i="110"/>
  <c r="P20" i="53"/>
  <c r="P15" i="52"/>
  <c r="H20" i="53"/>
  <c r="T29" i="53"/>
  <c r="P34" i="46"/>
  <c r="B21" i="47"/>
  <c r="T22" i="43"/>
  <c r="P25" i="49"/>
  <c r="H34" i="43"/>
  <c r="H22" i="43"/>
  <c r="H12" i="41"/>
  <c r="T13" i="37"/>
  <c r="D33" i="38"/>
  <c r="D22" i="38"/>
  <c r="D13" i="32"/>
  <c r="P33" i="35"/>
  <c r="D12" i="35"/>
  <c r="P15" i="37"/>
  <c r="D15" i="31"/>
  <c r="P12" i="29"/>
  <c r="P22" i="26"/>
  <c r="D5" i="23"/>
  <c r="H25" i="28"/>
  <c r="T25" i="23"/>
  <c r="B39" i="111"/>
  <c r="H15" i="111"/>
  <c r="H33" i="112"/>
  <c r="T16" i="52"/>
  <c r="D20" i="49"/>
  <c r="T24" i="49"/>
  <c r="P21" i="49"/>
  <c r="H34" i="49"/>
  <c r="P13" i="46"/>
  <c r="D13" i="50"/>
  <c r="H12" i="44"/>
  <c r="D34" i="47"/>
  <c r="P16" i="40"/>
  <c r="T29" i="37"/>
  <c r="B22" i="40"/>
  <c r="D34" i="41"/>
  <c r="H34" i="32"/>
  <c r="D24" i="34"/>
  <c r="D20" i="32"/>
  <c r="T33" i="31"/>
  <c r="T15" i="35"/>
  <c r="D13" i="29"/>
  <c r="H13" i="31"/>
  <c r="T13" i="23"/>
  <c r="P16" i="26"/>
  <c r="H22" i="22"/>
  <c r="P15" i="28"/>
  <c r="D6" i="111"/>
  <c r="H13" i="110"/>
  <c r="P22" i="112"/>
  <c r="P34" i="111"/>
  <c r="P20" i="52"/>
  <c r="D13" i="53"/>
  <c r="T16" i="49"/>
  <c r="T33" i="52"/>
  <c r="P16" i="47"/>
  <c r="T24" i="44"/>
  <c r="B39" i="49"/>
  <c r="H33" i="44"/>
  <c r="D24" i="41"/>
  <c r="D15" i="41"/>
  <c r="H20" i="40"/>
  <c r="T12" i="40"/>
  <c r="D34" i="35"/>
  <c r="D5" i="31"/>
  <c r="T24" i="35"/>
  <c r="T16" i="35"/>
  <c r="H25" i="34"/>
  <c r="B21" i="34"/>
  <c r="B22" i="28"/>
  <c r="P33" i="26"/>
  <c r="T13" i="25"/>
  <c r="P15" i="25"/>
  <c r="H21" i="22"/>
  <c r="D33" i="112"/>
  <c r="D20" i="112"/>
  <c r="T34" i="111"/>
  <c r="H12" i="112"/>
  <c r="H22" i="47"/>
  <c r="H20" i="47"/>
  <c r="D22" i="52"/>
  <c r="P16" i="49"/>
  <c r="H20" i="50"/>
  <c r="B21" i="41"/>
  <c r="P33" i="43"/>
  <c r="H12" i="43"/>
  <c r="T13" i="46"/>
  <c r="T12" i="38"/>
  <c r="D24" i="44"/>
  <c r="H29" i="47"/>
  <c r="H12" i="40"/>
  <c r="D13" i="34"/>
  <c r="D25" i="37"/>
  <c r="D20" i="31"/>
  <c r="D29" i="46"/>
  <c r="D5" i="29"/>
  <c r="B13" i="28"/>
  <c r="P25" i="29"/>
  <c r="T20" i="28"/>
  <c r="D20" i="28"/>
  <c r="B25" i="23"/>
  <c r="D29" i="112"/>
  <c r="D16" i="112"/>
  <c r="T33" i="111"/>
  <c r="T13" i="110"/>
  <c r="P15" i="110"/>
  <c r="P29" i="112"/>
  <c r="T25" i="110"/>
  <c r="H15" i="49"/>
  <c r="B25" i="47"/>
  <c r="H15" i="53"/>
  <c r="P15" i="50"/>
  <c r="B25" i="50"/>
  <c r="B21" i="43"/>
  <c r="T16" i="44"/>
  <c r="P21" i="43"/>
  <c r="P22" i="46"/>
  <c r="T25" i="38"/>
  <c r="T22" i="37"/>
  <c r="D20" i="40"/>
  <c r="P21" i="40"/>
  <c r="D29" i="34"/>
  <c r="B13" i="38"/>
  <c r="D15" i="32"/>
  <c r="P29" i="31"/>
  <c r="H29" i="29"/>
  <c r="D22" i="28"/>
  <c r="P34" i="29"/>
  <c r="H20" i="31"/>
  <c r="T12" i="31"/>
  <c r="H22" i="25"/>
  <c r="H24" i="112"/>
  <c r="D34" i="111"/>
  <c r="B21" i="111"/>
  <c r="P25" i="110"/>
  <c r="P16" i="53"/>
  <c r="D5" i="52"/>
  <c r="H16" i="53"/>
  <c r="T25" i="53"/>
  <c r="P33" i="46"/>
  <c r="D13" i="47"/>
  <c r="P12" i="43"/>
  <c r="T25" i="47"/>
  <c r="H33" i="43"/>
  <c r="H13" i="43"/>
  <c r="D33" i="40"/>
  <c r="P12" i="46"/>
  <c r="D29" i="38"/>
  <c r="T13" i="38"/>
  <c r="B39" i="31"/>
  <c r="P29" i="35"/>
  <c r="P21" i="34"/>
  <c r="H34" i="35"/>
  <c r="H24" i="38"/>
  <c r="T34" i="28"/>
  <c r="T20" i="26"/>
  <c r="P20" i="22"/>
  <c r="B16" i="28"/>
  <c r="B16" i="23"/>
  <c r="H24" i="111"/>
  <c r="B38" i="110"/>
  <c r="H29" i="112"/>
  <c r="T13" i="52"/>
  <c r="D16" i="49"/>
  <c r="T22" i="49"/>
  <c r="T15" i="49"/>
  <c r="H33" i="49"/>
  <c r="H12" i="46"/>
  <c r="T12" i="47"/>
  <c r="P24" i="43"/>
  <c r="T29" i="47"/>
  <c r="D12" i="40"/>
  <c r="T25" i="37"/>
  <c r="D21" i="40"/>
  <c r="H22" i="41"/>
  <c r="H33" i="32"/>
  <c r="D22" i="34"/>
  <c r="D16" i="32"/>
  <c r="T29" i="31"/>
  <c r="T16" i="34"/>
  <c r="B39" i="28"/>
  <c r="P21" i="35"/>
  <c r="P34" i="22"/>
  <c r="D12" i="26"/>
  <c r="H13" i="22"/>
  <c r="D5" i="28"/>
  <c r="P21" i="110"/>
  <c r="D5" i="110"/>
  <c r="T20" i="112"/>
  <c r="T12" i="110"/>
  <c r="P16" i="52"/>
  <c r="B39" i="52"/>
  <c r="T13" i="49"/>
  <c r="T29" i="52"/>
  <c r="D12" i="47"/>
  <c r="T22" i="44"/>
  <c r="T34" i="47"/>
  <c r="H29" i="44"/>
  <c r="D22" i="41"/>
  <c r="H34" i="40"/>
  <c r="H16" i="40"/>
  <c r="H34" i="38"/>
  <c r="D33" i="35"/>
  <c r="B38" i="43"/>
  <c r="T22" i="35"/>
  <c r="T13" i="35"/>
  <c r="P15" i="34"/>
  <c r="D16" i="34"/>
  <c r="D21" i="28"/>
  <c r="P29" i="26"/>
  <c r="P20" i="23"/>
  <c r="D5" i="25"/>
  <c r="D13" i="22"/>
  <c r="T15" i="110"/>
  <c r="T34" i="112"/>
  <c r="T16" i="112"/>
  <c r="T16" i="111"/>
  <c r="P12" i="53"/>
  <c r="D16" i="46"/>
  <c r="B16" i="40"/>
  <c r="P22" i="35"/>
  <c r="D15" i="28"/>
  <c r="B38" i="112"/>
  <c r="B39" i="47"/>
  <c r="D24" i="50"/>
  <c r="T20" i="46"/>
  <c r="T15" i="40"/>
  <c r="P25" i="31"/>
  <c r="T16" i="29"/>
  <c r="D33" i="111"/>
  <c r="T24" i="50"/>
  <c r="P20" i="46"/>
  <c r="T29" i="41"/>
  <c r="P13" i="37"/>
  <c r="H29" i="35"/>
  <c r="P16" i="22"/>
  <c r="D34" i="110"/>
  <c r="P12" i="49"/>
  <c r="H22" i="46"/>
  <c r="B16" i="37"/>
  <c r="H20" i="34"/>
  <c r="H24" i="28"/>
  <c r="D4" i="22"/>
  <c r="P15" i="112"/>
  <c r="T15" i="52"/>
  <c r="P12" i="50"/>
  <c r="D34" i="52"/>
  <c r="T12" i="53"/>
  <c r="T20" i="53"/>
  <c r="D12" i="46"/>
  <c r="P29" i="46"/>
  <c r="D5" i="47"/>
  <c r="P15" i="43"/>
  <c r="H33" i="40"/>
  <c r="H21" i="40"/>
  <c r="D29" i="43"/>
  <c r="D13" i="38"/>
  <c r="D24" i="35"/>
  <c r="T22" i="40"/>
  <c r="T24" i="34"/>
  <c r="H12" i="34"/>
  <c r="P16" i="34"/>
  <c r="P33" i="32"/>
  <c r="P20" i="111"/>
  <c r="H21" i="111"/>
  <c r="D24" i="110"/>
  <c r="P16" i="112"/>
  <c r="P13" i="52"/>
  <c r="T34" i="49"/>
  <c r="D33" i="52"/>
  <c r="B21" i="52"/>
  <c r="T16" i="53"/>
  <c r="T34" i="44"/>
  <c r="H25" i="46"/>
  <c r="D25" i="46"/>
  <c r="D5" i="43"/>
  <c r="H29" i="40"/>
  <c r="D13" i="40"/>
  <c r="B39" i="41"/>
  <c r="P21" i="47"/>
  <c r="D22" i="35"/>
  <c r="T16" i="38"/>
  <c r="T22" i="34"/>
  <c r="P24" i="32"/>
  <c r="D12" i="34"/>
  <c r="T24" i="31"/>
  <c r="H25" i="35"/>
  <c r="P33" i="25"/>
  <c r="H16" i="32"/>
  <c r="D33" i="26"/>
  <c r="D20" i="22"/>
  <c r="P16" i="110"/>
  <c r="H21" i="110"/>
  <c r="T15" i="111"/>
  <c r="D24" i="49"/>
  <c r="D4" i="53"/>
  <c r="B25" i="46"/>
  <c r="P12" i="47"/>
  <c r="P24" i="47"/>
  <c r="D21" i="43"/>
  <c r="P33" i="44"/>
  <c r="P24" i="41"/>
  <c r="B39" i="44"/>
  <c r="D21" i="37"/>
  <c r="D15" i="47"/>
  <c r="H12" i="38"/>
  <c r="P29" i="40"/>
  <c r="P20" i="31"/>
  <c r="D34" i="32"/>
  <c r="T20" i="38"/>
  <c r="B39" i="37"/>
  <c r="P21" i="28"/>
  <c r="P13" i="35"/>
  <c r="D24" i="31"/>
  <c r="B21" i="35"/>
  <c r="H34" i="23"/>
  <c r="P22" i="29"/>
  <c r="D21" i="25"/>
  <c r="D24" i="112"/>
  <c r="B16" i="112"/>
  <c r="P12" i="111"/>
  <c r="P13" i="53"/>
  <c r="T25" i="50"/>
  <c r="P34" i="50"/>
  <c r="D21" i="52"/>
  <c r="B39" i="50"/>
  <c r="H21" i="47"/>
  <c r="T25" i="43"/>
  <c r="H16" i="46"/>
  <c r="P16" i="43"/>
  <c r="B38" i="50"/>
  <c r="T24" i="38"/>
  <c r="D13" i="44"/>
  <c r="D5" i="38"/>
  <c r="B39" i="34"/>
  <c r="H25" i="37"/>
  <c r="T25" i="34"/>
  <c r="T21" i="34"/>
  <c r="P21" i="31"/>
  <c r="D34" i="29"/>
  <c r="D20" i="34"/>
  <c r="P12" i="25"/>
  <c r="H24" i="29"/>
  <c r="H25" i="111"/>
  <c r="P15" i="53"/>
  <c r="D13" i="49"/>
  <c r="B13" i="43"/>
  <c r="P25" i="37"/>
  <c r="H33" i="34"/>
  <c r="T20" i="25"/>
  <c r="D6" i="110"/>
  <c r="D24" i="47"/>
  <c r="D20" i="43"/>
  <c r="B16" i="38"/>
  <c r="D25" i="34"/>
  <c r="H25" i="29"/>
  <c r="H16" i="29"/>
  <c r="D20" i="111"/>
  <c r="B13" i="53"/>
  <c r="T24" i="52"/>
  <c r="D29" i="40"/>
  <c r="H24" i="31"/>
  <c r="H33" i="35"/>
  <c r="T12" i="28"/>
  <c r="H25" i="112"/>
  <c r="P13" i="49"/>
  <c r="P22" i="43"/>
  <c r="H15" i="40"/>
  <c r="B22" i="31"/>
  <c r="H12" i="35"/>
  <c r="B21" i="26"/>
  <c r="T34" i="110"/>
  <c r="H13" i="47"/>
  <c r="H16" i="47"/>
  <c r="H20" i="52"/>
  <c r="D12" i="49"/>
  <c r="H16" i="50"/>
  <c r="D20" i="41"/>
  <c r="P29" i="43"/>
  <c r="P33" i="53"/>
  <c r="B22" i="44"/>
  <c r="B21" i="37"/>
  <c r="H21" i="43"/>
  <c r="T21" i="46"/>
  <c r="B22" i="38"/>
  <c r="B39" i="32"/>
  <c r="D13" i="37"/>
  <c r="D16" i="31"/>
  <c r="D25" i="41"/>
  <c r="P20" i="28"/>
  <c r="D25" i="47"/>
  <c r="D25" i="112"/>
  <c r="B25" i="111"/>
  <c r="T29" i="111"/>
  <c r="B16" i="110"/>
  <c r="D4" i="47"/>
  <c r="B13" i="47"/>
  <c r="H16" i="52"/>
  <c r="P34" i="47"/>
  <c r="B13" i="50"/>
  <c r="D16" i="41"/>
  <c r="P25" i="43"/>
  <c r="D29" i="50"/>
  <c r="D21" i="44"/>
  <c r="D20" i="37"/>
  <c r="T34" i="41"/>
  <c r="H21" i="44"/>
  <c r="D21" i="38"/>
  <c r="H24" i="32"/>
  <c r="H24" i="49"/>
  <c r="T15" i="41"/>
  <c r="D24" i="37"/>
  <c r="P16" i="28"/>
  <c r="P22" i="38"/>
  <c r="T24" i="28"/>
  <c r="T13" i="28"/>
  <c r="B39" i="26"/>
  <c r="D22" i="23"/>
  <c r="D12" i="111"/>
  <c r="D4" i="111"/>
  <c r="H20" i="110"/>
  <c r="T13" i="111"/>
  <c r="B21" i="50"/>
  <c r="T29" i="49"/>
  <c r="D25" i="52"/>
  <c r="D16" i="52"/>
  <c r="P34" i="52"/>
  <c r="T29" i="44"/>
  <c r="H21" i="46"/>
  <c r="D21" i="46"/>
  <c r="D25" i="50"/>
  <c r="P15" i="40"/>
  <c r="P33" i="38"/>
  <c r="H25" i="41"/>
  <c r="H24" i="43"/>
  <c r="H16" i="35"/>
  <c r="H22" i="37"/>
  <c r="T34" i="32"/>
  <c r="T20" i="32"/>
  <c r="P29" i="32"/>
  <c r="B22" i="29"/>
  <c r="P25" i="32"/>
  <c r="P25" i="25"/>
  <c r="T20" i="29"/>
  <c r="D25" i="26"/>
  <c r="T29" i="35"/>
  <c r="D12" i="110"/>
  <c r="D13" i="110"/>
  <c r="P13" i="111"/>
  <c r="D22" i="49"/>
  <c r="H34" i="52"/>
  <c r="D24" i="46"/>
  <c r="T34" i="46"/>
  <c r="P22" i="47"/>
  <c r="H15" i="43"/>
  <c r="P29" i="44"/>
  <c r="P22" i="41"/>
  <c r="H24" i="44"/>
  <c r="H15" i="37"/>
  <c r="T24" i="46"/>
  <c r="P24" i="37"/>
  <c r="P25" i="40"/>
  <c r="P16" i="31"/>
  <c r="D33" i="32"/>
  <c r="H16" i="38"/>
  <c r="H24" i="37"/>
  <c r="T15" i="28"/>
  <c r="P24" i="34"/>
  <c r="T20" i="31"/>
  <c r="P21" i="32"/>
  <c r="H33" i="23"/>
  <c r="H24" i="110"/>
  <c r="D25" i="53"/>
  <c r="P15" i="46"/>
  <c r="H24" i="41"/>
  <c r="H25" i="31"/>
  <c r="T33" i="35"/>
  <c r="H29" i="25"/>
  <c r="P25" i="112"/>
  <c r="B25" i="52"/>
  <c r="T13" i="44"/>
  <c r="P12" i="37"/>
  <c r="D33" i="37"/>
  <c r="H20" i="28"/>
  <c r="H13" i="25"/>
  <c r="T21" i="110"/>
  <c r="B16" i="53"/>
  <c r="D20" i="47"/>
  <c r="D22" i="44"/>
  <c r="P25" i="35"/>
  <c r="T33" i="28"/>
  <c r="D15" i="23"/>
  <c r="B22" i="50"/>
  <c r="H29" i="49"/>
  <c r="H25" i="47"/>
  <c r="P15" i="41"/>
  <c r="T25" i="31"/>
  <c r="P33" i="22"/>
  <c r="H13" i="111"/>
  <c r="P24" i="111"/>
  <c r="D12" i="52"/>
  <c r="H24" i="52"/>
  <c r="B21" i="53"/>
  <c r="T25" i="52"/>
  <c r="P12" i="52"/>
  <c r="P12" i="44"/>
  <c r="B16" i="47"/>
  <c r="H25" i="44"/>
  <c r="H20" i="41"/>
  <c r="H24" i="40"/>
  <c r="B13" i="40"/>
  <c r="H33" i="38"/>
  <c r="D29" i="35"/>
  <c r="P34" i="40"/>
  <c r="P12" i="35"/>
  <c r="P34" i="34"/>
  <c r="D5" i="34"/>
  <c r="D24" i="32"/>
  <c r="H15" i="28"/>
  <c r="P13" i="110"/>
  <c r="T33" i="112"/>
  <c r="T13" i="112"/>
  <c r="P12" i="110"/>
  <c r="T34" i="50"/>
  <c r="H22" i="52"/>
  <c r="D20" i="53"/>
  <c r="B16" i="52"/>
  <c r="P24" i="50"/>
  <c r="T34" i="43"/>
  <c r="H12" i="47"/>
  <c r="P15" i="44"/>
  <c r="H16" i="41"/>
  <c r="H22" i="40"/>
  <c r="T16" i="50"/>
  <c r="H29" i="38"/>
  <c r="D25" i="35"/>
  <c r="P24" i="40"/>
  <c r="T34" i="34"/>
  <c r="P33" i="34"/>
  <c r="P20" i="32"/>
  <c r="H20" i="32"/>
  <c r="T20" i="40"/>
  <c r="T21" i="26"/>
  <c r="D12" i="23"/>
  <c r="D34" i="23"/>
  <c r="T25" i="29"/>
  <c r="D13" i="112"/>
  <c r="D22" i="111"/>
  <c r="B16" i="111"/>
  <c r="T24" i="110"/>
  <c r="H33" i="46"/>
  <c r="D34" i="46"/>
  <c r="P21" i="50"/>
  <c r="P29" i="47"/>
  <c r="D34" i="49"/>
  <c r="P22" i="50"/>
  <c r="P34" i="41"/>
  <c r="P15" i="47"/>
  <c r="B25" i="43"/>
  <c r="B25" i="44"/>
  <c r="H29" i="41"/>
  <c r="B38" i="41"/>
  <c r="B39" i="38"/>
  <c r="H13" i="32"/>
  <c r="P12" i="40"/>
  <c r="D12" i="38"/>
  <c r="H24" i="35"/>
  <c r="D34" i="37"/>
  <c r="P13" i="32"/>
  <c r="P12" i="28"/>
  <c r="T15" i="26"/>
  <c r="H22" i="26"/>
  <c r="H16" i="23"/>
  <c r="P24" i="110"/>
  <c r="H34" i="110"/>
  <c r="H16" i="110"/>
  <c r="T15" i="112"/>
  <c r="D20" i="50"/>
  <c r="T25" i="49"/>
  <c r="H21" i="52"/>
  <c r="H34" i="50"/>
  <c r="P33" i="52"/>
  <c r="T25" i="44"/>
  <c r="D13" i="46"/>
  <c r="H15" i="46"/>
  <c r="H22" i="49"/>
  <c r="D5" i="40"/>
  <c r="P29" i="38"/>
  <c r="T22" i="41"/>
  <c r="T33" i="41"/>
  <c r="B13" i="35"/>
  <c r="H13" i="37"/>
  <c r="T33" i="32"/>
  <c r="T16" i="32"/>
  <c r="D22" i="31"/>
  <c r="D21" i="29"/>
  <c r="T21" i="32"/>
  <c r="T21" i="25"/>
  <c r="T22" i="52"/>
  <c r="D29" i="22"/>
  <c r="D16" i="40"/>
  <c r="D12" i="53"/>
  <c r="T15" i="34"/>
  <c r="B21" i="44"/>
  <c r="P21" i="25"/>
  <c r="B22" i="47"/>
  <c r="H13" i="46"/>
  <c r="D15" i="37"/>
  <c r="H16" i="34"/>
  <c r="H22" i="28"/>
  <c r="D6" i="112"/>
  <c r="T24" i="47"/>
  <c r="T16" i="43"/>
  <c r="T15" i="38"/>
  <c r="H15" i="31"/>
  <c r="T13" i="34"/>
  <c r="D16" i="26"/>
  <c r="T15" i="53"/>
  <c r="T12" i="52"/>
  <c r="P20" i="43"/>
  <c r="P15" i="38"/>
  <c r="P25" i="34"/>
  <c r="T22" i="25"/>
  <c r="D4" i="112"/>
  <c r="H34" i="53"/>
  <c r="D33" i="49"/>
  <c r="D24" i="43"/>
  <c r="H22" i="38"/>
  <c r="H22" i="35"/>
  <c r="P13" i="26"/>
  <c r="B16" i="29"/>
  <c r="H15" i="25"/>
  <c r="D22" i="112"/>
  <c r="D15" i="112"/>
  <c r="B21" i="110"/>
  <c r="H12" i="53"/>
  <c r="B16" i="50"/>
  <c r="P33" i="50"/>
  <c r="H15" i="52"/>
  <c r="H24" i="50"/>
  <c r="P25" i="46"/>
  <c r="B16" i="43"/>
  <c r="B13" i="46"/>
  <c r="D12" i="43"/>
  <c r="D34" i="43"/>
  <c r="T22" i="38"/>
  <c r="H21" i="41"/>
  <c r="P20" i="37"/>
  <c r="H24" i="34"/>
  <c r="B22" i="35"/>
  <c r="B16" i="34"/>
  <c r="T24" i="32"/>
  <c r="T15" i="31"/>
  <c r="D33" i="29"/>
  <c r="D22" i="32"/>
  <c r="P24" i="23"/>
  <c r="B13" i="29"/>
  <c r="H21" i="23"/>
  <c r="T21" i="28"/>
  <c r="H20" i="112"/>
  <c r="T12" i="112"/>
  <c r="D20" i="110"/>
  <c r="P24" i="52"/>
  <c r="D15" i="50"/>
  <c r="P29" i="50"/>
  <c r="P20" i="50"/>
  <c r="H22" i="50"/>
  <c r="P24" i="46"/>
  <c r="D15" i="43"/>
  <c r="P21" i="44"/>
  <c r="P20" i="41"/>
  <c r="H15" i="41"/>
  <c r="P12" i="38"/>
  <c r="B16" i="41"/>
  <c r="P16" i="37"/>
  <c r="H22" i="34"/>
  <c r="D21" i="35"/>
  <c r="D15" i="34"/>
  <c r="T22" i="32"/>
  <c r="P13" i="31"/>
  <c r="D29" i="29"/>
  <c r="B13" i="32"/>
  <c r="P22" i="23"/>
  <c r="P34" i="28"/>
  <c r="D13" i="23"/>
  <c r="T29" i="29"/>
  <c r="H16" i="112"/>
  <c r="B22" i="111"/>
  <c r="D24" i="40"/>
  <c r="T20" i="111"/>
  <c r="T12" i="32"/>
  <c r="P24" i="53"/>
  <c r="T16" i="26"/>
  <c r="B21" i="38"/>
  <c r="D33" i="110"/>
  <c r="H12" i="49"/>
  <c r="T20" i="43"/>
  <c r="P21" i="38"/>
  <c r="D21" i="31"/>
  <c r="P22" i="34"/>
  <c r="H15" i="50"/>
  <c r="P15" i="49"/>
  <c r="D15" i="46"/>
  <c r="T34" i="40"/>
  <c r="D24" i="38"/>
  <c r="P25" i="22"/>
  <c r="B25" i="112"/>
  <c r="T29" i="50"/>
  <c r="H33" i="47"/>
  <c r="B38" i="40"/>
  <c r="D13" i="35"/>
  <c r="D12" i="32"/>
  <c r="B16" i="31"/>
  <c r="H20" i="111"/>
  <c r="B38" i="53"/>
  <c r="T13" i="50"/>
  <c r="H16" i="44"/>
  <c r="D4" i="32"/>
  <c r="D20" i="35"/>
  <c r="T12" i="29"/>
  <c r="H21" i="26"/>
  <c r="H33" i="28"/>
  <c r="B22" i="112"/>
  <c r="D4" i="110"/>
  <c r="H12" i="111"/>
  <c r="H20" i="49"/>
  <c r="H33" i="52"/>
  <c r="B25" i="53"/>
  <c r="T33" i="46"/>
  <c r="T20" i="47"/>
  <c r="D34" i="50"/>
  <c r="P25" i="44"/>
  <c r="T20" i="41"/>
  <c r="H22" i="44"/>
  <c r="P29" i="53"/>
  <c r="D34" i="44"/>
  <c r="P22" i="37"/>
  <c r="T21" i="40"/>
  <c r="D12" i="31"/>
  <c r="D29" i="32"/>
  <c r="P34" i="37"/>
  <c r="D4" i="37"/>
  <c r="P13" i="28"/>
  <c r="T20" i="34"/>
  <c r="D13" i="31"/>
  <c r="P24" i="29"/>
  <c r="H29" i="23"/>
  <c r="H12" i="29"/>
  <c r="T34" i="23"/>
  <c r="D21" i="112"/>
  <c r="T24" i="112"/>
  <c r="P34" i="110"/>
  <c r="H16" i="49"/>
  <c r="H29" i="52"/>
  <c r="D24" i="53"/>
  <c r="T34" i="53"/>
  <c r="T16" i="47"/>
  <c r="D4" i="49"/>
  <c r="T21" i="44"/>
  <c r="P34" i="53"/>
  <c r="H13" i="44"/>
  <c r="T25" i="46"/>
  <c r="D4" i="43"/>
  <c r="T20" i="37"/>
  <c r="B38" i="38"/>
  <c r="H20" i="44"/>
  <c r="D25" i="32"/>
  <c r="T21" i="37"/>
  <c r="P20" i="35"/>
  <c r="H12" i="28"/>
  <c r="H15" i="32"/>
  <c r="T24" i="29"/>
  <c r="P13" i="29"/>
  <c r="H25" i="23"/>
  <c r="D34" i="28"/>
  <c r="T33" i="23"/>
  <c r="H15" i="112"/>
  <c r="T22" i="112"/>
  <c r="P33" i="110"/>
  <c r="B13" i="49"/>
  <c r="H25" i="52"/>
  <c r="D22" i="53"/>
  <c r="T33" i="53"/>
  <c r="T13" i="47"/>
  <c r="D33" i="47"/>
  <c r="T24" i="43"/>
  <c r="T20" i="50"/>
  <c r="D4" i="44"/>
  <c r="D25" i="44"/>
  <c r="T25" i="41"/>
  <c r="T16" i="37"/>
  <c r="D34" i="38"/>
  <c r="T24" i="40"/>
  <c r="H21" i="32"/>
  <c r="P34" i="35"/>
  <c r="P16" i="35"/>
  <c r="H34" i="37"/>
  <c r="B25" i="31"/>
  <c r="T22" i="29"/>
  <c r="P24" i="26"/>
  <c r="P15" i="23"/>
  <c r="P29" i="28"/>
  <c r="T29" i="23"/>
  <c r="T21" i="49"/>
  <c r="P16" i="32"/>
  <c r="T29" i="26"/>
  <c r="D22" i="26"/>
  <c r="D16" i="20"/>
  <c r="P34" i="23"/>
  <c r="H16" i="25"/>
  <c r="P24" i="13"/>
  <c r="P20" i="13"/>
  <c r="D25" i="14"/>
  <c r="P12" i="17"/>
  <c r="D29" i="11"/>
  <c r="H15" i="110"/>
  <c r="H16" i="37"/>
  <c r="D5" i="50"/>
  <c r="P33" i="29"/>
  <c r="H29" i="43"/>
  <c r="H22" i="111"/>
  <c r="H29" i="32"/>
  <c r="D21" i="50"/>
  <c r="H25" i="49"/>
  <c r="B16" i="46"/>
  <c r="D13" i="41"/>
  <c r="H13" i="41"/>
  <c r="D5" i="111"/>
  <c r="H22" i="53"/>
  <c r="D16" i="44"/>
  <c r="D16" i="38"/>
  <c r="P15" i="32"/>
  <c r="P16" i="29"/>
  <c r="P13" i="25"/>
  <c r="T25" i="112"/>
  <c r="D4" i="52"/>
  <c r="T29" i="43"/>
  <c r="D4" i="40"/>
  <c r="H29" i="37"/>
  <c r="B38" i="29"/>
  <c r="D29" i="23"/>
  <c r="D15" i="111"/>
  <c r="T15" i="50"/>
  <c r="P33" i="41"/>
  <c r="T13" i="41"/>
  <c r="B25" i="38"/>
  <c r="P24" i="31"/>
  <c r="H13" i="26"/>
  <c r="B13" i="23"/>
  <c r="P22" i="110"/>
  <c r="H33" i="110"/>
  <c r="B13" i="110"/>
  <c r="T21" i="111"/>
  <c r="D16" i="50"/>
  <c r="B16" i="49"/>
  <c r="D13" i="52"/>
  <c r="H33" i="50"/>
  <c r="P29" i="52"/>
  <c r="B16" i="44"/>
  <c r="P24" i="44"/>
  <c r="P20" i="44"/>
  <c r="H13" i="49"/>
  <c r="T34" i="38"/>
  <c r="P25" i="38"/>
  <c r="D21" i="41"/>
  <c r="T24" i="41"/>
  <c r="B38" i="34"/>
  <c r="P22" i="40"/>
  <c r="T29" i="32"/>
  <c r="T13" i="32"/>
  <c r="D4" i="31"/>
  <c r="H15" i="29"/>
  <c r="T22" i="31"/>
  <c r="P21" i="23"/>
  <c r="P25" i="28"/>
  <c r="D13" i="26"/>
  <c r="T20" i="110"/>
  <c r="H29" i="110"/>
  <c r="P34" i="112"/>
  <c r="P13" i="112"/>
  <c r="B22" i="49"/>
  <c r="D15" i="49"/>
  <c r="B22" i="53"/>
  <c r="H29" i="50"/>
  <c r="P25" i="52"/>
  <c r="D15" i="44"/>
  <c r="P22" i="44"/>
  <c r="P16" i="44"/>
  <c r="D29" i="47"/>
  <c r="T33" i="38"/>
  <c r="T21" i="38"/>
  <c r="D4" i="41"/>
  <c r="B22" i="41"/>
  <c r="D34" i="34"/>
  <c r="T13" i="40"/>
  <c r="T25" i="32"/>
  <c r="P34" i="31"/>
  <c r="H34" i="29"/>
  <c r="B25" i="28"/>
  <c r="H16" i="31"/>
  <c r="T15" i="23"/>
  <c r="D13" i="28"/>
  <c r="B39" i="25"/>
  <c r="T16" i="110"/>
  <c r="P22" i="49"/>
  <c r="D20" i="29"/>
  <c r="T15" i="43"/>
  <c r="H22" i="112"/>
  <c r="D25" i="38"/>
  <c r="B39" i="53"/>
  <c r="D21" i="32"/>
  <c r="H24" i="53"/>
  <c r="D20" i="44"/>
  <c r="D20" i="38"/>
  <c r="H25" i="32"/>
  <c r="P20" i="29"/>
  <c r="D29" i="110"/>
  <c r="D21" i="47"/>
  <c r="D4" i="46"/>
  <c r="T12" i="37"/>
  <c r="B13" i="34"/>
  <c r="H13" i="28"/>
  <c r="P12" i="31"/>
  <c r="T22" i="111"/>
  <c r="B22" i="52"/>
  <c r="H20" i="46"/>
  <c r="D33" i="44"/>
  <c r="T29" i="34"/>
  <c r="T12" i="35"/>
  <c r="D4" i="29"/>
  <c r="P25" i="111"/>
  <c r="P25" i="47"/>
  <c r="B39" i="46"/>
  <c r="H34" i="41"/>
  <c r="P21" i="37"/>
  <c r="B25" i="32"/>
  <c r="D25" i="23"/>
  <c r="D25" i="28"/>
  <c r="H34" i="111"/>
  <c r="H16" i="111"/>
  <c r="T12" i="111"/>
  <c r="T33" i="110"/>
  <c r="H33" i="53"/>
  <c r="D34" i="53"/>
  <c r="P13" i="50"/>
  <c r="T21" i="47"/>
  <c r="D29" i="49"/>
  <c r="P29" i="49"/>
  <c r="P29" i="41"/>
  <c r="H29" i="46"/>
  <c r="D22" i="43"/>
  <c r="D33" i="43"/>
  <c r="D12" i="41"/>
  <c r="B39" i="40"/>
  <c r="H15" i="38"/>
  <c r="H34" i="31"/>
  <c r="B25" i="37"/>
  <c r="T15" i="37"/>
  <c r="H13" i="35"/>
  <c r="D21" i="34"/>
  <c r="T16" i="31"/>
  <c r="H22" i="31"/>
  <c r="H12" i="26"/>
  <c r="D4" i="26"/>
  <c r="B38" i="22"/>
  <c r="H33" i="111"/>
  <c r="B13" i="111"/>
  <c r="B22" i="110"/>
  <c r="D15" i="110"/>
  <c r="H29" i="53"/>
  <c r="D33" i="53"/>
  <c r="H12" i="50"/>
  <c r="T24" i="53"/>
  <c r="D25" i="49"/>
  <c r="D33" i="46"/>
  <c r="P25" i="41"/>
  <c r="B21" i="46"/>
  <c r="H20" i="43"/>
  <c r="D13" i="43"/>
  <c r="D34" i="40"/>
  <c r="T29" i="40"/>
  <c r="P33" i="37"/>
  <c r="H33" i="31"/>
  <c r="D22" i="37"/>
  <c r="H12" i="37"/>
  <c r="D4" i="35"/>
  <c r="T15" i="32"/>
  <c r="T13" i="31"/>
  <c r="P21" i="29"/>
  <c r="P24" i="25"/>
  <c r="H34" i="25"/>
  <c r="D34" i="22"/>
  <c r="H29" i="111"/>
  <c r="B39" i="110"/>
  <c r="D21" i="110"/>
  <c r="P20" i="112"/>
  <c r="H25" i="53"/>
  <c r="D29" i="53"/>
  <c r="P24" i="49"/>
  <c r="T22" i="53"/>
  <c r="H21" i="49"/>
  <c r="T29" i="46"/>
  <c r="T21" i="41"/>
  <c r="D20" i="46"/>
  <c r="H16" i="43"/>
  <c r="H33" i="41"/>
  <c r="B25" i="40"/>
  <c r="T25" i="40"/>
  <c r="P29" i="37"/>
  <c r="H29" i="31"/>
  <c r="H20" i="37"/>
  <c r="P24" i="35"/>
  <c r="H34" i="34"/>
  <c r="D5" i="37"/>
  <c r="B21" i="29"/>
  <c r="T13" i="29"/>
  <c r="P22" i="25"/>
  <c r="H33" i="25"/>
  <c r="D33" i="22"/>
  <c r="T24" i="111"/>
  <c r="T33" i="47"/>
  <c r="T15" i="25"/>
  <c r="H29" i="19"/>
  <c r="D24" i="25"/>
  <c r="B38" i="28"/>
  <c r="D33" i="31"/>
  <c r="T20" i="14"/>
  <c r="P13" i="13"/>
  <c r="P15" i="13"/>
  <c r="H16" i="14"/>
  <c r="T21" i="17"/>
  <c r="H25" i="110"/>
  <c r="P22" i="52"/>
  <c r="P25" i="50"/>
  <c r="H13" i="50"/>
  <c r="T12" i="43"/>
  <c r="P16" i="41"/>
  <c r="T34" i="37"/>
  <c r="D12" i="37"/>
  <c r="H15" i="35"/>
  <c r="P12" i="32"/>
  <c r="D25" i="29"/>
  <c r="T20" i="23"/>
  <c r="B39" i="22"/>
  <c r="H13" i="52"/>
  <c r="D24" i="23"/>
  <c r="T34" i="35"/>
  <c r="P21" i="20"/>
  <c r="D34" i="16"/>
  <c r="T16" i="11"/>
  <c r="T13" i="8"/>
  <c r="D34" i="4"/>
  <c r="D16" i="11"/>
  <c r="D20" i="4"/>
  <c r="H15" i="13"/>
  <c r="P13" i="10"/>
  <c r="P22" i="10"/>
  <c r="H33" i="4"/>
  <c r="T12" i="46"/>
  <c r="T22" i="28"/>
  <c r="P33" i="23"/>
  <c r="B13" i="20"/>
  <c r="P12" i="22"/>
  <c r="T22" i="19"/>
  <c r="H34" i="17"/>
  <c r="D13" i="17"/>
  <c r="H16" i="16"/>
  <c r="T25" i="17"/>
  <c r="D22" i="13"/>
  <c r="T25" i="14"/>
  <c r="P22" i="7"/>
  <c r="B13" i="4"/>
  <c r="H25" i="7"/>
  <c r="D22" i="7"/>
  <c r="H25" i="5"/>
  <c r="H12" i="5"/>
  <c r="P25" i="8"/>
  <c r="D29" i="52"/>
  <c r="H13" i="38"/>
  <c r="D4" i="38"/>
  <c r="D33" i="20"/>
  <c r="P12" i="26"/>
  <c r="T29" i="19"/>
  <c r="P13" i="20"/>
  <c r="H34" i="16"/>
  <c r="D29" i="16"/>
  <c r="B21" i="17"/>
  <c r="P34" i="10"/>
  <c r="P33" i="14"/>
  <c r="H24" i="4"/>
  <c r="T29" i="13"/>
  <c r="D12" i="7"/>
  <c r="B38" i="8"/>
  <c r="H16" i="8"/>
  <c r="H29" i="5"/>
  <c r="D12" i="5"/>
  <c r="H21" i="112"/>
  <c r="H15" i="44"/>
  <c r="T24" i="25"/>
  <c r="H16" i="22"/>
  <c r="D34" i="19"/>
  <c r="T33" i="20"/>
  <c r="P33" i="28"/>
  <c r="H29" i="17"/>
  <c r="H24" i="16"/>
  <c r="B39" i="14"/>
  <c r="D15" i="17"/>
  <c r="H16" i="13"/>
  <c r="H12" i="11"/>
  <c r="T16" i="7"/>
  <c r="P13" i="17"/>
  <c r="D5" i="7"/>
  <c r="P22" i="5"/>
  <c r="D15" i="14"/>
  <c r="P22" i="4"/>
  <c r="T24" i="7"/>
  <c r="D16" i="53"/>
  <c r="T33" i="34"/>
  <c r="D20" i="26"/>
  <c r="D25" i="20"/>
  <c r="D15" i="25"/>
  <c r="B16" i="19"/>
  <c r="P24" i="19"/>
  <c r="H29" i="16"/>
  <c r="H21" i="16"/>
  <c r="D16" i="17"/>
  <c r="P29" i="10"/>
  <c r="P25" i="14"/>
  <c r="H13" i="4"/>
  <c r="H33" i="11"/>
  <c r="D20" i="5"/>
  <c r="D33" i="8"/>
  <c r="B38" i="7"/>
  <c r="P34" i="16"/>
  <c r="T15" i="4"/>
  <c r="P20" i="110"/>
  <c r="B22" i="37"/>
  <c r="T21" i="22"/>
  <c r="B39" i="20"/>
  <c r="D29" i="19"/>
  <c r="T25" i="20"/>
  <c r="T25" i="25"/>
  <c r="P15" i="17"/>
  <c r="H13" i="16"/>
  <c r="H22" i="14"/>
  <c r="B21" i="16"/>
  <c r="B39" i="23"/>
  <c r="P24" i="10"/>
  <c r="B25" i="5"/>
  <c r="T24" i="14"/>
  <c r="T33" i="5"/>
  <c r="P34" i="4"/>
  <c r="P25" i="11"/>
  <c r="T16" i="4"/>
  <c r="P12" i="7"/>
  <c r="D20" i="52"/>
  <c r="P12" i="34"/>
  <c r="T12" i="23"/>
  <c r="P33" i="112"/>
  <c r="D21" i="49"/>
  <c r="D21" i="53"/>
  <c r="T21" i="52"/>
  <c r="T20" i="44"/>
  <c r="P13" i="47"/>
  <c r="T24" i="37"/>
  <c r="T16" i="41"/>
  <c r="P16" i="38"/>
  <c r="P33" i="31"/>
  <c r="D24" i="28"/>
  <c r="P13" i="23"/>
  <c r="H24" i="25"/>
  <c r="D5" i="44"/>
  <c r="B16" i="25"/>
  <c r="T15" i="22"/>
  <c r="D12" i="19"/>
  <c r="H20" i="16"/>
  <c r="D24" i="13"/>
  <c r="D13" i="5"/>
  <c r="P29" i="16"/>
  <c r="P20" i="7"/>
  <c r="D16" i="10"/>
  <c r="D22" i="8"/>
  <c r="D34" i="10"/>
  <c r="P20" i="5"/>
  <c r="P21" i="111"/>
  <c r="P13" i="38"/>
  <c r="H12" i="25"/>
  <c r="H25" i="19"/>
  <c r="H20" i="25"/>
  <c r="B25" i="26"/>
  <c r="D33" i="28"/>
  <c r="T16" i="14"/>
  <c r="H12" i="13"/>
  <c r="D5" i="13"/>
  <c r="B13" i="14"/>
  <c r="T24" i="16"/>
  <c r="P34" i="7"/>
  <c r="D33" i="4"/>
  <c r="P13" i="11"/>
  <c r="D16" i="4"/>
  <c r="H34" i="11"/>
  <c r="D5" i="10"/>
  <c r="T15" i="10"/>
  <c r="H29" i="4"/>
  <c r="T33" i="44"/>
  <c r="P34" i="32"/>
  <c r="B16" i="26"/>
  <c r="D34" i="25"/>
  <c r="D21" i="19"/>
  <c r="D20" i="23"/>
  <c r="T29" i="22"/>
  <c r="T20" i="13"/>
  <c r="D12" i="13"/>
  <c r="D13" i="14"/>
  <c r="T33" i="16"/>
  <c r="H21" i="11"/>
  <c r="D21" i="11"/>
  <c r="T15" i="7"/>
  <c r="D22" i="11"/>
  <c r="T24" i="5"/>
  <c r="P25" i="5"/>
  <c r="T22" i="10"/>
  <c r="T13" i="16"/>
  <c r="D12" i="112"/>
  <c r="B39" i="43"/>
  <c r="D24" i="29"/>
  <c r="D5" i="19"/>
  <c r="B22" i="20"/>
  <c r="B38" i="25"/>
  <c r="H29" i="26"/>
  <c r="P34" i="13"/>
  <c r="D20" i="11"/>
  <c r="T22" i="11"/>
  <c r="D34" i="13"/>
  <c r="P12" i="16"/>
  <c r="P29" i="7"/>
  <c r="D25" i="4"/>
  <c r="B22" i="10"/>
  <c r="P21" i="17"/>
  <c r="T25" i="11"/>
  <c r="D24" i="7"/>
  <c r="T33" i="8"/>
  <c r="P15" i="4"/>
  <c r="T33" i="43"/>
  <c r="D25" i="31"/>
  <c r="T12" i="26"/>
  <c r="H24" i="23"/>
  <c r="B39" i="29"/>
  <c r="H34" i="22"/>
  <c r="H34" i="20"/>
  <c r="T13" i="13"/>
  <c r="T33" i="22"/>
  <c r="H24" i="13"/>
  <c r="T25" i="16"/>
  <c r="B39" i="10"/>
  <c r="D15" i="11"/>
  <c r="H12" i="7"/>
  <c r="B38" i="10"/>
  <c r="P12" i="5"/>
  <c r="T24" i="4"/>
  <c r="B21" i="8"/>
  <c r="T12" i="13"/>
  <c r="B25" i="49"/>
  <c r="P33" i="40"/>
  <c r="H24" i="26"/>
  <c r="P20" i="25"/>
  <c r="H15" i="20"/>
  <c r="D13" i="25"/>
  <c r="P16" i="25"/>
  <c r="P29" i="13"/>
  <c r="B25" i="17"/>
  <c r="T34" i="10"/>
  <c r="D29" i="13"/>
  <c r="D20" i="14"/>
  <c r="T21" i="7"/>
  <c r="D13" i="4"/>
  <c r="H16" i="10"/>
  <c r="T22" i="14"/>
  <c r="H13" i="11"/>
  <c r="P24" i="5"/>
  <c r="T25" i="8"/>
  <c r="T12" i="7"/>
  <c r="H24" i="46"/>
  <c r="H21" i="31"/>
  <c r="D20" i="25"/>
  <c r="D16" i="110"/>
  <c r="T12" i="50"/>
  <c r="P16" i="50"/>
  <c r="P21" i="46"/>
  <c r="T15" i="44"/>
  <c r="T12" i="41"/>
  <c r="P13" i="41"/>
  <c r="H13" i="34"/>
  <c r="T12" i="34"/>
  <c r="H12" i="31"/>
  <c r="D34" i="31"/>
  <c r="P22" i="28"/>
  <c r="D22" i="29"/>
  <c r="H33" i="37"/>
  <c r="B38" i="20"/>
  <c r="T34" i="19"/>
  <c r="H13" i="17"/>
  <c r="H20" i="26"/>
  <c r="H12" i="16"/>
  <c r="H20" i="22"/>
  <c r="D12" i="8"/>
  <c r="B16" i="14"/>
  <c r="H13" i="7"/>
  <c r="P33" i="5"/>
  <c r="P15" i="11"/>
  <c r="H34" i="5"/>
  <c r="H15" i="47"/>
  <c r="B38" i="32"/>
  <c r="H20" i="23"/>
  <c r="D34" i="20"/>
  <c r="T15" i="29"/>
  <c r="T33" i="19"/>
  <c r="T15" i="20"/>
  <c r="D4" i="17"/>
  <c r="D33" i="16"/>
  <c r="T15" i="19"/>
  <c r="T13" i="11"/>
  <c r="P34" i="14"/>
  <c r="B39" i="4"/>
  <c r="T34" i="14"/>
  <c r="P16" i="7"/>
  <c r="H12" i="10"/>
  <c r="H20" i="8"/>
  <c r="T16" i="10"/>
  <c r="P16" i="5"/>
  <c r="P16" i="111"/>
  <c r="P25" i="53"/>
  <c r="P25" i="26"/>
  <c r="T24" i="23"/>
  <c r="B38" i="19"/>
  <c r="T34" i="20"/>
  <c r="P12" i="19"/>
  <c r="H33" i="17"/>
  <c r="B39" i="16"/>
  <c r="B13" i="16"/>
  <c r="B16" i="17"/>
  <c r="H20" i="13"/>
  <c r="B25" i="11"/>
  <c r="T20" i="7"/>
  <c r="P21" i="19"/>
  <c r="P15" i="7"/>
  <c r="H16" i="7"/>
  <c r="T16" i="16"/>
  <c r="P24" i="4"/>
  <c r="T21" i="8"/>
  <c r="B13" i="52"/>
  <c r="D25" i="43"/>
  <c r="H20" i="29"/>
  <c r="D29" i="20"/>
  <c r="T33" i="25"/>
  <c r="T25" i="19"/>
  <c r="H12" i="20"/>
  <c r="H33" i="16"/>
  <c r="D25" i="16"/>
  <c r="D20" i="17"/>
  <c r="P33" i="10"/>
  <c r="P29" i="14"/>
  <c r="H22" i="4"/>
  <c r="T34" i="11"/>
  <c r="B21" i="5"/>
  <c r="D34" i="8"/>
  <c r="B13" i="8"/>
  <c r="D25" i="25"/>
  <c r="P21" i="4"/>
  <c r="H12" i="110"/>
  <c r="B13" i="41"/>
  <c r="P29" i="22"/>
  <c r="P13" i="22"/>
  <c r="D33" i="19"/>
  <c r="T29" i="20"/>
  <c r="T24" i="26"/>
  <c r="H25" i="17"/>
  <c r="H22" i="16"/>
  <c r="H24" i="14"/>
  <c r="T12" i="17"/>
  <c r="B13" i="13"/>
  <c r="H29" i="10"/>
  <c r="T13" i="7"/>
  <c r="T20" i="16"/>
  <c r="T34" i="5"/>
  <c r="T16" i="5"/>
  <c r="B21" i="13"/>
  <c r="T20" i="4"/>
  <c r="T22" i="7"/>
  <c r="T22" i="47"/>
  <c r="P24" i="38"/>
  <c r="B22" i="25"/>
  <c r="H21" i="20"/>
  <c r="P12" i="23"/>
  <c r="D15" i="19"/>
  <c r="P22" i="19"/>
  <c r="H25" i="16"/>
  <c r="D13" i="16"/>
  <c r="B22" i="16"/>
  <c r="P25" i="10"/>
  <c r="T21" i="14"/>
  <c r="D4" i="4"/>
  <c r="T29" i="11"/>
  <c r="D16" i="5"/>
  <c r="D29" i="8"/>
  <c r="D34" i="7"/>
  <c r="T29" i="14"/>
  <c r="P13" i="4"/>
  <c r="D13" i="111"/>
  <c r="H25" i="40"/>
  <c r="P34" i="25"/>
  <c r="P29" i="111"/>
  <c r="T12" i="49"/>
  <c r="H25" i="50"/>
  <c r="T12" i="44"/>
  <c r="D12" i="44"/>
  <c r="T29" i="38"/>
  <c r="B21" i="40"/>
  <c r="D33" i="34"/>
  <c r="B16" i="32"/>
  <c r="H33" i="29"/>
  <c r="B13" i="31"/>
  <c r="H12" i="32"/>
  <c r="T34" i="26"/>
  <c r="T21" i="29"/>
  <c r="H16" i="20"/>
  <c r="T24" i="19"/>
  <c r="H21" i="17"/>
  <c r="T29" i="17"/>
  <c r="T21" i="16"/>
  <c r="P24" i="7"/>
  <c r="H16" i="4"/>
  <c r="H29" i="7"/>
  <c r="D21" i="8"/>
  <c r="T29" i="7"/>
  <c r="P13" i="5"/>
  <c r="P29" i="8"/>
  <c r="B22" i="43"/>
  <c r="D12" i="29"/>
  <c r="T25" i="26"/>
  <c r="B13" i="26"/>
  <c r="B22" i="19"/>
  <c r="H22" i="23"/>
  <c r="T21" i="23"/>
  <c r="P22" i="13"/>
  <c r="P16" i="13"/>
  <c r="H21" i="14"/>
  <c r="T34" i="16"/>
  <c r="D25" i="11"/>
  <c r="T15" i="17"/>
  <c r="P21" i="7"/>
  <c r="D16" i="13"/>
  <c r="D4" i="7"/>
  <c r="P29" i="5"/>
  <c r="B25" i="10"/>
  <c r="P22" i="16"/>
  <c r="P22" i="111"/>
  <c r="D29" i="41"/>
  <c r="B16" i="35"/>
  <c r="P15" i="19"/>
  <c r="H29" i="22"/>
  <c r="H16" i="26"/>
  <c r="H34" i="26"/>
  <c r="T13" i="14"/>
  <c r="B21" i="11"/>
  <c r="T24" i="11"/>
  <c r="B38" i="13"/>
  <c r="T22" i="16"/>
  <c r="P33" i="7"/>
  <c r="D29" i="4"/>
  <c r="D4" i="11"/>
  <c r="H12" i="19"/>
  <c r="H29" i="11"/>
  <c r="H15" i="8"/>
  <c r="T34" i="8"/>
  <c r="H25" i="4"/>
  <c r="T21" i="53"/>
  <c r="D12" i="28"/>
  <c r="D15" i="26"/>
  <c r="D29" i="25"/>
  <c r="H15" i="19"/>
  <c r="D4" i="23"/>
  <c r="T13" i="22"/>
  <c r="T16" i="13"/>
  <c r="D24" i="26"/>
  <c r="B39" i="13"/>
  <c r="T29" i="16"/>
  <c r="D13" i="11"/>
  <c r="H16" i="11"/>
  <c r="P13" i="7"/>
  <c r="B16" i="11"/>
  <c r="T22" i="5"/>
  <c r="T21" i="5"/>
  <c r="H20" i="10"/>
  <c r="P12" i="14"/>
  <c r="P21" i="53"/>
  <c r="H25" i="38"/>
  <c r="D16" i="28"/>
  <c r="H33" i="26"/>
  <c r="D21" i="20"/>
  <c r="D33" i="25"/>
  <c r="P15" i="26"/>
  <c r="P33" i="13"/>
  <c r="P20" i="20"/>
  <c r="P12" i="11"/>
  <c r="D33" i="13"/>
  <c r="B21" i="14"/>
  <c r="P25" i="7"/>
  <c r="H21" i="4"/>
  <c r="T20" i="10"/>
  <c r="H12" i="17"/>
  <c r="T15" i="11"/>
  <c r="H20" i="7"/>
  <c r="T29" i="8"/>
  <c r="D5" i="4"/>
  <c r="P34" i="44"/>
  <c r="D4" i="28"/>
  <c r="B21" i="25"/>
  <c r="B21" i="23"/>
  <c r="D15" i="29"/>
  <c r="T20" i="22"/>
  <c r="H33" i="20"/>
  <c r="T20" i="20"/>
  <c r="P34" i="19"/>
  <c r="H22" i="13"/>
  <c r="B16" i="16"/>
  <c r="H24" i="10"/>
  <c r="D12" i="11"/>
  <c r="B22" i="5"/>
  <c r="B39" i="8"/>
  <c r="T34" i="4"/>
  <c r="T22" i="4"/>
  <c r="D20" i="8"/>
  <c r="P33" i="11"/>
  <c r="H12" i="52"/>
  <c r="B38" i="44"/>
  <c r="B38" i="23"/>
  <c r="H24" i="20"/>
  <c r="D25" i="19"/>
  <c r="B16" i="20"/>
  <c r="T12" i="25"/>
  <c r="D5" i="17"/>
  <c r="D4" i="16"/>
  <c r="H13" i="14"/>
  <c r="D20" i="16"/>
  <c r="P24" i="20"/>
  <c r="D21" i="10"/>
  <c r="D24" i="5"/>
  <c r="D16" i="14"/>
  <c r="T29" i="5"/>
  <c r="P29" i="4"/>
  <c r="H24" i="11"/>
  <c r="T13" i="4"/>
  <c r="B39" i="5"/>
  <c r="P33" i="47"/>
  <c r="P20" i="38"/>
  <c r="B21" i="22"/>
  <c r="B39" i="19"/>
  <c r="T22" i="22"/>
  <c r="B22" i="34"/>
  <c r="T16" i="19"/>
  <c r="D5" i="16"/>
  <c r="H33" i="14"/>
  <c r="H15" i="16"/>
  <c r="P24" i="22"/>
  <c r="T22" i="13"/>
  <c r="D13" i="10"/>
  <c r="D22" i="10"/>
  <c r="D21" i="4"/>
  <c r="H21" i="8"/>
  <c r="D29" i="7"/>
  <c r="T25" i="13"/>
  <c r="P22" i="20"/>
  <c r="T29" i="112"/>
  <c r="H13" i="40"/>
  <c r="T16" i="28"/>
  <c r="H13" i="20"/>
  <c r="D13" i="19"/>
  <c r="T12" i="20"/>
  <c r="B22" i="23"/>
  <c r="P16" i="16"/>
  <c r="P16" i="14"/>
  <c r="H34" i="13"/>
  <c r="B25" i="14"/>
  <c r="P34" i="17"/>
  <c r="P24" i="8"/>
  <c r="H20" i="5"/>
  <c r="B39" i="11"/>
  <c r="B16" i="5"/>
  <c r="P12" i="8"/>
  <c r="B13" i="11"/>
  <c r="H29" i="28"/>
  <c r="H22" i="5"/>
  <c r="D5" i="49"/>
  <c r="H20" i="38"/>
  <c r="P24" i="28"/>
  <c r="H22" i="19"/>
  <c r="T12" i="22"/>
  <c r="D21" i="26"/>
  <c r="B25" i="29"/>
  <c r="T15" i="14"/>
  <c r="H25" i="14"/>
  <c r="D34" i="14"/>
  <c r="P13" i="19"/>
  <c r="B38" i="11"/>
  <c r="T34" i="7"/>
  <c r="P12" i="10"/>
  <c r="T33" i="7"/>
  <c r="B39" i="7"/>
  <c r="H21" i="7"/>
  <c r="D24" i="11"/>
  <c r="P33" i="16"/>
  <c r="D22" i="110"/>
  <c r="P34" i="38"/>
  <c r="P16" i="23"/>
  <c r="H34" i="19"/>
  <c r="B21" i="28"/>
  <c r="D20" i="19"/>
  <c r="H15" i="22"/>
  <c r="P24" i="14"/>
  <c r="P21" i="13"/>
  <c r="H29" i="13"/>
  <c r="D22" i="14"/>
  <c r="P29" i="17"/>
  <c r="T20" i="8"/>
  <c r="B13" i="5"/>
  <c r="P29" i="11"/>
  <c r="T12" i="5"/>
  <c r="P25" i="16"/>
  <c r="D25" i="10"/>
  <c r="P24" i="16"/>
  <c r="D4" i="5"/>
  <c r="B38" i="49"/>
  <c r="B39" i="35"/>
  <c r="T33" i="26"/>
  <c r="D4" i="19"/>
  <c r="D20" i="20"/>
  <c r="B13" i="25"/>
  <c r="B25" i="25"/>
  <c r="H12" i="14"/>
  <c r="D5" i="14"/>
  <c r="D29" i="14"/>
  <c r="T22" i="17"/>
  <c r="D33" i="11"/>
  <c r="H33" i="5"/>
  <c r="P16" i="8"/>
  <c r="T33" i="14"/>
  <c r="H22" i="7"/>
  <c r="P34" i="5"/>
  <c r="H20" i="11"/>
  <c r="P16" i="11"/>
  <c r="D21" i="23"/>
  <c r="B25" i="19"/>
  <c r="H12" i="23"/>
  <c r="D12" i="25"/>
  <c r="P25" i="13"/>
  <c r="D24" i="17"/>
  <c r="T33" i="10"/>
  <c r="D25" i="13"/>
  <c r="P20" i="17"/>
  <c r="B38" i="5"/>
  <c r="T12" i="11"/>
  <c r="H34" i="8"/>
  <c r="T34" i="13"/>
  <c r="H33" i="10"/>
  <c r="T13" i="5"/>
  <c r="B16" i="8"/>
  <c r="D5" i="5"/>
  <c r="T21" i="43"/>
  <c r="H15" i="34"/>
  <c r="D16" i="25"/>
  <c r="B13" i="22"/>
  <c r="D5" i="26"/>
  <c r="P34" i="20"/>
  <c r="H25" i="20"/>
  <c r="B38" i="17"/>
  <c r="D21" i="17"/>
  <c r="D4" i="13"/>
  <c r="T12" i="16"/>
  <c r="H13" i="10"/>
  <c r="B21" i="10"/>
  <c r="H15" i="5"/>
  <c r="H22" i="8"/>
  <c r="T29" i="4"/>
  <c r="B22" i="8"/>
  <c r="B22" i="7"/>
  <c r="T24" i="10"/>
  <c r="T33" i="50"/>
  <c r="H21" i="35"/>
  <c r="B38" i="31"/>
  <c r="H33" i="22"/>
  <c r="D22" i="19"/>
  <c r="P15" i="22"/>
  <c r="T24" i="22"/>
  <c r="D12" i="20"/>
  <c r="H20" i="17"/>
  <c r="T25" i="10"/>
  <c r="D13" i="13"/>
  <c r="D12" i="17"/>
  <c r="D33" i="5"/>
  <c r="D15" i="7"/>
  <c r="H29" i="8"/>
  <c r="B22" i="11"/>
  <c r="T13" i="10"/>
  <c r="P25" i="4"/>
  <c r="T12" i="8"/>
  <c r="D12" i="4"/>
  <c r="T13" i="43"/>
  <c r="B22" i="32"/>
  <c r="T22" i="26"/>
  <c r="D24" i="20"/>
  <c r="D16" i="23"/>
  <c r="P29" i="20"/>
  <c r="D5" i="20"/>
  <c r="D33" i="17"/>
  <c r="B25" i="16"/>
  <c r="P33" i="19"/>
  <c r="D21" i="14"/>
  <c r="P29" i="23"/>
  <c r="T15" i="8"/>
  <c r="D24" i="4"/>
  <c r="D4" i="8"/>
  <c r="B16" i="4"/>
  <c r="B13" i="7"/>
  <c r="H15" i="7"/>
  <c r="B13" i="10"/>
  <c r="T33" i="49"/>
  <c r="H20" i="35"/>
  <c r="D34" i="26"/>
  <c r="D24" i="22"/>
  <c r="H16" i="19"/>
  <c r="T22" i="20"/>
  <c r="T16" i="22"/>
  <c r="H24" i="17"/>
  <c r="B13" i="17"/>
  <c r="D15" i="10"/>
  <c r="P22" i="11"/>
  <c r="T15" i="16"/>
  <c r="D25" i="5"/>
  <c r="P22" i="17"/>
  <c r="P15" i="8"/>
  <c r="D24" i="10"/>
  <c r="B25" i="8"/>
  <c r="T12" i="14"/>
  <c r="D20" i="7"/>
  <c r="P20" i="4"/>
  <c r="H34" i="47"/>
  <c r="D5" i="35"/>
  <c r="T29" i="25"/>
  <c r="H20" i="20"/>
  <c r="P22" i="22"/>
  <c r="T21" i="20"/>
  <c r="P16" i="19"/>
  <c r="D25" i="17"/>
  <c r="D22" i="16"/>
  <c r="T33" i="17"/>
  <c r="B25" i="13"/>
  <c r="P24" i="17"/>
  <c r="H12" i="8"/>
  <c r="H20" i="4"/>
  <c r="H33" i="7"/>
  <c r="T12" i="4"/>
  <c r="D20" i="10"/>
  <c r="T15" i="5"/>
  <c r="P33" i="8"/>
  <c r="D13" i="20"/>
  <c r="T34" i="22"/>
  <c r="T12" i="19"/>
  <c r="T20" i="19"/>
  <c r="P15" i="16"/>
  <c r="H34" i="14"/>
  <c r="D21" i="16"/>
  <c r="T21" i="10"/>
  <c r="T24" i="13"/>
  <c r="D20" i="13"/>
  <c r="D5" i="11"/>
  <c r="B22" i="4"/>
  <c r="D25" i="8"/>
  <c r="D33" i="7"/>
  <c r="T33" i="13"/>
  <c r="H12" i="4"/>
  <c r="D24" i="111"/>
  <c r="D16" i="37"/>
  <c r="P29" i="25"/>
  <c r="H22" i="20"/>
  <c r="H21" i="19"/>
  <c r="D15" i="20"/>
  <c r="P25" i="23"/>
  <c r="P20" i="16"/>
  <c r="P20" i="14"/>
  <c r="D4" i="14"/>
  <c r="D16" i="16"/>
  <c r="T21" i="19"/>
  <c r="P16" i="10"/>
  <c r="D22" i="5"/>
  <c r="B22" i="13"/>
  <c r="T25" i="5"/>
  <c r="T22" i="8"/>
  <c r="T21" i="11"/>
  <c r="P22" i="31"/>
  <c r="H24" i="5"/>
  <c r="D15" i="52"/>
  <c r="P29" i="34"/>
  <c r="D16" i="22"/>
  <c r="H24" i="19"/>
  <c r="D21" i="22"/>
  <c r="T33" i="29"/>
  <c r="T13" i="19"/>
  <c r="P21" i="14"/>
  <c r="H29" i="14"/>
  <c r="B38" i="14"/>
  <c r="P16" i="20"/>
  <c r="P12" i="13"/>
  <c r="T24" i="8"/>
  <c r="H15" i="10"/>
  <c r="H15" i="4"/>
  <c r="D13" i="8"/>
  <c r="D25" i="7"/>
  <c r="D15" i="13"/>
  <c r="T16" i="17"/>
  <c r="D25" i="110"/>
  <c r="B38" i="47"/>
  <c r="P21" i="26"/>
  <c r="D4" i="20"/>
  <c r="H21" i="37"/>
  <c r="B21" i="19"/>
  <c r="D22" i="22"/>
  <c r="D12" i="16"/>
  <c r="D12" i="14"/>
  <c r="H33" i="13"/>
  <c r="D24" i="14"/>
  <c r="P33" i="17"/>
  <c r="P22" i="8"/>
  <c r="H16" i="5"/>
  <c r="P34" i="11"/>
  <c r="D15" i="5"/>
  <c r="T20" i="17"/>
  <c r="D33" i="10"/>
  <c r="H21" i="25"/>
  <c r="H13" i="5"/>
  <c r="T13" i="53"/>
  <c r="P22" i="32"/>
  <c r="H21" i="28"/>
  <c r="H13" i="19"/>
  <c r="B21" i="20"/>
  <c r="D22" i="25"/>
  <c r="H15" i="26"/>
  <c r="P13" i="14"/>
  <c r="P15" i="14"/>
  <c r="D33" i="14"/>
  <c r="T24" i="17"/>
  <c r="D34" i="11"/>
  <c r="T25" i="7"/>
  <c r="P20" i="8"/>
  <c r="B16" i="7"/>
  <c r="H24" i="7"/>
  <c r="D13" i="7"/>
  <c r="P21" i="11"/>
  <c r="T33" i="11"/>
  <c r="T25" i="111"/>
  <c r="D33" i="41"/>
  <c r="D16" i="35"/>
  <c r="H33" i="19"/>
  <c r="B22" i="26"/>
  <c r="D16" i="19"/>
  <c r="D5" i="22"/>
  <c r="P22" i="14"/>
  <c r="T15" i="13"/>
  <c r="H25" i="13"/>
  <c r="H20" i="14"/>
  <c r="P25" i="17"/>
  <c r="T16" i="8"/>
  <c r="B38" i="4"/>
  <c r="H22" i="11"/>
  <c r="B21" i="4"/>
  <c r="D21" i="13"/>
  <c r="P21" i="10"/>
  <c r="H34" i="10"/>
  <c r="H34" i="4"/>
  <c r="B16" i="22"/>
  <c r="H25" i="26"/>
  <c r="H12" i="22"/>
  <c r="H29" i="20"/>
  <c r="P25" i="19"/>
  <c r="B22" i="17"/>
  <c r="H13" i="13"/>
  <c r="D15" i="16"/>
  <c r="H22" i="10"/>
  <c r="D29" i="10"/>
  <c r="D21" i="5"/>
  <c r="H24" i="8"/>
  <c r="T33" i="4"/>
  <c r="P12" i="4"/>
  <c r="D16" i="8"/>
  <c r="H15" i="11"/>
  <c r="H34" i="46"/>
  <c r="T16" i="40"/>
  <c r="D33" i="23"/>
  <c r="H13" i="23"/>
  <c r="D24" i="19"/>
  <c r="B25" i="22"/>
  <c r="H15" i="23"/>
  <c r="T21" i="13"/>
  <c r="D22" i="17"/>
  <c r="T29" i="10"/>
  <c r="H21" i="13"/>
  <c r="P16" i="17"/>
  <c r="D34" i="5"/>
  <c r="H21" i="10"/>
  <c r="H33" i="8"/>
  <c r="B16" i="13"/>
  <c r="H25" i="10"/>
  <c r="P33" i="4"/>
  <c r="D15" i="8"/>
  <c r="P16" i="4"/>
  <c r="D22" i="46"/>
  <c r="T25" i="35"/>
  <c r="H22" i="29"/>
  <c r="B25" i="20"/>
  <c r="T22" i="23"/>
  <c r="P33" i="20"/>
  <c r="P15" i="20"/>
  <c r="D34" i="17"/>
  <c r="H15" i="17"/>
  <c r="T16" i="20"/>
  <c r="B22" i="14"/>
  <c r="D4" i="10"/>
  <c r="P21" i="8"/>
  <c r="B25" i="4"/>
  <c r="H13" i="8"/>
  <c r="T25" i="4"/>
  <c r="B25" i="7"/>
  <c r="D21" i="7"/>
  <c r="P15" i="10"/>
  <c r="H13" i="53"/>
  <c r="D5" i="32"/>
  <c r="T34" i="29"/>
  <c r="T25" i="22"/>
  <c r="H20" i="19"/>
  <c r="T24" i="20"/>
  <c r="B22" i="22"/>
  <c r="B39" i="17"/>
  <c r="H16" i="17"/>
  <c r="B16" i="10"/>
  <c r="P24" i="11"/>
  <c r="P21" i="16"/>
  <c r="D29" i="5"/>
  <c r="P29" i="19"/>
  <c r="H25" i="8"/>
  <c r="P20" i="11"/>
  <c r="D12" i="10"/>
  <c r="T21" i="4"/>
  <c r="B21" i="7"/>
  <c r="P15" i="5"/>
  <c r="B22" i="46"/>
  <c r="T25" i="28"/>
  <c r="T34" i="25"/>
  <c r="D22" i="20"/>
  <c r="H25" i="22"/>
  <c r="P25" i="20"/>
  <c r="P20" i="19"/>
  <c r="D29" i="17"/>
  <c r="D24" i="16"/>
  <c r="T34" i="17"/>
  <c r="H15" i="14"/>
  <c r="T13" i="20"/>
  <c r="P13" i="8"/>
  <c r="D22" i="4"/>
  <c r="H34" i="7"/>
  <c r="D15" i="4"/>
  <c r="T20" i="5"/>
  <c r="P21" i="5"/>
  <c r="P34" i="8"/>
  <c r="B38" i="46"/>
  <c r="H22" i="32"/>
  <c r="D29" i="26"/>
  <c r="P21" i="22"/>
  <c r="B13" i="19"/>
  <c r="P12" i="20"/>
  <c r="D15" i="22"/>
  <c r="H22" i="17"/>
  <c r="B38" i="16"/>
  <c r="T12" i="10"/>
  <c r="T20" i="11"/>
  <c r="P13" i="16"/>
  <c r="H21" i="5"/>
  <c r="T13" i="17"/>
  <c r="D5" i="8"/>
  <c r="P20" i="10"/>
  <c r="D24" i="8"/>
  <c r="H25" i="11"/>
  <c r="D16" i="7"/>
  <c r="L16" i="7" l="1"/>
  <c r="L24" i="8"/>
  <c r="X20" i="10"/>
  <c r="N21" i="5"/>
  <c r="X13" i="16"/>
  <c r="Z20" i="11"/>
  <c r="V24" i="10"/>
  <c r="T18" i="10"/>
  <c r="V34" i="10"/>
  <c r="V29" i="10"/>
  <c r="V22" i="10"/>
  <c r="Z12" i="10"/>
  <c r="V27" i="10"/>
  <c r="V15" i="10"/>
  <c r="V20" i="10"/>
  <c r="V33" i="10"/>
  <c r="V21" i="10"/>
  <c r="V16" i="10"/>
  <c r="V18" i="10"/>
  <c r="V25" i="10"/>
  <c r="V36" i="10"/>
  <c r="V31" i="10"/>
  <c r="L15" i="22"/>
  <c r="X12" i="20"/>
  <c r="R31" i="20"/>
  <c r="R24" i="20"/>
  <c r="R16" i="20"/>
  <c r="R36" i="20"/>
  <c r="R29" i="20"/>
  <c r="R22" i="20"/>
  <c r="R21" i="20"/>
  <c r="R34" i="20"/>
  <c r="R27" i="20"/>
  <c r="R20" i="20"/>
  <c r="P18" i="20"/>
  <c r="R33" i="20"/>
  <c r="R25" i="20"/>
  <c r="R18" i="20"/>
  <c r="R15" i="20"/>
  <c r="X21" i="22"/>
  <c r="L29" i="26"/>
  <c r="X34" i="8"/>
  <c r="X21" i="5"/>
  <c r="Z20" i="5"/>
  <c r="L15" i="4"/>
  <c r="N34" i="7"/>
  <c r="L22" i="4"/>
  <c r="X13" i="8"/>
  <c r="N15" i="14"/>
  <c r="Z34" i="17"/>
  <c r="L24" i="16"/>
  <c r="L29" i="17"/>
  <c r="X20" i="19"/>
  <c r="X25" i="20"/>
  <c r="L22" i="20"/>
  <c r="Z34" i="25"/>
  <c r="X15" i="5"/>
  <c r="Z21" i="4"/>
  <c r="F31" i="10"/>
  <c r="F22" i="10"/>
  <c r="L12" i="10"/>
  <c r="F21" i="10"/>
  <c r="F36" i="10"/>
  <c r="F29" i="10"/>
  <c r="F15" i="10"/>
  <c r="F18" i="10"/>
  <c r="F34" i="10"/>
  <c r="F27" i="10"/>
  <c r="F24" i="10"/>
  <c r="D18" i="10"/>
  <c r="F33" i="10"/>
  <c r="F25" i="10"/>
  <c r="F16" i="10"/>
  <c r="F20" i="10"/>
  <c r="X20" i="11"/>
  <c r="X29" i="19"/>
  <c r="L29" i="5"/>
  <c r="X21" i="16"/>
  <c r="X24" i="11"/>
  <c r="Z24" i="20"/>
  <c r="N20" i="19"/>
  <c r="Z34" i="29"/>
  <c r="X15" i="10"/>
  <c r="L21" i="7"/>
  <c r="X21" i="8"/>
  <c r="N15" i="17"/>
  <c r="L34" i="17"/>
  <c r="X15" i="20"/>
  <c r="X33" i="20"/>
  <c r="L22" i="46"/>
  <c r="X16" i="4"/>
  <c r="L15" i="8"/>
  <c r="X33" i="4"/>
  <c r="N33" i="8"/>
  <c r="N21" i="10"/>
  <c r="L34" i="5"/>
  <c r="X16" i="17"/>
  <c r="N21" i="13"/>
  <c r="L22" i="17"/>
  <c r="N22" i="17" s="1"/>
  <c r="Z21" i="13"/>
  <c r="N15" i="23"/>
  <c r="L24" i="19"/>
  <c r="L33" i="23"/>
  <c r="N34" i="46"/>
  <c r="N15" i="11"/>
  <c r="L16" i="8"/>
  <c r="X12" i="4"/>
  <c r="R33" i="4"/>
  <c r="R25" i="4"/>
  <c r="R18" i="4"/>
  <c r="R24" i="4"/>
  <c r="R31" i="4"/>
  <c r="R22" i="4"/>
  <c r="R16" i="4"/>
  <c r="R36" i="4"/>
  <c r="R29" i="4"/>
  <c r="R21" i="4"/>
  <c r="P18" i="4"/>
  <c r="R34" i="4"/>
  <c r="R27" i="4"/>
  <c r="R20" i="4"/>
  <c r="R15" i="4"/>
  <c r="Z33" i="4"/>
  <c r="N24" i="8"/>
  <c r="L21" i="5"/>
  <c r="L29" i="10"/>
  <c r="L15" i="16"/>
  <c r="X25" i="19"/>
  <c r="J36" i="22"/>
  <c r="J29" i="22"/>
  <c r="J20" i="22"/>
  <c r="H18" i="22"/>
  <c r="J34" i="22"/>
  <c r="J27" i="22"/>
  <c r="J18" i="22"/>
  <c r="J22" i="22"/>
  <c r="J33" i="22"/>
  <c r="J25" i="22"/>
  <c r="J16" i="22"/>
  <c r="J15" i="22"/>
  <c r="N12" i="22"/>
  <c r="J31" i="22"/>
  <c r="J21" i="22"/>
  <c r="J24" i="22"/>
  <c r="N34" i="4"/>
  <c r="N34" i="10"/>
  <c r="X21" i="10"/>
  <c r="L21" i="13"/>
  <c r="X25" i="17"/>
  <c r="N20" i="14"/>
  <c r="Z15" i="13"/>
  <c r="X22" i="14"/>
  <c r="L16" i="19"/>
  <c r="N33" i="19"/>
  <c r="L16" i="35"/>
  <c r="L33" i="41"/>
  <c r="Z33" i="11"/>
  <c r="X21" i="11"/>
  <c r="L13" i="7"/>
  <c r="N24" i="7"/>
  <c r="X20" i="8"/>
  <c r="L34" i="11"/>
  <c r="Z24" i="17"/>
  <c r="L33" i="14"/>
  <c r="X15" i="14"/>
  <c r="X13" i="14"/>
  <c r="N15" i="26"/>
  <c r="L22" i="25"/>
  <c r="N21" i="28"/>
  <c r="X22" i="32"/>
  <c r="N21" i="25"/>
  <c r="L33" i="10"/>
  <c r="Z20" i="17"/>
  <c r="L15" i="5"/>
  <c r="X34" i="11"/>
  <c r="X22" i="8"/>
  <c r="X33" i="17"/>
  <c r="L24" i="14"/>
  <c r="N33" i="13"/>
  <c r="F34" i="14"/>
  <c r="F27" i="14"/>
  <c r="F21" i="14"/>
  <c r="D18" i="14"/>
  <c r="F33" i="14"/>
  <c r="F25" i="14"/>
  <c r="F20" i="14"/>
  <c r="F15" i="14"/>
  <c r="L12" i="14"/>
  <c r="F31" i="14"/>
  <c r="F24" i="14"/>
  <c r="F18" i="14"/>
  <c r="F36" i="14"/>
  <c r="F29" i="14"/>
  <c r="F22" i="14"/>
  <c r="F16" i="14"/>
  <c r="F31" i="16"/>
  <c r="F24" i="16"/>
  <c r="F18" i="16"/>
  <c r="L12" i="16"/>
  <c r="F36" i="16"/>
  <c r="F29" i="16"/>
  <c r="F22" i="16"/>
  <c r="F16" i="16"/>
  <c r="F34" i="16"/>
  <c r="F27" i="16"/>
  <c r="F21" i="16"/>
  <c r="D18" i="16"/>
  <c r="F33" i="16"/>
  <c r="F25" i="16"/>
  <c r="F20" i="16"/>
  <c r="F15" i="16"/>
  <c r="L22" i="22"/>
  <c r="N21" i="37"/>
  <c r="X21" i="26"/>
  <c r="L25" i="110"/>
  <c r="Z16" i="17"/>
  <c r="L15" i="13"/>
  <c r="L25" i="7"/>
  <c r="L13" i="8"/>
  <c r="N13" i="8" s="1"/>
  <c r="N15" i="4"/>
  <c r="N15" i="10"/>
  <c r="Z24" i="8"/>
  <c r="R21" i="13"/>
  <c r="P18" i="13"/>
  <c r="R33" i="13"/>
  <c r="R25" i="13"/>
  <c r="R20" i="13"/>
  <c r="R15" i="13"/>
  <c r="R31" i="13"/>
  <c r="X12" i="13"/>
  <c r="R24" i="13"/>
  <c r="R18" i="13"/>
  <c r="R36" i="13"/>
  <c r="R29" i="13"/>
  <c r="R22" i="13"/>
  <c r="R16" i="13"/>
  <c r="R34" i="13"/>
  <c r="R27" i="13"/>
  <c r="X16" i="20"/>
  <c r="Z16" i="20" s="1"/>
  <c r="X21" i="14"/>
  <c r="Z33" i="29"/>
  <c r="L21" i="22"/>
  <c r="N24" i="19"/>
  <c r="L16" i="22"/>
  <c r="X29" i="34"/>
  <c r="L15" i="52"/>
  <c r="N24" i="5"/>
  <c r="X22" i="31"/>
  <c r="Z21" i="11"/>
  <c r="Z22" i="8"/>
  <c r="L22" i="5"/>
  <c r="X16" i="10"/>
  <c r="Z21" i="19"/>
  <c r="L16" i="16"/>
  <c r="X20" i="14"/>
  <c r="X20" i="16"/>
  <c r="X25" i="23"/>
  <c r="L15" i="20"/>
  <c r="N21" i="19"/>
  <c r="N22" i="20"/>
  <c r="X29" i="25"/>
  <c r="L16" i="37"/>
  <c r="L24" i="111"/>
  <c r="J21" i="4"/>
  <c r="H18" i="4"/>
  <c r="J22" i="4"/>
  <c r="J31" i="4"/>
  <c r="J20" i="4"/>
  <c r="J15" i="4"/>
  <c r="J36" i="4"/>
  <c r="J29" i="4"/>
  <c r="J18" i="4"/>
  <c r="N12" i="4"/>
  <c r="J34" i="4"/>
  <c r="J27" i="4"/>
  <c r="J16" i="4"/>
  <c r="J24" i="4"/>
  <c r="J33" i="4"/>
  <c r="J25" i="4"/>
  <c r="Z33" i="13"/>
  <c r="L33" i="7"/>
  <c r="L25" i="8"/>
  <c r="N25" i="8" s="1"/>
  <c r="L20" i="13"/>
  <c r="Z24" i="13"/>
  <c r="Z21" i="10"/>
  <c r="L21" i="16"/>
  <c r="N34" i="14"/>
  <c r="X15" i="16"/>
  <c r="Z20" i="19"/>
  <c r="V36" i="19"/>
  <c r="V29" i="19"/>
  <c r="V22" i="19"/>
  <c r="V18" i="19"/>
  <c r="V34" i="19"/>
  <c r="V27" i="19"/>
  <c r="V21" i="19"/>
  <c r="V16" i="19"/>
  <c r="V33" i="19"/>
  <c r="V25" i="19"/>
  <c r="T18" i="19"/>
  <c r="V20" i="19"/>
  <c r="Z12" i="19"/>
  <c r="V31" i="19"/>
  <c r="V24" i="19"/>
  <c r="V15" i="19"/>
  <c r="Z34" i="22"/>
  <c r="L13" i="20"/>
  <c r="X33" i="8"/>
  <c r="Z15" i="5"/>
  <c r="L20" i="10"/>
  <c r="V33" i="4"/>
  <c r="V25" i="4"/>
  <c r="V16" i="4"/>
  <c r="V15" i="4"/>
  <c r="Z12" i="4"/>
  <c r="V31" i="4"/>
  <c r="V24" i="4"/>
  <c r="V21" i="4"/>
  <c r="V36" i="4"/>
  <c r="V29" i="4"/>
  <c r="V22" i="4"/>
  <c r="V18" i="4"/>
  <c r="V34" i="4"/>
  <c r="V27" i="4"/>
  <c r="V20" i="4"/>
  <c r="T18" i="4"/>
  <c r="N33" i="7"/>
  <c r="N20" i="4"/>
  <c r="J31" i="8"/>
  <c r="J24" i="8"/>
  <c r="J18" i="8"/>
  <c r="N12" i="8"/>
  <c r="J36" i="8"/>
  <c r="J29" i="8"/>
  <c r="J22" i="8"/>
  <c r="J16" i="8"/>
  <c r="J34" i="8"/>
  <c r="J27" i="8"/>
  <c r="J21" i="8"/>
  <c r="H18" i="8"/>
  <c r="J33" i="8"/>
  <c r="J25" i="8"/>
  <c r="J20" i="8"/>
  <c r="J15" i="8"/>
  <c r="X24" i="17"/>
  <c r="Z33" i="17"/>
  <c r="L22" i="16"/>
  <c r="L25" i="17"/>
  <c r="X16" i="19"/>
  <c r="Z21" i="20"/>
  <c r="X22" i="22"/>
  <c r="N20" i="20"/>
  <c r="Z29" i="25"/>
  <c r="N34" i="47"/>
  <c r="X20" i="4"/>
  <c r="L20" i="7"/>
  <c r="V15" i="14"/>
  <c r="V33" i="14"/>
  <c r="V25" i="14"/>
  <c r="V24" i="14"/>
  <c r="Z12" i="14"/>
  <c r="V31" i="14"/>
  <c r="V20" i="14"/>
  <c r="V22" i="14"/>
  <c r="V36" i="14"/>
  <c r="V29" i="14"/>
  <c r="V18" i="14"/>
  <c r="V21" i="14"/>
  <c r="T18" i="14"/>
  <c r="V34" i="14"/>
  <c r="V27" i="14"/>
  <c r="V16" i="14"/>
  <c r="L24" i="10"/>
  <c r="X15" i="8"/>
  <c r="X22" i="17"/>
  <c r="L25" i="5"/>
  <c r="Z15" i="16"/>
  <c r="X22" i="11"/>
  <c r="L15" i="10"/>
  <c r="N24" i="17"/>
  <c r="N16" i="19"/>
  <c r="L24" i="22"/>
  <c r="L34" i="26"/>
  <c r="N20" i="35"/>
  <c r="Z33" i="49"/>
  <c r="N15" i="7"/>
  <c r="L24" i="4"/>
  <c r="Z15" i="8"/>
  <c r="X29" i="23"/>
  <c r="L21" i="14"/>
  <c r="X33" i="19"/>
  <c r="L33" i="17"/>
  <c r="X29" i="20"/>
  <c r="L16" i="23"/>
  <c r="L24" i="20"/>
  <c r="F36" i="4"/>
  <c r="F29" i="4"/>
  <c r="F22" i="4"/>
  <c r="F16" i="4"/>
  <c r="F34" i="4"/>
  <c r="F27" i="4"/>
  <c r="F21" i="4"/>
  <c r="D18" i="4"/>
  <c r="F33" i="4"/>
  <c r="F25" i="4"/>
  <c r="F20" i="4"/>
  <c r="F15" i="4"/>
  <c r="F31" i="4"/>
  <c r="F24" i="4"/>
  <c r="F18" i="4"/>
  <c r="L12" i="4"/>
  <c r="V15" i="8"/>
  <c r="V34" i="8"/>
  <c r="V27" i="8"/>
  <c r="V20" i="8"/>
  <c r="V21" i="8"/>
  <c r="V33" i="8"/>
  <c r="V25" i="8"/>
  <c r="V18" i="8"/>
  <c r="Z12" i="8"/>
  <c r="V31" i="8"/>
  <c r="V24" i="8"/>
  <c r="V16" i="8"/>
  <c r="T18" i="8"/>
  <c r="V36" i="8"/>
  <c r="V29" i="8"/>
  <c r="V22" i="8"/>
  <c r="X25" i="4"/>
  <c r="Z25" i="4" s="1"/>
  <c r="L15" i="7"/>
  <c r="L33" i="5"/>
  <c r="F36" i="17"/>
  <c r="F29" i="17"/>
  <c r="F22" i="17"/>
  <c r="F16" i="17"/>
  <c r="F34" i="17"/>
  <c r="F27" i="17"/>
  <c r="F21" i="17"/>
  <c r="D18" i="17"/>
  <c r="F33" i="17"/>
  <c r="F25" i="17"/>
  <c r="F20" i="17"/>
  <c r="F15" i="17"/>
  <c r="F31" i="17"/>
  <c r="F24" i="17"/>
  <c r="F18" i="17"/>
  <c r="L12" i="17"/>
  <c r="L13" i="13"/>
  <c r="N13" i="13" s="1"/>
  <c r="N20" i="17"/>
  <c r="F34" i="20"/>
  <c r="F27" i="20"/>
  <c r="F21" i="20"/>
  <c r="D18" i="20"/>
  <c r="F33" i="20"/>
  <c r="F25" i="20"/>
  <c r="F20" i="20"/>
  <c r="F15" i="20"/>
  <c r="F31" i="20"/>
  <c r="F24" i="20"/>
  <c r="F18" i="20"/>
  <c r="L12" i="20"/>
  <c r="F36" i="20"/>
  <c r="F29" i="20"/>
  <c r="F22" i="20"/>
  <c r="F16" i="20"/>
  <c r="Z24" i="22"/>
  <c r="X15" i="22"/>
  <c r="L22" i="19"/>
  <c r="N33" i="22"/>
  <c r="N21" i="35"/>
  <c r="Z33" i="50"/>
  <c r="Z24" i="10"/>
  <c r="N15" i="5"/>
  <c r="V34" i="16"/>
  <c r="V27" i="16"/>
  <c r="V21" i="16"/>
  <c r="V16" i="16"/>
  <c r="V33" i="16"/>
  <c r="V25" i="16"/>
  <c r="V20" i="16"/>
  <c r="V15" i="16"/>
  <c r="Z12" i="16"/>
  <c r="V31" i="16"/>
  <c r="V24" i="16"/>
  <c r="V18" i="16"/>
  <c r="V36" i="16"/>
  <c r="V29" i="16"/>
  <c r="V22" i="16"/>
  <c r="T18" i="16"/>
  <c r="L21" i="17"/>
  <c r="X34" i="20"/>
  <c r="L16" i="25"/>
  <c r="N15" i="34"/>
  <c r="Z21" i="43"/>
  <c r="N33" i="10"/>
  <c r="Z34" i="13"/>
  <c r="N34" i="8"/>
  <c r="V33" i="11"/>
  <c r="V25" i="11"/>
  <c r="V24" i="11"/>
  <c r="V22" i="11"/>
  <c r="V31" i="11"/>
  <c r="V21" i="11"/>
  <c r="V20" i="11"/>
  <c r="V18" i="11"/>
  <c r="V36" i="11"/>
  <c r="V29" i="11"/>
  <c r="T18" i="11"/>
  <c r="V16" i="11"/>
  <c r="V34" i="11"/>
  <c r="V27" i="11"/>
  <c r="V15" i="11"/>
  <c r="Z12" i="11"/>
  <c r="X20" i="17"/>
  <c r="L25" i="13"/>
  <c r="N25" i="13" s="1"/>
  <c r="Z33" i="10"/>
  <c r="L24" i="17"/>
  <c r="X25" i="13"/>
  <c r="L12" i="25"/>
  <c r="F31" i="25"/>
  <c r="F20" i="25"/>
  <c r="F15" i="25"/>
  <c r="F36" i="25"/>
  <c r="F29" i="25"/>
  <c r="F18" i="25"/>
  <c r="F24" i="25"/>
  <c r="F34" i="25"/>
  <c r="F27" i="25"/>
  <c r="F16" i="25"/>
  <c r="F22" i="25"/>
  <c r="F33" i="25"/>
  <c r="F25" i="25"/>
  <c r="D18" i="25"/>
  <c r="F21" i="25"/>
  <c r="J34" i="23"/>
  <c r="J27" i="23"/>
  <c r="J20" i="23"/>
  <c r="J15" i="23"/>
  <c r="J33" i="23"/>
  <c r="J25" i="23"/>
  <c r="J18" i="23"/>
  <c r="J21" i="23"/>
  <c r="J31" i="23"/>
  <c r="J24" i="23"/>
  <c r="J16" i="23"/>
  <c r="N12" i="23"/>
  <c r="J36" i="23"/>
  <c r="J29" i="23"/>
  <c r="J22" i="23"/>
  <c r="H18" i="23"/>
  <c r="L21" i="23"/>
  <c r="X16" i="11"/>
  <c r="N20" i="11"/>
  <c r="X34" i="5"/>
  <c r="Z33" i="14"/>
  <c r="X16" i="8"/>
  <c r="Z16" i="8" s="1"/>
  <c r="N33" i="5"/>
  <c r="L33" i="11"/>
  <c r="Z22" i="17"/>
  <c r="L29" i="14"/>
  <c r="N29" i="14" s="1"/>
  <c r="J36" i="14"/>
  <c r="J29" i="14"/>
  <c r="J22" i="14"/>
  <c r="J16" i="14"/>
  <c r="J34" i="14"/>
  <c r="J27" i="14"/>
  <c r="J21" i="14"/>
  <c r="H18" i="14"/>
  <c r="J33" i="14"/>
  <c r="J25" i="14"/>
  <c r="J20" i="14"/>
  <c r="J15" i="14"/>
  <c r="J31" i="14"/>
  <c r="J24" i="14"/>
  <c r="J18" i="14"/>
  <c r="N12" i="14"/>
  <c r="L20" i="20"/>
  <c r="Z33" i="26"/>
  <c r="X24" i="16"/>
  <c r="L25" i="10"/>
  <c r="N25" i="10" s="1"/>
  <c r="X25" i="16"/>
  <c r="V34" i="5"/>
  <c r="V27" i="5"/>
  <c r="V21" i="5"/>
  <c r="V15" i="5"/>
  <c r="V33" i="5"/>
  <c r="V25" i="5"/>
  <c r="V20" i="5"/>
  <c r="T18" i="5"/>
  <c r="Z12" i="5"/>
  <c r="V31" i="5"/>
  <c r="V24" i="5"/>
  <c r="V18" i="5"/>
  <c r="V36" i="5"/>
  <c r="V29" i="5"/>
  <c r="V22" i="5"/>
  <c r="V16" i="5"/>
  <c r="X29" i="11"/>
  <c r="Z20" i="8"/>
  <c r="X29" i="17"/>
  <c r="L22" i="14"/>
  <c r="X21" i="13"/>
  <c r="X24" i="14"/>
  <c r="N15" i="22"/>
  <c r="L20" i="19"/>
  <c r="N34" i="19"/>
  <c r="X16" i="23"/>
  <c r="X34" i="38"/>
  <c r="L22" i="110"/>
  <c r="X33" i="16"/>
  <c r="L24" i="11"/>
  <c r="N21" i="7"/>
  <c r="Z33" i="7"/>
  <c r="X12" i="10"/>
  <c r="R20" i="10"/>
  <c r="R36" i="10"/>
  <c r="R16" i="10"/>
  <c r="R24" i="10"/>
  <c r="R33" i="10"/>
  <c r="R34" i="10"/>
  <c r="R29" i="10"/>
  <c r="R22" i="10"/>
  <c r="R25" i="10"/>
  <c r="R27" i="10"/>
  <c r="R15" i="10"/>
  <c r="R18" i="10"/>
  <c r="P18" i="10"/>
  <c r="R21" i="10"/>
  <c r="R31" i="10"/>
  <c r="Z34" i="7"/>
  <c r="X13" i="19"/>
  <c r="Z13" i="19" s="1"/>
  <c r="L34" i="14"/>
  <c r="Z15" i="14"/>
  <c r="L21" i="26"/>
  <c r="V20" i="22"/>
  <c r="V34" i="22"/>
  <c r="V27" i="22"/>
  <c r="Z12" i="22"/>
  <c r="V18" i="22"/>
  <c r="V33" i="22"/>
  <c r="V25" i="22"/>
  <c r="V15" i="22"/>
  <c r="V16" i="22"/>
  <c r="V31" i="22"/>
  <c r="T18" i="22"/>
  <c r="V24" i="22"/>
  <c r="V36" i="22"/>
  <c r="V29" i="22"/>
  <c r="V22" i="22"/>
  <c r="V21" i="22"/>
  <c r="N22" i="19"/>
  <c r="X24" i="28"/>
  <c r="N20" i="38"/>
  <c r="N22" i="5"/>
  <c r="R25" i="8"/>
  <c r="P18" i="8"/>
  <c r="X12" i="8"/>
  <c r="R34" i="8"/>
  <c r="R21" i="8"/>
  <c r="R20" i="8"/>
  <c r="R15" i="8"/>
  <c r="R24" i="8"/>
  <c r="R36" i="8"/>
  <c r="R18" i="8"/>
  <c r="R31" i="8"/>
  <c r="R22" i="8"/>
  <c r="R29" i="8"/>
  <c r="R16" i="8"/>
  <c r="R33" i="8"/>
  <c r="R27" i="8"/>
  <c r="N20" i="5"/>
  <c r="X24" i="8"/>
  <c r="X34" i="17"/>
  <c r="N34" i="13"/>
  <c r="X16" i="14"/>
  <c r="X16" i="16"/>
  <c r="Z12" i="20"/>
  <c r="V31" i="20"/>
  <c r="V24" i="20"/>
  <c r="V36" i="20"/>
  <c r="V29" i="20"/>
  <c r="V22" i="20"/>
  <c r="V34" i="20"/>
  <c r="V27" i="20"/>
  <c r="V33" i="20"/>
  <c r="V25" i="20"/>
  <c r="V18" i="20"/>
  <c r="V16" i="20"/>
  <c r="V21" i="20"/>
  <c r="T18" i="20"/>
  <c r="V20" i="20"/>
  <c r="V15" i="20"/>
  <c r="L13" i="19"/>
  <c r="N13" i="19" s="1"/>
  <c r="N13" i="20"/>
  <c r="X22" i="20"/>
  <c r="Z22" i="20" s="1"/>
  <c r="Z25" i="13"/>
  <c r="L29" i="7"/>
  <c r="N21" i="8"/>
  <c r="L21" i="4"/>
  <c r="L22" i="10"/>
  <c r="N22" i="10" s="1"/>
  <c r="L13" i="10"/>
  <c r="N13" i="10" s="1"/>
  <c r="X24" i="22"/>
  <c r="N15" i="16"/>
  <c r="N33" i="14"/>
  <c r="Z16" i="19"/>
  <c r="Z22" i="22"/>
  <c r="X20" i="38"/>
  <c r="X33" i="47"/>
  <c r="N24" i="11"/>
  <c r="X29" i="4"/>
  <c r="Z29" i="4" s="1"/>
  <c r="L16" i="14"/>
  <c r="L24" i="5"/>
  <c r="L21" i="10"/>
  <c r="X24" i="20"/>
  <c r="L20" i="16"/>
  <c r="V16" i="25"/>
  <c r="V36" i="25"/>
  <c r="V29" i="25"/>
  <c r="V22" i="25"/>
  <c r="V21" i="25"/>
  <c r="T18" i="25"/>
  <c r="V34" i="25"/>
  <c r="V27" i="25"/>
  <c r="V20" i="25"/>
  <c r="V15" i="25"/>
  <c r="V33" i="25"/>
  <c r="V25" i="25"/>
  <c r="V18" i="25"/>
  <c r="Z12" i="25"/>
  <c r="V31" i="25"/>
  <c r="V24" i="25"/>
  <c r="L25" i="19"/>
  <c r="N24" i="20"/>
  <c r="J33" i="52"/>
  <c r="J25" i="52"/>
  <c r="J20" i="52"/>
  <c r="J15" i="52"/>
  <c r="J31" i="52"/>
  <c r="J24" i="52"/>
  <c r="J18" i="52"/>
  <c r="N12" i="52"/>
  <c r="J36" i="52"/>
  <c r="J29" i="52"/>
  <c r="J22" i="52"/>
  <c r="J16" i="52"/>
  <c r="J34" i="52"/>
  <c r="J27" i="52"/>
  <c r="J21" i="52"/>
  <c r="H18" i="52"/>
  <c r="X33" i="11"/>
  <c r="L20" i="8"/>
  <c r="Z34" i="4"/>
  <c r="F21" i="11"/>
  <c r="F27" i="11"/>
  <c r="F29" i="11"/>
  <c r="F25" i="11"/>
  <c r="L12" i="11"/>
  <c r="F15" i="11"/>
  <c r="F18" i="11"/>
  <c r="F20" i="11"/>
  <c r="F24" i="11"/>
  <c r="F16" i="11"/>
  <c r="D18" i="11"/>
  <c r="F36" i="11"/>
  <c r="F22" i="11"/>
  <c r="F33" i="11"/>
  <c r="F34" i="11"/>
  <c r="F31" i="11"/>
  <c r="N24" i="10"/>
  <c r="X34" i="19"/>
  <c r="Z20" i="20"/>
  <c r="N33" i="20"/>
  <c r="Z20" i="22"/>
  <c r="L15" i="29"/>
  <c r="X34" i="44"/>
  <c r="N20" i="7"/>
  <c r="Z15" i="11"/>
  <c r="J22" i="17"/>
  <c r="J16" i="17"/>
  <c r="J36" i="17"/>
  <c r="J29" i="17"/>
  <c r="J21" i="17"/>
  <c r="H18" i="17"/>
  <c r="J34" i="17"/>
  <c r="J27" i="17"/>
  <c r="J20" i="17"/>
  <c r="J15" i="17"/>
  <c r="J33" i="17"/>
  <c r="J25" i="17"/>
  <c r="J24" i="17"/>
  <c r="J18" i="17"/>
  <c r="N12" i="17"/>
  <c r="J31" i="17"/>
  <c r="Z20" i="10"/>
  <c r="N21" i="4"/>
  <c r="X25" i="7"/>
  <c r="Z25" i="7" s="1"/>
  <c r="L33" i="13"/>
  <c r="R31" i="11"/>
  <c r="R21" i="11"/>
  <c r="R20" i="11"/>
  <c r="R22" i="11"/>
  <c r="R36" i="11"/>
  <c r="R29" i="11"/>
  <c r="R18" i="11"/>
  <c r="R15" i="11"/>
  <c r="R34" i="11"/>
  <c r="R27" i="11"/>
  <c r="P18" i="11"/>
  <c r="R16" i="11"/>
  <c r="R33" i="11"/>
  <c r="R25" i="11"/>
  <c r="R24" i="11"/>
  <c r="X12" i="11"/>
  <c r="X20" i="20"/>
  <c r="X33" i="13"/>
  <c r="X15" i="26"/>
  <c r="L33" i="25"/>
  <c r="L21" i="20"/>
  <c r="N33" i="26"/>
  <c r="L16" i="28"/>
  <c r="X21" i="53"/>
  <c r="R21" i="14"/>
  <c r="P18" i="14"/>
  <c r="R36" i="14"/>
  <c r="R31" i="14"/>
  <c r="R20" i="14"/>
  <c r="R15" i="14"/>
  <c r="R25" i="14"/>
  <c r="R29" i="14"/>
  <c r="R18" i="14"/>
  <c r="R24" i="14"/>
  <c r="R34" i="14"/>
  <c r="X12" i="14"/>
  <c r="R16" i="14"/>
  <c r="R22" i="14"/>
  <c r="R33" i="14"/>
  <c r="R27" i="14"/>
  <c r="N20" i="10"/>
  <c r="Z21" i="5"/>
  <c r="X13" i="7"/>
  <c r="L13" i="11"/>
  <c r="L24" i="26"/>
  <c r="N15" i="19"/>
  <c r="L29" i="25"/>
  <c r="L15" i="26"/>
  <c r="F34" i="28"/>
  <c r="F27" i="28"/>
  <c r="F18" i="28"/>
  <c r="D18" i="28"/>
  <c r="F33" i="28"/>
  <c r="F25" i="28"/>
  <c r="F16" i="28"/>
  <c r="F15" i="28"/>
  <c r="F36" i="28"/>
  <c r="F29" i="28"/>
  <c r="F20" i="28"/>
  <c r="F22" i="28"/>
  <c r="F24" i="28"/>
  <c r="L12" i="28"/>
  <c r="F31" i="28"/>
  <c r="F21" i="28"/>
  <c r="Z21" i="53"/>
  <c r="Z34" i="8"/>
  <c r="N15" i="8"/>
  <c r="J24" i="19"/>
  <c r="J18" i="19"/>
  <c r="J36" i="19"/>
  <c r="J29" i="19"/>
  <c r="J22" i="19"/>
  <c r="J16" i="19"/>
  <c r="J34" i="19"/>
  <c r="J27" i="19"/>
  <c r="J21" i="19"/>
  <c r="H18" i="19"/>
  <c r="J33" i="19"/>
  <c r="J25" i="19"/>
  <c r="J20" i="19"/>
  <c r="J15" i="19"/>
  <c r="J31" i="19"/>
  <c r="N12" i="19"/>
  <c r="L29" i="4"/>
  <c r="X33" i="7"/>
  <c r="Z24" i="11"/>
  <c r="Z13" i="14"/>
  <c r="N34" i="26"/>
  <c r="X15" i="19"/>
  <c r="L29" i="41"/>
  <c r="X22" i="111"/>
  <c r="X22" i="16"/>
  <c r="Z22" i="16" s="1"/>
  <c r="X29" i="5"/>
  <c r="Z29" i="5" s="1"/>
  <c r="L16" i="13"/>
  <c r="X21" i="7"/>
  <c r="Z15" i="17"/>
  <c r="L25" i="11"/>
  <c r="N25" i="11" s="1"/>
  <c r="Z34" i="16"/>
  <c r="N21" i="14"/>
  <c r="X16" i="13"/>
  <c r="Z16" i="13" s="1"/>
  <c r="X22" i="13"/>
  <c r="Z22" i="13" s="1"/>
  <c r="Z21" i="23"/>
  <c r="F24" i="29"/>
  <c r="F16" i="29"/>
  <c r="F33" i="29"/>
  <c r="L12" i="29"/>
  <c r="F22" i="29"/>
  <c r="D18" i="29"/>
  <c r="F21" i="29"/>
  <c r="F31" i="29"/>
  <c r="F20" i="29"/>
  <c r="F15" i="29"/>
  <c r="F36" i="29"/>
  <c r="F34" i="29"/>
  <c r="F18" i="29"/>
  <c r="F29" i="29"/>
  <c r="F27" i="29"/>
  <c r="F25" i="29"/>
  <c r="X29" i="8"/>
  <c r="Z29" i="8" s="1"/>
  <c r="X13" i="5"/>
  <c r="Z13" i="5" s="1"/>
  <c r="L21" i="8"/>
  <c r="N29" i="7"/>
  <c r="X24" i="7"/>
  <c r="Z21" i="16"/>
  <c r="Z29" i="17"/>
  <c r="N21" i="17"/>
  <c r="Z24" i="19"/>
  <c r="Z21" i="29"/>
  <c r="Z34" i="26"/>
  <c r="J22" i="32"/>
  <c r="J16" i="32"/>
  <c r="J31" i="32"/>
  <c r="J15" i="32"/>
  <c r="J21" i="32"/>
  <c r="J36" i="32"/>
  <c r="J29" i="32"/>
  <c r="H18" i="32"/>
  <c r="J20" i="32"/>
  <c r="J34" i="32"/>
  <c r="J27" i="32"/>
  <c r="N12" i="32"/>
  <c r="J24" i="32"/>
  <c r="J18" i="32"/>
  <c r="J33" i="32"/>
  <c r="J25" i="32"/>
  <c r="N33" i="29"/>
  <c r="L33" i="34"/>
  <c r="L12" i="44"/>
  <c r="F31" i="44"/>
  <c r="F20" i="44"/>
  <c r="F22" i="44"/>
  <c r="F36" i="44"/>
  <c r="F29" i="44"/>
  <c r="F18" i="44"/>
  <c r="F21" i="44"/>
  <c r="D18" i="44"/>
  <c r="F34" i="44"/>
  <c r="F27" i="44"/>
  <c r="F16" i="44"/>
  <c r="F15" i="44"/>
  <c r="F33" i="44"/>
  <c r="F25" i="44"/>
  <c r="F24" i="44"/>
  <c r="V31" i="44"/>
  <c r="V24" i="44"/>
  <c r="V18" i="44"/>
  <c r="Z12" i="44"/>
  <c r="V36" i="44"/>
  <c r="V29" i="44"/>
  <c r="V22" i="44"/>
  <c r="V16" i="44"/>
  <c r="V34" i="44"/>
  <c r="V27" i="44"/>
  <c r="V21" i="44"/>
  <c r="T18" i="44"/>
  <c r="V33" i="44"/>
  <c r="V25" i="44"/>
  <c r="V20" i="44"/>
  <c r="V15" i="44"/>
  <c r="Z12" i="49"/>
  <c r="V31" i="49"/>
  <c r="V24" i="49"/>
  <c r="V15" i="49"/>
  <c r="V36" i="49"/>
  <c r="V29" i="49"/>
  <c r="V22" i="49"/>
  <c r="V20" i="49"/>
  <c r="V34" i="49"/>
  <c r="V27" i="49"/>
  <c r="V21" i="49"/>
  <c r="V18" i="49"/>
  <c r="V33" i="49"/>
  <c r="V25" i="49"/>
  <c r="T18" i="49"/>
  <c r="V16" i="49"/>
  <c r="X29" i="111"/>
  <c r="X34" i="25"/>
  <c r="L13" i="111"/>
  <c r="X13" i="4"/>
  <c r="Z13" i="4" s="1"/>
  <c r="L34" i="7"/>
  <c r="L29" i="8"/>
  <c r="N29" i="8" s="1"/>
  <c r="L16" i="5"/>
  <c r="N16" i="5" s="1"/>
  <c r="Z29" i="11"/>
  <c r="Z21" i="14"/>
  <c r="X25" i="10"/>
  <c r="Z25" i="10" s="1"/>
  <c r="L13" i="16"/>
  <c r="X22" i="19"/>
  <c r="L15" i="19"/>
  <c r="R20" i="23"/>
  <c r="R15" i="23"/>
  <c r="X12" i="23"/>
  <c r="R25" i="23"/>
  <c r="R18" i="23"/>
  <c r="R36" i="23"/>
  <c r="R31" i="23"/>
  <c r="R29" i="23"/>
  <c r="R16" i="23"/>
  <c r="R24" i="23"/>
  <c r="R34" i="23"/>
  <c r="R33" i="23"/>
  <c r="R21" i="23"/>
  <c r="P18" i="23"/>
  <c r="R27" i="23"/>
  <c r="R22" i="23"/>
  <c r="N21" i="20"/>
  <c r="X24" i="38"/>
  <c r="Z20" i="4"/>
  <c r="Z34" i="5"/>
  <c r="Z20" i="16"/>
  <c r="Z13" i="7"/>
  <c r="N29" i="10"/>
  <c r="V34" i="17"/>
  <c r="V27" i="17"/>
  <c r="V21" i="17"/>
  <c r="V15" i="17"/>
  <c r="V33" i="17"/>
  <c r="V25" i="17"/>
  <c r="V20" i="17"/>
  <c r="T18" i="17"/>
  <c r="Z12" i="17"/>
  <c r="V31" i="17"/>
  <c r="V24" i="17"/>
  <c r="V18" i="17"/>
  <c r="V36" i="17"/>
  <c r="V29" i="17"/>
  <c r="V22" i="17"/>
  <c r="V16" i="17"/>
  <c r="N24" i="14"/>
  <c r="N22" i="16"/>
  <c r="N25" i="17"/>
  <c r="Z24" i="26"/>
  <c r="Z29" i="20"/>
  <c r="L33" i="19"/>
  <c r="X13" i="22"/>
  <c r="Z13" i="22" s="1"/>
  <c r="X29" i="22"/>
  <c r="J31" i="110"/>
  <c r="J24" i="110"/>
  <c r="J18" i="110"/>
  <c r="N12" i="110"/>
  <c r="J36" i="110"/>
  <c r="J29" i="110"/>
  <c r="J22" i="110"/>
  <c r="J16" i="110"/>
  <c r="J34" i="110"/>
  <c r="J27" i="110"/>
  <c r="J21" i="110"/>
  <c r="H18" i="110"/>
  <c r="J33" i="110"/>
  <c r="J25" i="110"/>
  <c r="J20" i="110"/>
  <c r="J15" i="110"/>
  <c r="X21" i="4"/>
  <c r="L25" i="25"/>
  <c r="L34" i="8"/>
  <c r="Z34" i="11"/>
  <c r="N22" i="4"/>
  <c r="X29" i="14"/>
  <c r="Z29" i="14" s="1"/>
  <c r="X33" i="10"/>
  <c r="L20" i="17"/>
  <c r="L25" i="16"/>
  <c r="N25" i="16" s="1"/>
  <c r="N33" i="16"/>
  <c r="J16" i="20"/>
  <c r="J24" i="20"/>
  <c r="J27" i="20"/>
  <c r="J34" i="20"/>
  <c r="J21" i="20"/>
  <c r="H18" i="20"/>
  <c r="J22" i="20"/>
  <c r="J36" i="20"/>
  <c r="J20" i="20"/>
  <c r="J15" i="20"/>
  <c r="J31" i="20"/>
  <c r="J25" i="20"/>
  <c r="J18" i="20"/>
  <c r="N12" i="20"/>
  <c r="J29" i="20"/>
  <c r="J33" i="20"/>
  <c r="Z25" i="19"/>
  <c r="Z33" i="25"/>
  <c r="L29" i="20"/>
  <c r="N29" i="20" s="1"/>
  <c r="N20" i="29"/>
  <c r="L25" i="43"/>
  <c r="Z21" i="8"/>
  <c r="X24" i="4"/>
  <c r="Z16" i="16"/>
  <c r="N16" i="7"/>
  <c r="X15" i="7"/>
  <c r="X21" i="19"/>
  <c r="Z20" i="7"/>
  <c r="N20" i="13"/>
  <c r="N33" i="17"/>
  <c r="X12" i="19"/>
  <c r="R31" i="19"/>
  <c r="R21" i="19"/>
  <c r="R16" i="19"/>
  <c r="R36" i="19"/>
  <c r="R29" i="19"/>
  <c r="P18" i="19"/>
  <c r="R24" i="19"/>
  <c r="R34" i="19"/>
  <c r="R27" i="19"/>
  <c r="R15" i="19"/>
  <c r="R22" i="19"/>
  <c r="R33" i="19"/>
  <c r="R25" i="19"/>
  <c r="R18" i="19"/>
  <c r="R20" i="19"/>
  <c r="Z34" i="20"/>
  <c r="Z24" i="23"/>
  <c r="X25" i="26"/>
  <c r="Z25" i="26" s="1"/>
  <c r="X25" i="53"/>
  <c r="X16" i="111"/>
  <c r="X16" i="5"/>
  <c r="Z16" i="5" s="1"/>
  <c r="Z16" i="10"/>
  <c r="N20" i="8"/>
  <c r="J31" i="10"/>
  <c r="J18" i="10"/>
  <c r="J20" i="10"/>
  <c r="J29" i="10"/>
  <c r="J21" i="10"/>
  <c r="J16" i="10"/>
  <c r="J33" i="10"/>
  <c r="J34" i="10"/>
  <c r="J22" i="10"/>
  <c r="J24" i="10"/>
  <c r="J25" i="10"/>
  <c r="J27" i="10"/>
  <c r="J15" i="10"/>
  <c r="N12" i="10"/>
  <c r="H18" i="10"/>
  <c r="J36" i="10"/>
  <c r="X16" i="7"/>
  <c r="Z34" i="14"/>
  <c r="X34" i="14"/>
  <c r="Z15" i="19"/>
  <c r="L33" i="16"/>
  <c r="Z15" i="20"/>
  <c r="Z33" i="19"/>
  <c r="Z15" i="29"/>
  <c r="L34" i="20"/>
  <c r="N20" i="23"/>
  <c r="N15" i="47"/>
  <c r="N34" i="5"/>
  <c r="X15" i="11"/>
  <c r="X33" i="5"/>
  <c r="N13" i="7"/>
  <c r="F36" i="8"/>
  <c r="F29" i="8"/>
  <c r="F22" i="8"/>
  <c r="F20" i="8"/>
  <c r="F34" i="8"/>
  <c r="F27" i="8"/>
  <c r="F18" i="8"/>
  <c r="D18" i="8"/>
  <c r="F33" i="8"/>
  <c r="F25" i="8"/>
  <c r="F21" i="8"/>
  <c r="F15" i="8"/>
  <c r="L12" i="8"/>
  <c r="F31" i="8"/>
  <c r="F24" i="8"/>
  <c r="F16" i="8"/>
  <c r="N20" i="22"/>
  <c r="J31" i="16"/>
  <c r="J24" i="16"/>
  <c r="J18" i="16"/>
  <c r="N12" i="16"/>
  <c r="J36" i="16"/>
  <c r="J29" i="16"/>
  <c r="J22" i="16"/>
  <c r="J16" i="16"/>
  <c r="J34" i="16"/>
  <c r="J27" i="16"/>
  <c r="J21" i="16"/>
  <c r="H18" i="16"/>
  <c r="J33" i="16"/>
  <c r="J25" i="16"/>
  <c r="J20" i="16"/>
  <c r="J15" i="16"/>
  <c r="N20" i="26"/>
  <c r="Z34" i="19"/>
  <c r="N33" i="37"/>
  <c r="L22" i="29"/>
  <c r="N22" i="29" s="1"/>
  <c r="X22" i="28"/>
  <c r="L34" i="31"/>
  <c r="J31" i="31"/>
  <c r="J24" i="31"/>
  <c r="J15" i="31"/>
  <c r="J20" i="31"/>
  <c r="J36" i="31"/>
  <c r="J29" i="31"/>
  <c r="J22" i="31"/>
  <c r="J21" i="31"/>
  <c r="J34" i="31"/>
  <c r="J27" i="31"/>
  <c r="N12" i="31"/>
  <c r="H18" i="31"/>
  <c r="J33" i="31"/>
  <c r="J25" i="31"/>
  <c r="J18" i="31"/>
  <c r="J16" i="31"/>
  <c r="V22" i="34"/>
  <c r="V16" i="34"/>
  <c r="V33" i="34"/>
  <c r="V36" i="34"/>
  <c r="V21" i="34"/>
  <c r="V34" i="34"/>
  <c r="V27" i="34"/>
  <c r="V25" i="34"/>
  <c r="V20" i="34"/>
  <c r="V29" i="34"/>
  <c r="T18" i="34"/>
  <c r="V31" i="34"/>
  <c r="V24" i="34"/>
  <c r="V18" i="34"/>
  <c r="V15" i="34"/>
  <c r="Z12" i="34"/>
  <c r="X13" i="41"/>
  <c r="V36" i="41"/>
  <c r="V29" i="41"/>
  <c r="V18" i="41"/>
  <c r="V22" i="41"/>
  <c r="V34" i="41"/>
  <c r="V27" i="41"/>
  <c r="V16" i="41"/>
  <c r="V15" i="41"/>
  <c r="V33" i="41"/>
  <c r="V25" i="41"/>
  <c r="T18" i="41"/>
  <c r="V24" i="41"/>
  <c r="V31" i="41"/>
  <c r="V20" i="41"/>
  <c r="V21" i="41"/>
  <c r="Z12" i="41"/>
  <c r="Z15" i="44"/>
  <c r="X21" i="46"/>
  <c r="X16" i="50"/>
  <c r="V33" i="50"/>
  <c r="V25" i="50"/>
  <c r="V20" i="50"/>
  <c r="T18" i="50"/>
  <c r="Z12" i="50"/>
  <c r="V31" i="50"/>
  <c r="V24" i="50"/>
  <c r="V18" i="50"/>
  <c r="V36" i="50"/>
  <c r="V29" i="50"/>
  <c r="V22" i="50"/>
  <c r="V16" i="50"/>
  <c r="V34" i="50"/>
  <c r="V27" i="50"/>
  <c r="V21" i="50"/>
  <c r="V15" i="50"/>
  <c r="L16" i="110"/>
  <c r="L20" i="25"/>
  <c r="N21" i="31"/>
  <c r="N24" i="46"/>
  <c r="T18" i="7"/>
  <c r="V36" i="7"/>
  <c r="V29" i="7"/>
  <c r="V22" i="7"/>
  <c r="V20" i="7"/>
  <c r="V15" i="7"/>
  <c r="V34" i="7"/>
  <c r="V27" i="7"/>
  <c r="V18" i="7"/>
  <c r="V24" i="7"/>
  <c r="V33" i="7"/>
  <c r="V25" i="7"/>
  <c r="V16" i="7"/>
  <c r="Z12" i="7"/>
  <c r="V31" i="7"/>
  <c r="V21" i="7"/>
  <c r="X24" i="5"/>
  <c r="N13" i="11"/>
  <c r="Z22" i="14"/>
  <c r="L13" i="4"/>
  <c r="Z21" i="7"/>
  <c r="L20" i="14"/>
  <c r="L29" i="13"/>
  <c r="N29" i="13" s="1"/>
  <c r="Z34" i="10"/>
  <c r="X29" i="13"/>
  <c r="X16" i="25"/>
  <c r="L13" i="25"/>
  <c r="N15" i="20"/>
  <c r="X20" i="25"/>
  <c r="N24" i="26"/>
  <c r="X33" i="40"/>
  <c r="V20" i="13"/>
  <c r="V15" i="13"/>
  <c r="V31" i="13"/>
  <c r="V33" i="13"/>
  <c r="V18" i="13"/>
  <c r="V21" i="13"/>
  <c r="V22" i="13"/>
  <c r="V25" i="13"/>
  <c r="V16" i="13"/>
  <c r="V36" i="13"/>
  <c r="V34" i="13"/>
  <c r="Z12" i="13"/>
  <c r="T18" i="13"/>
  <c r="V29" i="13"/>
  <c r="V27" i="13"/>
  <c r="V24" i="13"/>
  <c r="Z24" i="4"/>
  <c r="R34" i="5"/>
  <c r="R27" i="5"/>
  <c r="R21" i="5"/>
  <c r="P18" i="5"/>
  <c r="R33" i="5"/>
  <c r="R25" i="5"/>
  <c r="R20" i="5"/>
  <c r="R15" i="5"/>
  <c r="X12" i="5"/>
  <c r="R31" i="5"/>
  <c r="R24" i="5"/>
  <c r="R18" i="5"/>
  <c r="R36" i="5"/>
  <c r="R29" i="5"/>
  <c r="R22" i="5"/>
  <c r="R16" i="5"/>
  <c r="N12" i="7"/>
  <c r="J31" i="7"/>
  <c r="J24" i="7"/>
  <c r="J18" i="7"/>
  <c r="J36" i="7"/>
  <c r="J29" i="7"/>
  <c r="J22" i="7"/>
  <c r="J16" i="7"/>
  <c r="J34" i="7"/>
  <c r="J27" i="7"/>
  <c r="J21" i="7"/>
  <c r="H18" i="7"/>
  <c r="J33" i="7"/>
  <c r="J25" i="7"/>
  <c r="J20" i="7"/>
  <c r="J15" i="7"/>
  <c r="L15" i="11"/>
  <c r="Z25" i="16"/>
  <c r="N24" i="13"/>
  <c r="Z33" i="22"/>
  <c r="N34" i="20"/>
  <c r="N34" i="22"/>
  <c r="N24" i="23"/>
  <c r="V16" i="26"/>
  <c r="V34" i="26"/>
  <c r="V27" i="26"/>
  <c r="Z12" i="26"/>
  <c r="T18" i="26"/>
  <c r="V33" i="26"/>
  <c r="V25" i="26"/>
  <c r="V21" i="26"/>
  <c r="V20" i="26"/>
  <c r="V15" i="26"/>
  <c r="V31" i="26"/>
  <c r="V24" i="26"/>
  <c r="V18" i="26"/>
  <c r="V36" i="26"/>
  <c r="V29" i="26"/>
  <c r="V22" i="26"/>
  <c r="L25" i="31"/>
  <c r="Z33" i="43"/>
  <c r="X15" i="4"/>
  <c r="Z33" i="8"/>
  <c r="L24" i="7"/>
  <c r="X21" i="17"/>
  <c r="L25" i="4"/>
  <c r="N25" i="4" s="1"/>
  <c r="X29" i="7"/>
  <c r="Z29" i="7" s="1"/>
  <c r="R15" i="16"/>
  <c r="R33" i="16"/>
  <c r="R25" i="16"/>
  <c r="R21" i="16"/>
  <c r="X12" i="16"/>
  <c r="R31" i="16"/>
  <c r="R20" i="16"/>
  <c r="R22" i="16"/>
  <c r="R36" i="16"/>
  <c r="R29" i="16"/>
  <c r="R18" i="16"/>
  <c r="R24" i="16"/>
  <c r="P18" i="16"/>
  <c r="R34" i="16"/>
  <c r="R27" i="16"/>
  <c r="R16" i="16"/>
  <c r="L34" i="13"/>
  <c r="Z22" i="11"/>
  <c r="L20" i="11"/>
  <c r="X34" i="13"/>
  <c r="N29" i="26"/>
  <c r="L24" i="29"/>
  <c r="F33" i="112"/>
  <c r="F25" i="112"/>
  <c r="F20" i="112"/>
  <c r="F15" i="112"/>
  <c r="F31" i="112"/>
  <c r="F24" i="112"/>
  <c r="F18" i="112"/>
  <c r="L12" i="112"/>
  <c r="F36" i="112"/>
  <c r="F29" i="112"/>
  <c r="F22" i="112"/>
  <c r="F16" i="112"/>
  <c r="F34" i="112"/>
  <c r="F27" i="112"/>
  <c r="F21" i="112"/>
  <c r="D18" i="112"/>
  <c r="Z13" i="16"/>
  <c r="X25" i="5"/>
  <c r="Z25" i="5" s="1"/>
  <c r="Z24" i="5"/>
  <c r="L22" i="11"/>
  <c r="N22" i="11" s="1"/>
  <c r="Z15" i="7"/>
  <c r="L21" i="11"/>
  <c r="N21" i="11"/>
  <c r="Z33" i="16"/>
  <c r="L13" i="14"/>
  <c r="N13" i="14" s="1"/>
  <c r="L12" i="13"/>
  <c r="F31" i="13"/>
  <c r="F24" i="13"/>
  <c r="D18" i="13"/>
  <c r="F36" i="13"/>
  <c r="F29" i="13"/>
  <c r="F22" i="13"/>
  <c r="F16" i="13"/>
  <c r="F34" i="13"/>
  <c r="F27" i="13"/>
  <c r="F21" i="13"/>
  <c r="F15" i="13"/>
  <c r="F33" i="13"/>
  <c r="F25" i="13"/>
  <c r="F18" i="13"/>
  <c r="F20" i="13"/>
  <c r="Z20" i="13"/>
  <c r="Z29" i="22"/>
  <c r="L20" i="23"/>
  <c r="L21" i="19"/>
  <c r="L34" i="25"/>
  <c r="X34" i="32"/>
  <c r="Z33" i="44"/>
  <c r="N29" i="4"/>
  <c r="Z15" i="10"/>
  <c r="N34" i="11"/>
  <c r="L16" i="4"/>
  <c r="N16" i="4" s="1"/>
  <c r="X13" i="11"/>
  <c r="Z13" i="11" s="1"/>
  <c r="L33" i="4"/>
  <c r="X34" i="7"/>
  <c r="Z24" i="16"/>
  <c r="J36" i="13"/>
  <c r="J29" i="13"/>
  <c r="J22" i="13"/>
  <c r="J16" i="13"/>
  <c r="J34" i="13"/>
  <c r="J27" i="13"/>
  <c r="J21" i="13"/>
  <c r="H18" i="13"/>
  <c r="J33" i="13"/>
  <c r="J25" i="13"/>
  <c r="J20" i="13"/>
  <c r="J15" i="13"/>
  <c r="N12" i="13"/>
  <c r="J31" i="13"/>
  <c r="J24" i="13"/>
  <c r="J18" i="13"/>
  <c r="Z16" i="14"/>
  <c r="L33" i="28"/>
  <c r="N20" i="25"/>
  <c r="N25" i="19"/>
  <c r="J24" i="25"/>
  <c r="J29" i="25"/>
  <c r="J27" i="25"/>
  <c r="J31" i="25"/>
  <c r="J22" i="25"/>
  <c r="J20" i="25"/>
  <c r="J18" i="25"/>
  <c r="J25" i="25"/>
  <c r="J21" i="25"/>
  <c r="J15" i="25"/>
  <c r="H18" i="25"/>
  <c r="J16" i="25"/>
  <c r="N12" i="25"/>
  <c r="J34" i="25"/>
  <c r="J33" i="25"/>
  <c r="J36" i="25"/>
  <c r="X13" i="38"/>
  <c r="X21" i="111"/>
  <c r="X20" i="5"/>
  <c r="L34" i="10"/>
  <c r="L22" i="8"/>
  <c r="N22" i="8" s="1"/>
  <c r="L16" i="10"/>
  <c r="N16" i="10" s="1"/>
  <c r="X20" i="7"/>
  <c r="X29" i="16"/>
  <c r="Z29" i="16" s="1"/>
  <c r="L13" i="5"/>
  <c r="N13" i="5" s="1"/>
  <c r="L24" i="13"/>
  <c r="N20" i="16"/>
  <c r="F36" i="19"/>
  <c r="F29" i="19"/>
  <c r="F22" i="19"/>
  <c r="F16" i="19"/>
  <c r="F34" i="19"/>
  <c r="F27" i="19"/>
  <c r="F21" i="19"/>
  <c r="D18" i="19"/>
  <c r="F33" i="19"/>
  <c r="F25" i="19"/>
  <c r="F20" i="19"/>
  <c r="F15" i="19"/>
  <c r="F31" i="19"/>
  <c r="F24" i="19"/>
  <c r="F18" i="19"/>
  <c r="L12" i="19"/>
  <c r="Z15" i="22"/>
  <c r="N24" i="25"/>
  <c r="X13" i="23"/>
  <c r="L24" i="28"/>
  <c r="X33" i="31"/>
  <c r="X16" i="38"/>
  <c r="Z24" i="37"/>
  <c r="X13" i="47"/>
  <c r="Z20" i="44"/>
  <c r="Z21" i="52"/>
  <c r="L21" i="53"/>
  <c r="L21" i="49"/>
  <c r="X33" i="112"/>
  <c r="V22" i="23"/>
  <c r="Z12" i="23"/>
  <c r="V25" i="23"/>
  <c r="V33" i="23"/>
  <c r="T18" i="23"/>
  <c r="V36" i="23"/>
  <c r="V31" i="23"/>
  <c r="V29" i="23"/>
  <c r="V15" i="23"/>
  <c r="V27" i="23"/>
  <c r="V20" i="23"/>
  <c r="V18" i="23"/>
  <c r="V24" i="23"/>
  <c r="V16" i="23"/>
  <c r="V34" i="23"/>
  <c r="V21" i="23"/>
  <c r="R34" i="34"/>
  <c r="R27" i="34"/>
  <c r="R20" i="34"/>
  <c r="R15" i="34"/>
  <c r="R33" i="34"/>
  <c r="R25" i="34"/>
  <c r="R18" i="34"/>
  <c r="P18" i="34"/>
  <c r="R31" i="34"/>
  <c r="R24" i="34"/>
  <c r="R16" i="34"/>
  <c r="X12" i="34"/>
  <c r="R36" i="34"/>
  <c r="R29" i="34"/>
  <c r="R22" i="34"/>
  <c r="R21" i="34"/>
  <c r="L20" i="52"/>
  <c r="R20" i="7"/>
  <c r="R15" i="7"/>
  <c r="R33" i="7"/>
  <c r="R25" i="7"/>
  <c r="R24" i="7"/>
  <c r="R18" i="7"/>
  <c r="X12" i="7"/>
  <c r="R31" i="7"/>
  <c r="R22" i="7"/>
  <c r="R16" i="7"/>
  <c r="R36" i="7"/>
  <c r="R29" i="7"/>
  <c r="R21" i="7"/>
  <c r="P18" i="7"/>
  <c r="R34" i="7"/>
  <c r="R27" i="7"/>
  <c r="Z16" i="4"/>
  <c r="X25" i="11"/>
  <c r="Z25" i="11" s="1"/>
  <c r="X34" i="4"/>
  <c r="Z33" i="5"/>
  <c r="Z24" i="14"/>
  <c r="X24" i="10"/>
  <c r="N22" i="14"/>
  <c r="N13" i="16"/>
  <c r="X15" i="17"/>
  <c r="Z25" i="20"/>
  <c r="L29" i="19"/>
  <c r="Z21" i="22"/>
  <c r="X20" i="110"/>
  <c r="Z15" i="4"/>
  <c r="X34" i="16"/>
  <c r="L33" i="8"/>
  <c r="L20" i="5"/>
  <c r="N33" i="11"/>
  <c r="N13" i="4"/>
  <c r="X25" i="14"/>
  <c r="X29" i="10"/>
  <c r="Z29" i="10" s="1"/>
  <c r="L16" i="17"/>
  <c r="N16" i="17" s="1"/>
  <c r="N21" i="16"/>
  <c r="X24" i="19"/>
  <c r="L15" i="25"/>
  <c r="L25" i="20"/>
  <c r="N25" i="20" s="1"/>
  <c r="L20" i="26"/>
  <c r="Z33" i="34"/>
  <c r="L16" i="53"/>
  <c r="Z24" i="7"/>
  <c r="X22" i="4"/>
  <c r="Z22" i="4" s="1"/>
  <c r="L15" i="14"/>
  <c r="X22" i="5"/>
  <c r="Z22" i="5" s="1"/>
  <c r="X13" i="17"/>
  <c r="Z13" i="17" s="1"/>
  <c r="Z16" i="7"/>
  <c r="J20" i="11"/>
  <c r="J33" i="11"/>
  <c r="J34" i="11"/>
  <c r="J31" i="11"/>
  <c r="J18" i="11"/>
  <c r="J27" i="11"/>
  <c r="J29" i="11"/>
  <c r="J25" i="11"/>
  <c r="J16" i="11"/>
  <c r="J22" i="11"/>
  <c r="J24" i="11"/>
  <c r="J21" i="11"/>
  <c r="J15" i="11"/>
  <c r="H18" i="11"/>
  <c r="J36" i="11"/>
  <c r="N12" i="11"/>
  <c r="N16" i="13"/>
  <c r="L15" i="17"/>
  <c r="N24" i="16"/>
  <c r="N29" i="17"/>
  <c r="X33" i="28"/>
  <c r="Z33" i="20"/>
  <c r="L34" i="19"/>
  <c r="N16" i="22"/>
  <c r="Z24" i="25"/>
  <c r="N15" i="44"/>
  <c r="N21" i="112"/>
  <c r="F22" i="5"/>
  <c r="F16" i="5"/>
  <c r="F36" i="5"/>
  <c r="F29" i="5"/>
  <c r="F21" i="5"/>
  <c r="D18" i="5"/>
  <c r="F34" i="5"/>
  <c r="F27" i="5"/>
  <c r="F20" i="5"/>
  <c r="F15" i="5"/>
  <c r="F33" i="5"/>
  <c r="F25" i="5"/>
  <c r="F24" i="5"/>
  <c r="F18" i="5"/>
  <c r="L12" i="5"/>
  <c r="F31" i="5"/>
  <c r="N29" i="5"/>
  <c r="N16" i="8"/>
  <c r="F36" i="7"/>
  <c r="F29" i="7"/>
  <c r="F22" i="7"/>
  <c r="F16" i="7"/>
  <c r="F34" i="7"/>
  <c r="F27" i="7"/>
  <c r="F21" i="7"/>
  <c r="D18" i="7"/>
  <c r="F33" i="7"/>
  <c r="F25" i="7"/>
  <c r="F20" i="7"/>
  <c r="F15" i="7"/>
  <c r="L12" i="7"/>
  <c r="F31" i="7"/>
  <c r="F24" i="7"/>
  <c r="F18" i="7"/>
  <c r="Z29" i="13"/>
  <c r="N24" i="4"/>
  <c r="X33" i="14"/>
  <c r="X34" i="10"/>
  <c r="L29" i="16"/>
  <c r="N29" i="16" s="1"/>
  <c r="N34" i="16"/>
  <c r="X13" i="20"/>
  <c r="Z13" i="20" s="1"/>
  <c r="Z29" i="19"/>
  <c r="R20" i="26"/>
  <c r="R15" i="26"/>
  <c r="R36" i="26"/>
  <c r="R29" i="26"/>
  <c r="R24" i="26"/>
  <c r="R18" i="26"/>
  <c r="X12" i="26"/>
  <c r="R31" i="26"/>
  <c r="R22" i="26"/>
  <c r="R16" i="26"/>
  <c r="R33" i="26"/>
  <c r="R25" i="26"/>
  <c r="R21" i="26"/>
  <c r="P18" i="26"/>
  <c r="R27" i="26"/>
  <c r="R34" i="26"/>
  <c r="L33" i="20"/>
  <c r="L29" i="52"/>
  <c r="X25" i="8"/>
  <c r="Z25" i="8" s="1"/>
  <c r="J20" i="5"/>
  <c r="H18" i="5"/>
  <c r="J34" i="5"/>
  <c r="J27" i="5"/>
  <c r="J18" i="5"/>
  <c r="J15" i="5"/>
  <c r="J33" i="5"/>
  <c r="J25" i="5"/>
  <c r="J16" i="5"/>
  <c r="N12" i="5"/>
  <c r="J31" i="5"/>
  <c r="J24" i="5"/>
  <c r="J22" i="5"/>
  <c r="J36" i="5"/>
  <c r="J29" i="5"/>
  <c r="J21" i="5"/>
  <c r="N25" i="5"/>
  <c r="L22" i="7"/>
  <c r="N22" i="7" s="1"/>
  <c r="N25" i="7"/>
  <c r="X22" i="7"/>
  <c r="Z22" i="7" s="1"/>
  <c r="Z25" i="14"/>
  <c r="L22" i="13"/>
  <c r="N22" i="13" s="1"/>
  <c r="Z25" i="17"/>
  <c r="N16" i="16"/>
  <c r="L13" i="17"/>
  <c r="N13" i="17" s="1"/>
  <c r="N34" i="17"/>
  <c r="Z22" i="19"/>
  <c r="R15" i="22"/>
  <c r="R25" i="22"/>
  <c r="R27" i="22"/>
  <c r="R16" i="22"/>
  <c r="R24" i="22"/>
  <c r="X12" i="22"/>
  <c r="R18" i="22"/>
  <c r="R20" i="22"/>
  <c r="R22" i="22"/>
  <c r="R29" i="22"/>
  <c r="R34" i="22"/>
  <c r="R36" i="22"/>
  <c r="P18" i="22"/>
  <c r="R21" i="22"/>
  <c r="R31" i="22"/>
  <c r="R33" i="22"/>
  <c r="X33" i="23"/>
  <c r="Z22" i="28"/>
  <c r="V31" i="46"/>
  <c r="T18" i="46"/>
  <c r="V24" i="46"/>
  <c r="V20" i="46"/>
  <c r="Z12" i="46"/>
  <c r="V15" i="46"/>
  <c r="V36" i="46"/>
  <c r="V18" i="46"/>
  <c r="V29" i="46"/>
  <c r="V22" i="46"/>
  <c r="V25" i="46"/>
  <c r="V33" i="46"/>
  <c r="V34" i="46"/>
  <c r="V27" i="46"/>
  <c r="V16" i="46"/>
  <c r="V21" i="46"/>
  <c r="N33" i="4"/>
  <c r="X22" i="10"/>
  <c r="Z22" i="10" s="1"/>
  <c r="X13" i="10"/>
  <c r="Z13" i="10" s="1"/>
  <c r="N15" i="13"/>
  <c r="L20" i="4"/>
  <c r="L16" i="11"/>
  <c r="N16" i="11" s="1"/>
  <c r="L34" i="4"/>
  <c r="Z13" i="8"/>
  <c r="Z16" i="11"/>
  <c r="L34" i="16"/>
  <c r="X21" i="20"/>
  <c r="Z34" i="35"/>
  <c r="L24" i="23"/>
  <c r="Z20" i="23"/>
  <c r="L25" i="29"/>
  <c r="X12" i="32"/>
  <c r="R31" i="32"/>
  <c r="R21" i="32"/>
  <c r="R20" i="32"/>
  <c r="R36" i="32"/>
  <c r="R29" i="32"/>
  <c r="P18" i="32"/>
  <c r="R22" i="32"/>
  <c r="R34" i="32"/>
  <c r="R27" i="32"/>
  <c r="R15" i="32"/>
  <c r="R18" i="32"/>
  <c r="R33" i="32"/>
  <c r="R25" i="32"/>
  <c r="R24" i="32"/>
  <c r="R16" i="32"/>
  <c r="N15" i="35"/>
  <c r="F20" i="37"/>
  <c r="F15" i="37"/>
  <c r="F29" i="37"/>
  <c r="F31" i="37"/>
  <c r="F18" i="37"/>
  <c r="L12" i="37"/>
  <c r="F25" i="37"/>
  <c r="F27" i="37"/>
  <c r="F16" i="37"/>
  <c r="F36" i="37"/>
  <c r="F22" i="37"/>
  <c r="F21" i="37"/>
  <c r="D18" i="37"/>
  <c r="F33" i="37"/>
  <c r="F34" i="37"/>
  <c r="F24" i="37"/>
  <c r="Z34" i="37"/>
  <c r="X16" i="41"/>
  <c r="Z16" i="41" s="1"/>
  <c r="V36" i="43"/>
  <c r="V29" i="43"/>
  <c r="V22" i="43"/>
  <c r="V16" i="43"/>
  <c r="V34" i="43"/>
  <c r="V27" i="43"/>
  <c r="V21" i="43"/>
  <c r="T18" i="43"/>
  <c r="V33" i="43"/>
  <c r="V25" i="43"/>
  <c r="V20" i="43"/>
  <c r="V15" i="43"/>
  <c r="Z12" i="43"/>
  <c r="V31" i="43"/>
  <c r="V24" i="43"/>
  <c r="V18" i="43"/>
  <c r="X25" i="50"/>
  <c r="X22" i="52"/>
  <c r="N25" i="110"/>
  <c r="Z21" i="17"/>
  <c r="N16" i="14"/>
  <c r="X15" i="13"/>
  <c r="X13" i="13"/>
  <c r="Z13" i="13" s="1"/>
  <c r="Z20" i="14"/>
  <c r="L33" i="31"/>
  <c r="L24" i="25"/>
  <c r="N29" i="19"/>
  <c r="Z15" i="25"/>
  <c r="Z33" i="47"/>
  <c r="Z24" i="111"/>
  <c r="L33" i="22"/>
  <c r="N33" i="25"/>
  <c r="X22" i="25"/>
  <c r="N34" i="34"/>
  <c r="X24" i="35"/>
  <c r="N20" i="37"/>
  <c r="X29" i="37"/>
  <c r="N33" i="41"/>
  <c r="L20" i="46"/>
  <c r="Z21" i="41"/>
  <c r="N21" i="49"/>
  <c r="X24" i="49"/>
  <c r="L29" i="53"/>
  <c r="X20" i="112"/>
  <c r="L21" i="110"/>
  <c r="L34" i="22"/>
  <c r="N34" i="25"/>
  <c r="X24" i="25"/>
  <c r="X21" i="29"/>
  <c r="Z15" i="32"/>
  <c r="J36" i="37"/>
  <c r="J29" i="37"/>
  <c r="J20" i="37"/>
  <c r="H18" i="37"/>
  <c r="J34" i="37"/>
  <c r="J27" i="37"/>
  <c r="J16" i="37"/>
  <c r="J15" i="37"/>
  <c r="J33" i="37"/>
  <c r="J25" i="37"/>
  <c r="N12" i="37"/>
  <c r="J18" i="37"/>
  <c r="J31" i="37"/>
  <c r="J22" i="37"/>
  <c r="J21" i="37"/>
  <c r="J24" i="37"/>
  <c r="L22" i="37"/>
  <c r="N33" i="31"/>
  <c r="X33" i="37"/>
  <c r="L34" i="40"/>
  <c r="L13" i="43"/>
  <c r="N20" i="43"/>
  <c r="X25" i="41"/>
  <c r="L33" i="46"/>
  <c r="L25" i="49"/>
  <c r="Z24" i="53"/>
  <c r="J33" i="50"/>
  <c r="J25" i="50"/>
  <c r="H18" i="50"/>
  <c r="J18" i="50"/>
  <c r="N12" i="50"/>
  <c r="J31" i="50"/>
  <c r="J24" i="50"/>
  <c r="J15" i="50"/>
  <c r="J36" i="50"/>
  <c r="J29" i="50"/>
  <c r="J22" i="50"/>
  <c r="J20" i="50"/>
  <c r="J34" i="50"/>
  <c r="J27" i="50"/>
  <c r="J21" i="50"/>
  <c r="J16" i="50"/>
  <c r="L33" i="53"/>
  <c r="N29" i="53"/>
  <c r="L15" i="110"/>
  <c r="N33" i="111"/>
  <c r="J36" i="26"/>
  <c r="J29" i="26"/>
  <c r="J20" i="26"/>
  <c r="H18" i="26"/>
  <c r="J34" i="26"/>
  <c r="J27" i="26"/>
  <c r="J18" i="26"/>
  <c r="J24" i="26"/>
  <c r="J33" i="26"/>
  <c r="J25" i="26"/>
  <c r="J16" i="26"/>
  <c r="J15" i="26"/>
  <c r="N12" i="26"/>
  <c r="J31" i="26"/>
  <c r="J21" i="26"/>
  <c r="J22" i="26"/>
  <c r="L21" i="34"/>
  <c r="Z15" i="37"/>
  <c r="N34" i="31"/>
  <c r="N15" i="38"/>
  <c r="D18" i="41"/>
  <c r="F20" i="41"/>
  <c r="F24" i="41"/>
  <c r="F22" i="41"/>
  <c r="F21" i="41"/>
  <c r="F15" i="41"/>
  <c r="F16" i="41"/>
  <c r="F34" i="41"/>
  <c r="F27" i="41"/>
  <c r="L12" i="41"/>
  <c r="F29" i="41"/>
  <c r="F18" i="41"/>
  <c r="F36" i="41"/>
  <c r="F33" i="41"/>
  <c r="F25" i="41"/>
  <c r="F31" i="41"/>
  <c r="L33" i="43"/>
  <c r="L22" i="43"/>
  <c r="X29" i="41"/>
  <c r="X29" i="49"/>
  <c r="L29" i="49"/>
  <c r="Z21" i="47"/>
  <c r="X13" i="50"/>
  <c r="L34" i="53"/>
  <c r="N33" i="53"/>
  <c r="Z33" i="110"/>
  <c r="V36" i="111"/>
  <c r="V29" i="111"/>
  <c r="V22" i="111"/>
  <c r="T18" i="111"/>
  <c r="V34" i="111"/>
  <c r="V27" i="111"/>
  <c r="V21" i="111"/>
  <c r="V16" i="111"/>
  <c r="V33" i="111"/>
  <c r="V25" i="111"/>
  <c r="V20" i="111"/>
  <c r="V15" i="111"/>
  <c r="Z12" i="111"/>
  <c r="V31" i="111"/>
  <c r="V24" i="111"/>
  <c r="V18" i="111"/>
  <c r="N34" i="111"/>
  <c r="L25" i="28"/>
  <c r="L25" i="23"/>
  <c r="X21" i="37"/>
  <c r="N34" i="41"/>
  <c r="X25" i="47"/>
  <c r="X25" i="111"/>
  <c r="Z25" i="111" s="1"/>
  <c r="V20" i="35"/>
  <c r="V15" i="35"/>
  <c r="V36" i="35"/>
  <c r="V34" i="35"/>
  <c r="V18" i="35"/>
  <c r="V33" i="35"/>
  <c r="V31" i="35"/>
  <c r="V29" i="35"/>
  <c r="Z12" i="35"/>
  <c r="V16" i="35"/>
  <c r="V27" i="35"/>
  <c r="V25" i="35"/>
  <c r="V21" i="35"/>
  <c r="T18" i="35"/>
  <c r="V22" i="35"/>
  <c r="V24" i="35"/>
  <c r="Z29" i="34"/>
  <c r="L33" i="44"/>
  <c r="N20" i="46"/>
  <c r="Z22" i="111"/>
  <c r="X12" i="31"/>
  <c r="R18" i="31"/>
  <c r="R25" i="31"/>
  <c r="R33" i="31"/>
  <c r="R24" i="31"/>
  <c r="R16" i="31"/>
  <c r="R21" i="31"/>
  <c r="R27" i="31"/>
  <c r="P18" i="31"/>
  <c r="R22" i="31"/>
  <c r="R36" i="31"/>
  <c r="R34" i="31"/>
  <c r="R15" i="31"/>
  <c r="R20" i="31"/>
  <c r="R31" i="31"/>
  <c r="R29" i="31"/>
  <c r="V36" i="37"/>
  <c r="V29" i="37"/>
  <c r="V22" i="37"/>
  <c r="V20" i="37"/>
  <c r="V34" i="37"/>
  <c r="V27" i="37"/>
  <c r="V21" i="37"/>
  <c r="V16" i="37"/>
  <c r="V33" i="37"/>
  <c r="V25" i="37"/>
  <c r="T18" i="37"/>
  <c r="V18" i="37"/>
  <c r="Z12" i="37"/>
  <c r="V31" i="37"/>
  <c r="V24" i="37"/>
  <c r="V15" i="37"/>
  <c r="L21" i="47"/>
  <c r="L29" i="110"/>
  <c r="X20" i="29"/>
  <c r="L20" i="38"/>
  <c r="L20" i="44"/>
  <c r="N24" i="53"/>
  <c r="L21" i="32"/>
  <c r="L25" i="38"/>
  <c r="N25" i="38" s="1"/>
  <c r="Z15" i="43"/>
  <c r="L20" i="29"/>
  <c r="X22" i="49"/>
  <c r="L13" i="28"/>
  <c r="N13" i="28" s="1"/>
  <c r="Z15" i="23"/>
  <c r="N34" i="29"/>
  <c r="X34" i="31"/>
  <c r="L34" i="34"/>
  <c r="Z21" i="38"/>
  <c r="Z33" i="38"/>
  <c r="L29" i="47"/>
  <c r="X16" i="44"/>
  <c r="X22" i="44"/>
  <c r="L15" i="44"/>
  <c r="X25" i="52"/>
  <c r="L15" i="49"/>
  <c r="X13" i="112"/>
  <c r="X34" i="112"/>
  <c r="N29" i="110"/>
  <c r="Z20" i="110"/>
  <c r="L13" i="26"/>
  <c r="X25" i="28"/>
  <c r="Z25" i="28" s="1"/>
  <c r="X21" i="23"/>
  <c r="Z22" i="31"/>
  <c r="N15" i="29"/>
  <c r="X22" i="40"/>
  <c r="Z24" i="41"/>
  <c r="L21" i="41"/>
  <c r="X25" i="38"/>
  <c r="Z34" i="38"/>
  <c r="X20" i="44"/>
  <c r="X24" i="44"/>
  <c r="X29" i="52"/>
  <c r="N33" i="50"/>
  <c r="L13" i="52"/>
  <c r="N13" i="52" s="1"/>
  <c r="L16" i="50"/>
  <c r="Z21" i="111"/>
  <c r="N33" i="110"/>
  <c r="X22" i="110"/>
  <c r="N13" i="26"/>
  <c r="X24" i="31"/>
  <c r="Z13" i="41"/>
  <c r="X33" i="41"/>
  <c r="Z15" i="50"/>
  <c r="L15" i="111"/>
  <c r="L29" i="23"/>
  <c r="X13" i="25"/>
  <c r="X16" i="29"/>
  <c r="X15" i="32"/>
  <c r="L16" i="38"/>
  <c r="L16" i="44"/>
  <c r="L13" i="41"/>
  <c r="N13" i="41" s="1"/>
  <c r="N25" i="49"/>
  <c r="L21" i="50"/>
  <c r="X33" i="29"/>
  <c r="N16" i="37"/>
  <c r="N15" i="110"/>
  <c r="L29" i="11"/>
  <c r="N29" i="11" s="1"/>
  <c r="R36" i="17"/>
  <c r="R29" i="17"/>
  <c r="R22" i="17"/>
  <c r="R20" i="17"/>
  <c r="R34" i="17"/>
  <c r="R27" i="17"/>
  <c r="P18" i="17"/>
  <c r="R18" i="17"/>
  <c r="R33" i="17"/>
  <c r="R25" i="17"/>
  <c r="R15" i="17"/>
  <c r="R16" i="17"/>
  <c r="X12" i="17"/>
  <c r="R31" i="17"/>
  <c r="R24" i="17"/>
  <c r="R21" i="17"/>
  <c r="L25" i="14"/>
  <c r="N25" i="14" s="1"/>
  <c r="X20" i="13"/>
  <c r="X24" i="13"/>
  <c r="N16" i="25"/>
  <c r="X34" i="23"/>
  <c r="L16" i="20"/>
  <c r="N16" i="20" s="1"/>
  <c r="L22" i="26"/>
  <c r="X16" i="32"/>
  <c r="Z21" i="49"/>
  <c r="Z29" i="23"/>
  <c r="X29" i="28"/>
  <c r="X15" i="23"/>
  <c r="X24" i="26"/>
  <c r="N34" i="37"/>
  <c r="X16" i="35"/>
  <c r="X34" i="35"/>
  <c r="N21" i="32"/>
  <c r="Z24" i="40"/>
  <c r="L34" i="38"/>
  <c r="Z25" i="41"/>
  <c r="L25" i="44"/>
  <c r="Z20" i="50"/>
  <c r="Z24" i="43"/>
  <c r="L33" i="47"/>
  <c r="Z13" i="47"/>
  <c r="Z33" i="53"/>
  <c r="L22" i="53"/>
  <c r="N22" i="53" s="1"/>
  <c r="X33" i="110"/>
  <c r="N15" i="112"/>
  <c r="Z33" i="23"/>
  <c r="L34" i="28"/>
  <c r="N25" i="23"/>
  <c r="X13" i="29"/>
  <c r="Z13" i="29" s="1"/>
  <c r="Z24" i="29"/>
  <c r="N15" i="32"/>
  <c r="J31" i="28"/>
  <c r="J21" i="28"/>
  <c r="J20" i="28"/>
  <c r="J24" i="28"/>
  <c r="J36" i="28"/>
  <c r="J29" i="28"/>
  <c r="H18" i="28"/>
  <c r="J16" i="28"/>
  <c r="J34" i="28"/>
  <c r="J27" i="28"/>
  <c r="J15" i="28"/>
  <c r="N12" i="28"/>
  <c r="J33" i="28"/>
  <c r="J25" i="28"/>
  <c r="J22" i="28"/>
  <c r="J18" i="28"/>
  <c r="X20" i="35"/>
  <c r="Z21" i="37"/>
  <c r="L25" i="32"/>
  <c r="N25" i="32" s="1"/>
  <c r="N20" i="44"/>
  <c r="Z20" i="37"/>
  <c r="X34" i="53"/>
  <c r="Z21" i="44"/>
  <c r="Z34" i="53"/>
  <c r="L24" i="53"/>
  <c r="N29" i="52"/>
  <c r="X34" i="110"/>
  <c r="Z24" i="112"/>
  <c r="L21" i="112"/>
  <c r="Z34" i="23"/>
  <c r="J36" i="29"/>
  <c r="J29" i="29"/>
  <c r="J22" i="29"/>
  <c r="N12" i="29"/>
  <c r="J34" i="29"/>
  <c r="J27" i="29"/>
  <c r="J20" i="29"/>
  <c r="H18" i="29"/>
  <c r="J33" i="29"/>
  <c r="J25" i="29"/>
  <c r="J18" i="29"/>
  <c r="J21" i="29"/>
  <c r="J31" i="29"/>
  <c r="J24" i="29"/>
  <c r="J16" i="29"/>
  <c r="J15" i="29"/>
  <c r="N29" i="23"/>
  <c r="X24" i="29"/>
  <c r="L13" i="31"/>
  <c r="Z20" i="34"/>
  <c r="X13" i="28"/>
  <c r="X34" i="37"/>
  <c r="L29" i="32"/>
  <c r="N29" i="32" s="1"/>
  <c r="F31" i="31"/>
  <c r="F20" i="31"/>
  <c r="F15" i="31"/>
  <c r="F24" i="31"/>
  <c r="F36" i="31"/>
  <c r="F29" i="31"/>
  <c r="F18" i="31"/>
  <c r="F22" i="31"/>
  <c r="F34" i="31"/>
  <c r="F27" i="31"/>
  <c r="F16" i="31"/>
  <c r="L12" i="31"/>
  <c r="F33" i="31"/>
  <c r="F25" i="31"/>
  <c r="D18" i="31"/>
  <c r="F21" i="31"/>
  <c r="Z21" i="40"/>
  <c r="X22" i="37"/>
  <c r="L34" i="44"/>
  <c r="X29" i="53"/>
  <c r="Z20" i="41"/>
  <c r="X25" i="44"/>
  <c r="L34" i="50"/>
  <c r="Z20" i="47"/>
  <c r="Z33" i="46"/>
  <c r="N33" i="52"/>
  <c r="N20" i="49"/>
  <c r="J36" i="111"/>
  <c r="J29" i="111"/>
  <c r="J22" i="111"/>
  <c r="J16" i="111"/>
  <c r="J34" i="111"/>
  <c r="J27" i="111"/>
  <c r="J21" i="111"/>
  <c r="H18" i="111"/>
  <c r="J33" i="111"/>
  <c r="J25" i="111"/>
  <c r="J20" i="111"/>
  <c r="J15" i="111"/>
  <c r="J31" i="111"/>
  <c r="J24" i="111"/>
  <c r="J18" i="111"/>
  <c r="N12" i="111"/>
  <c r="N33" i="28"/>
  <c r="N21" i="26"/>
  <c r="V33" i="29"/>
  <c r="V25" i="29"/>
  <c r="V16" i="29"/>
  <c r="T18" i="29"/>
  <c r="Z12" i="29"/>
  <c r="V31" i="29"/>
  <c r="V21" i="29"/>
  <c r="V24" i="29"/>
  <c r="V36" i="29"/>
  <c r="V29" i="29"/>
  <c r="V20" i="29"/>
  <c r="V22" i="29"/>
  <c r="V34" i="29"/>
  <c r="V27" i="29"/>
  <c r="V18" i="29"/>
  <c r="V15" i="29"/>
  <c r="L20" i="35"/>
  <c r="N16" i="44"/>
  <c r="Z13" i="50"/>
  <c r="N20" i="111"/>
  <c r="F36" i="32"/>
  <c r="F29" i="32"/>
  <c r="F22" i="32"/>
  <c r="F16" i="32"/>
  <c r="F34" i="32"/>
  <c r="F27" i="32"/>
  <c r="D18" i="32"/>
  <c r="F20" i="32"/>
  <c r="F33" i="32"/>
  <c r="F25" i="32"/>
  <c r="F15" i="32"/>
  <c r="F18" i="32"/>
  <c r="F31" i="32"/>
  <c r="F24" i="32"/>
  <c r="L12" i="32"/>
  <c r="F21" i="32"/>
  <c r="L13" i="35"/>
  <c r="N13" i="35" s="1"/>
  <c r="N33" i="47"/>
  <c r="X25" i="22"/>
  <c r="Z25" i="22" s="1"/>
  <c r="L24" i="38"/>
  <c r="Z34" i="40"/>
  <c r="L15" i="46"/>
  <c r="X15" i="49"/>
  <c r="N15" i="50"/>
  <c r="X22" i="34"/>
  <c r="L21" i="31"/>
  <c r="X21" i="38"/>
  <c r="Z20" i="43"/>
  <c r="J15" i="49"/>
  <c r="J31" i="49"/>
  <c r="J24" i="49"/>
  <c r="J16" i="49"/>
  <c r="J36" i="49"/>
  <c r="J29" i="49"/>
  <c r="J22" i="49"/>
  <c r="N12" i="49"/>
  <c r="J34" i="49"/>
  <c r="J27" i="49"/>
  <c r="J20" i="49"/>
  <c r="H18" i="49"/>
  <c r="J33" i="49"/>
  <c r="J25" i="49"/>
  <c r="J18" i="49"/>
  <c r="J21" i="49"/>
  <c r="L33" i="110"/>
  <c r="X24" i="53"/>
  <c r="V33" i="32"/>
  <c r="V25" i="32"/>
  <c r="T18" i="32"/>
  <c r="Z12" i="32"/>
  <c r="V31" i="32"/>
  <c r="V24" i="32"/>
  <c r="V15" i="32"/>
  <c r="V16" i="32"/>
  <c r="V36" i="32"/>
  <c r="V29" i="32"/>
  <c r="V22" i="32"/>
  <c r="V20" i="32"/>
  <c r="V34" i="32"/>
  <c r="V27" i="32"/>
  <c r="V21" i="32"/>
  <c r="V18" i="32"/>
  <c r="Z20" i="111"/>
  <c r="L24" i="40"/>
  <c r="L13" i="23"/>
  <c r="N13" i="23" s="1"/>
  <c r="X34" i="28"/>
  <c r="X22" i="23"/>
  <c r="Z22" i="23" s="1"/>
  <c r="L29" i="29"/>
  <c r="X13" i="31"/>
  <c r="Z13" i="31" s="1"/>
  <c r="Z22" i="32"/>
  <c r="L15" i="34"/>
  <c r="L21" i="35"/>
  <c r="X16" i="37"/>
  <c r="Z16" i="37" s="1"/>
  <c r="X12" i="38"/>
  <c r="R31" i="38"/>
  <c r="R24" i="38"/>
  <c r="R16" i="38"/>
  <c r="R36" i="38"/>
  <c r="R29" i="38"/>
  <c r="R22" i="38"/>
  <c r="R21" i="38"/>
  <c r="R34" i="38"/>
  <c r="R27" i="38"/>
  <c r="R20" i="38"/>
  <c r="R15" i="38"/>
  <c r="R33" i="38"/>
  <c r="R25" i="38"/>
  <c r="R18" i="38"/>
  <c r="P18" i="38"/>
  <c r="N15" i="41"/>
  <c r="X20" i="41"/>
  <c r="X21" i="44"/>
  <c r="L15" i="43"/>
  <c r="X24" i="46"/>
  <c r="X20" i="50"/>
  <c r="X29" i="50"/>
  <c r="Z29" i="50" s="1"/>
  <c r="L15" i="50"/>
  <c r="X24" i="52"/>
  <c r="L20" i="110"/>
  <c r="V33" i="112"/>
  <c r="V25" i="112"/>
  <c r="V20" i="112"/>
  <c r="V15" i="112"/>
  <c r="Z12" i="112"/>
  <c r="V31" i="112"/>
  <c r="V24" i="112"/>
  <c r="V18" i="112"/>
  <c r="V36" i="112"/>
  <c r="V29" i="112"/>
  <c r="V22" i="112"/>
  <c r="V16" i="112"/>
  <c r="V34" i="112"/>
  <c r="V27" i="112"/>
  <c r="V21" i="112"/>
  <c r="T18" i="112"/>
  <c r="N20" i="112"/>
  <c r="Z21" i="28"/>
  <c r="N21" i="23"/>
  <c r="X24" i="23"/>
  <c r="L22" i="32"/>
  <c r="N22" i="32" s="1"/>
  <c r="L33" i="29"/>
  <c r="Z15" i="31"/>
  <c r="Z24" i="32"/>
  <c r="N24" i="34"/>
  <c r="X20" i="37"/>
  <c r="N21" i="41"/>
  <c r="L34" i="43"/>
  <c r="D18" i="43"/>
  <c r="F24" i="43"/>
  <c r="F29" i="43"/>
  <c r="F34" i="43"/>
  <c r="F20" i="43"/>
  <c r="F15" i="43"/>
  <c r="F33" i="43"/>
  <c r="F27" i="43"/>
  <c r="F18" i="43"/>
  <c r="L12" i="43"/>
  <c r="F22" i="43"/>
  <c r="F36" i="43"/>
  <c r="F16" i="43"/>
  <c r="F21" i="43"/>
  <c r="F31" i="43"/>
  <c r="F25" i="43"/>
  <c r="X25" i="46"/>
  <c r="Z25" i="46" s="1"/>
  <c r="N24" i="50"/>
  <c r="N15" i="52"/>
  <c r="X33" i="50"/>
  <c r="J33" i="53"/>
  <c r="J25" i="53"/>
  <c r="J20" i="53"/>
  <c r="J15" i="53"/>
  <c r="J31" i="53"/>
  <c r="J24" i="53"/>
  <c r="J18" i="53"/>
  <c r="N12" i="53"/>
  <c r="J36" i="53"/>
  <c r="J29" i="53"/>
  <c r="J22" i="53"/>
  <c r="J16" i="53"/>
  <c r="J34" i="53"/>
  <c r="J27" i="53"/>
  <c r="J21" i="53"/>
  <c r="H18" i="53"/>
  <c r="L15" i="112"/>
  <c r="L22" i="112"/>
  <c r="N22" i="112" s="1"/>
  <c r="N15" i="25"/>
  <c r="X13" i="26"/>
  <c r="L24" i="43"/>
  <c r="L33" i="49"/>
  <c r="N34" i="53"/>
  <c r="Z22" i="25"/>
  <c r="X25" i="34"/>
  <c r="X15" i="38"/>
  <c r="X20" i="43"/>
  <c r="V36" i="52"/>
  <c r="V29" i="52"/>
  <c r="V22" i="52"/>
  <c r="V21" i="52"/>
  <c r="T18" i="52"/>
  <c r="V34" i="52"/>
  <c r="V27" i="52"/>
  <c r="V20" i="52"/>
  <c r="V15" i="52"/>
  <c r="V33" i="52"/>
  <c r="V25" i="52"/>
  <c r="V18" i="52"/>
  <c r="Z12" i="52"/>
  <c r="V31" i="52"/>
  <c r="V24" i="52"/>
  <c r="V16" i="52"/>
  <c r="Z15" i="53"/>
  <c r="L16" i="26"/>
  <c r="N16" i="26" s="1"/>
  <c r="N15" i="31"/>
  <c r="Z15" i="38"/>
  <c r="Z24" i="47"/>
  <c r="L15" i="37"/>
  <c r="X21" i="25"/>
  <c r="Z15" i="34"/>
  <c r="F31" i="53"/>
  <c r="F24" i="53"/>
  <c r="F18" i="53"/>
  <c r="L12" i="53"/>
  <c r="F36" i="53"/>
  <c r="F29" i="53"/>
  <c r="F22" i="53"/>
  <c r="F16" i="53"/>
  <c r="F34" i="53"/>
  <c r="F27" i="53"/>
  <c r="F21" i="53"/>
  <c r="D18" i="53"/>
  <c r="F33" i="53"/>
  <c r="F25" i="53"/>
  <c r="F20" i="53"/>
  <c r="F15" i="53"/>
  <c r="L16" i="40"/>
  <c r="L29" i="22"/>
  <c r="N29" i="22" s="1"/>
  <c r="Z22" i="52"/>
  <c r="Z21" i="25"/>
  <c r="Z21" i="32"/>
  <c r="L21" i="29"/>
  <c r="L22" i="31"/>
  <c r="N22" i="31" s="1"/>
  <c r="Z16" i="32"/>
  <c r="Z33" i="32"/>
  <c r="Z33" i="41"/>
  <c r="X29" i="38"/>
  <c r="Z29" i="38" s="1"/>
  <c r="N15" i="46"/>
  <c r="L13" i="46"/>
  <c r="N13" i="46" s="1"/>
  <c r="Z25" i="44"/>
  <c r="X33" i="52"/>
  <c r="N34" i="50"/>
  <c r="N21" i="52"/>
  <c r="L20" i="50"/>
  <c r="Z15" i="112"/>
  <c r="N16" i="110"/>
  <c r="N34" i="110"/>
  <c r="X24" i="110"/>
  <c r="N16" i="23"/>
  <c r="N22" i="26"/>
  <c r="Z15" i="26"/>
  <c r="P18" i="28"/>
  <c r="R33" i="28"/>
  <c r="R25" i="28"/>
  <c r="R21" i="28"/>
  <c r="R20" i="28"/>
  <c r="R15" i="28"/>
  <c r="R31" i="28"/>
  <c r="R22" i="28"/>
  <c r="R18" i="28"/>
  <c r="R36" i="28"/>
  <c r="R29" i="28"/>
  <c r="X12" i="28"/>
  <c r="R16" i="28"/>
  <c r="R34" i="28"/>
  <c r="R27" i="28"/>
  <c r="R24" i="28"/>
  <c r="X13" i="32"/>
  <c r="Z13" i="32" s="1"/>
  <c r="L34" i="37"/>
  <c r="N24" i="35"/>
  <c r="F24" i="38"/>
  <c r="F27" i="38"/>
  <c r="F25" i="38"/>
  <c r="F34" i="38"/>
  <c r="F22" i="38"/>
  <c r="F18" i="38"/>
  <c r="F21" i="38"/>
  <c r="F29" i="38"/>
  <c r="D18" i="38"/>
  <c r="F20" i="38"/>
  <c r="F36" i="38"/>
  <c r="L12" i="38"/>
  <c r="F15" i="38"/>
  <c r="F33" i="38"/>
  <c r="F31" i="38"/>
  <c r="F16" i="38"/>
  <c r="P18" i="40"/>
  <c r="R22" i="40"/>
  <c r="R31" i="40"/>
  <c r="R25" i="40"/>
  <c r="R36" i="40"/>
  <c r="R15" i="40"/>
  <c r="R20" i="40"/>
  <c r="R21" i="40"/>
  <c r="R34" i="40"/>
  <c r="X12" i="40"/>
  <c r="R18" i="40"/>
  <c r="R29" i="40"/>
  <c r="R33" i="40"/>
  <c r="R24" i="40"/>
  <c r="R16" i="40"/>
  <c r="R27" i="40"/>
  <c r="N29" i="41"/>
  <c r="X15" i="47"/>
  <c r="X34" i="41"/>
  <c r="X22" i="50"/>
  <c r="L34" i="49"/>
  <c r="X29" i="47"/>
  <c r="X21" i="50"/>
  <c r="L34" i="46"/>
  <c r="N33" i="46"/>
  <c r="Z24" i="110"/>
  <c r="L22" i="111"/>
  <c r="N22" i="111" s="1"/>
  <c r="L13" i="112"/>
  <c r="L34" i="23"/>
  <c r="L12" i="23"/>
  <c r="D18" i="23"/>
  <c r="F16" i="23"/>
  <c r="F25" i="23"/>
  <c r="F24" i="23"/>
  <c r="F33" i="23"/>
  <c r="F31" i="23"/>
  <c r="F29" i="23"/>
  <c r="F22" i="23"/>
  <c r="F36" i="23"/>
  <c r="F20" i="23"/>
  <c r="F18" i="23"/>
  <c r="F21" i="23"/>
  <c r="F27" i="23"/>
  <c r="F34" i="23"/>
  <c r="F15" i="23"/>
  <c r="Z21" i="26"/>
  <c r="Z20" i="40"/>
  <c r="N20" i="32"/>
  <c r="X20" i="32"/>
  <c r="X33" i="34"/>
  <c r="Z34" i="34"/>
  <c r="X24" i="40"/>
  <c r="L25" i="35"/>
  <c r="Z16" i="50"/>
  <c r="X15" i="44"/>
  <c r="H18" i="47"/>
  <c r="J33" i="47"/>
  <c r="J25" i="47"/>
  <c r="J20" i="47"/>
  <c r="J15" i="47"/>
  <c r="J31" i="47"/>
  <c r="J24" i="47"/>
  <c r="J22" i="47"/>
  <c r="J36" i="47"/>
  <c r="J29" i="47"/>
  <c r="J16" i="47"/>
  <c r="J18" i="47"/>
  <c r="J21" i="47"/>
  <c r="J34" i="47"/>
  <c r="J27" i="47"/>
  <c r="N12" i="47"/>
  <c r="Z34" i="43"/>
  <c r="X24" i="50"/>
  <c r="L20" i="53"/>
  <c r="Z34" i="50"/>
  <c r="R16" i="110"/>
  <c r="R24" i="110"/>
  <c r="R36" i="110"/>
  <c r="R31" i="110"/>
  <c r="R21" i="110"/>
  <c r="P18" i="110"/>
  <c r="R22" i="110"/>
  <c r="R25" i="110"/>
  <c r="R20" i="110"/>
  <c r="R15" i="110"/>
  <c r="R29" i="110"/>
  <c r="R34" i="110"/>
  <c r="R18" i="110"/>
  <c r="X12" i="110"/>
  <c r="R27" i="110"/>
  <c r="R33" i="110"/>
  <c r="Z13" i="112"/>
  <c r="Z33" i="112"/>
  <c r="X13" i="110"/>
  <c r="N15" i="28"/>
  <c r="L24" i="32"/>
  <c r="X34" i="34"/>
  <c r="R36" i="35"/>
  <c r="R29" i="35"/>
  <c r="R22" i="35"/>
  <c r="R20" i="35"/>
  <c r="R34" i="35"/>
  <c r="R27" i="35"/>
  <c r="R21" i="35"/>
  <c r="R18" i="35"/>
  <c r="R33" i="35"/>
  <c r="R25" i="35"/>
  <c r="P18" i="35"/>
  <c r="X12" i="35"/>
  <c r="R31" i="35"/>
  <c r="R24" i="35"/>
  <c r="R15" i="35"/>
  <c r="R16" i="35"/>
  <c r="X34" i="40"/>
  <c r="L29" i="35"/>
  <c r="N33" i="38"/>
  <c r="N24" i="40"/>
  <c r="N20" i="41"/>
  <c r="N25" i="44"/>
  <c r="X12" i="44"/>
  <c r="R31" i="44"/>
  <c r="R24" i="44"/>
  <c r="R18" i="44"/>
  <c r="R36" i="44"/>
  <c r="R29" i="44"/>
  <c r="R22" i="44"/>
  <c r="R16" i="44"/>
  <c r="R34" i="44"/>
  <c r="R27" i="44"/>
  <c r="R21" i="44"/>
  <c r="P18" i="44"/>
  <c r="R33" i="44"/>
  <c r="R25" i="44"/>
  <c r="R20" i="44"/>
  <c r="R15" i="44"/>
  <c r="R21" i="52"/>
  <c r="P18" i="52"/>
  <c r="R22" i="52"/>
  <c r="R25" i="52"/>
  <c r="R20" i="52"/>
  <c r="R15" i="52"/>
  <c r="R31" i="52"/>
  <c r="R33" i="52"/>
  <c r="R18" i="52"/>
  <c r="X12" i="52"/>
  <c r="R29" i="52"/>
  <c r="R36" i="52"/>
  <c r="R16" i="52"/>
  <c r="R24" i="52"/>
  <c r="R27" i="52"/>
  <c r="R34" i="52"/>
  <c r="Z25" i="52"/>
  <c r="N24" i="52"/>
  <c r="F34" i="52"/>
  <c r="F27" i="52"/>
  <c r="F21" i="52"/>
  <c r="D18" i="52"/>
  <c r="F33" i="52"/>
  <c r="F25" i="52"/>
  <c r="F20" i="52"/>
  <c r="F15" i="52"/>
  <c r="L12" i="52"/>
  <c r="F31" i="52"/>
  <c r="F24" i="52"/>
  <c r="F18" i="52"/>
  <c r="F36" i="52"/>
  <c r="F29" i="52"/>
  <c r="F22" i="52"/>
  <c r="F16" i="52"/>
  <c r="X24" i="111"/>
  <c r="N13" i="111"/>
  <c r="X33" i="22"/>
  <c r="X15" i="41"/>
  <c r="N29" i="49"/>
  <c r="L15" i="23"/>
  <c r="Z33" i="28"/>
  <c r="X25" i="35"/>
  <c r="Z25" i="35" s="1"/>
  <c r="L22" i="44"/>
  <c r="N22" i="44" s="1"/>
  <c r="L20" i="47"/>
  <c r="Z21" i="110"/>
  <c r="N13" i="25"/>
  <c r="N20" i="28"/>
  <c r="L33" i="37"/>
  <c r="R36" i="37"/>
  <c r="R29" i="37"/>
  <c r="P18" i="37"/>
  <c r="R16" i="37"/>
  <c r="R34" i="37"/>
  <c r="R27" i="37"/>
  <c r="R15" i="37"/>
  <c r="R24" i="37"/>
  <c r="R33" i="37"/>
  <c r="R25" i="37"/>
  <c r="R22" i="37"/>
  <c r="R18" i="37"/>
  <c r="X12" i="37"/>
  <c r="R31" i="37"/>
  <c r="R21" i="37"/>
  <c r="R20" i="37"/>
  <c r="X25" i="112"/>
  <c r="Z25" i="112" s="1"/>
  <c r="N29" i="25"/>
  <c r="Z33" i="35"/>
  <c r="N25" i="31"/>
  <c r="N24" i="41"/>
  <c r="X15" i="46"/>
  <c r="L25" i="53"/>
  <c r="N25" i="53" s="1"/>
  <c r="N24" i="110"/>
  <c r="N33" i="23"/>
  <c r="X21" i="32"/>
  <c r="Z20" i="31"/>
  <c r="X24" i="34"/>
  <c r="Z15" i="28"/>
  <c r="N24" i="37"/>
  <c r="N16" i="38"/>
  <c r="L33" i="32"/>
  <c r="X16" i="31"/>
  <c r="Z16" i="31" s="1"/>
  <c r="X25" i="40"/>
  <c r="Z25" i="40" s="1"/>
  <c r="X24" i="37"/>
  <c r="Z24" i="46"/>
  <c r="N15" i="37"/>
  <c r="N24" i="44"/>
  <c r="X22" i="41"/>
  <c r="Z22" i="41" s="1"/>
  <c r="X29" i="44"/>
  <c r="N15" i="43"/>
  <c r="X22" i="47"/>
  <c r="Z22" i="47" s="1"/>
  <c r="Z34" i="46"/>
  <c r="L24" i="46"/>
  <c r="N34" i="52"/>
  <c r="L22" i="49"/>
  <c r="N22" i="49" s="1"/>
  <c r="X13" i="111"/>
  <c r="L13" i="110"/>
  <c r="L12" i="110"/>
  <c r="F31" i="110"/>
  <c r="F24" i="110"/>
  <c r="F18" i="110"/>
  <c r="F36" i="110"/>
  <c r="F29" i="110"/>
  <c r="F22" i="110"/>
  <c r="F16" i="110"/>
  <c r="F34" i="110"/>
  <c r="F27" i="110"/>
  <c r="F21" i="110"/>
  <c r="D18" i="110"/>
  <c r="F33" i="110"/>
  <c r="F25" i="110"/>
  <c r="F20" i="110"/>
  <c r="F15" i="110"/>
  <c r="L25" i="26"/>
  <c r="N25" i="26" s="1"/>
  <c r="Z20" i="29"/>
  <c r="X25" i="25"/>
  <c r="Z25" i="25" s="1"/>
  <c r="X25" i="32"/>
  <c r="Z25" i="32" s="1"/>
  <c r="X29" i="32"/>
  <c r="Z29" i="32" s="1"/>
  <c r="Z20" i="32"/>
  <c r="Z34" i="32"/>
  <c r="N22" i="37"/>
  <c r="N16" i="35"/>
  <c r="N24" i="43"/>
  <c r="X33" i="38"/>
  <c r="X15" i="40"/>
  <c r="L25" i="50"/>
  <c r="N25" i="50" s="1"/>
  <c r="L21" i="46"/>
  <c r="N21" i="46"/>
  <c r="Z29" i="44"/>
  <c r="X34" i="52"/>
  <c r="L16" i="52"/>
  <c r="L25" i="52"/>
  <c r="N25" i="52" s="1"/>
  <c r="Z29" i="49"/>
  <c r="Z13" i="111"/>
  <c r="N20" i="110"/>
  <c r="F36" i="111"/>
  <c r="F29" i="111"/>
  <c r="F22" i="111"/>
  <c r="F16" i="111"/>
  <c r="F34" i="111"/>
  <c r="F27" i="111"/>
  <c r="F21" i="111"/>
  <c r="D18" i="111"/>
  <c r="F33" i="111"/>
  <c r="F25" i="111"/>
  <c r="F20" i="111"/>
  <c r="F15" i="111"/>
  <c r="F31" i="111"/>
  <c r="F24" i="111"/>
  <c r="F18" i="111"/>
  <c r="L12" i="111"/>
  <c r="L22" i="23"/>
  <c r="N22" i="23" s="1"/>
  <c r="Z13" i="28"/>
  <c r="Z24" i="28"/>
  <c r="X22" i="38"/>
  <c r="Z22" i="38" s="1"/>
  <c r="X16" i="28"/>
  <c r="Z16" i="28" s="1"/>
  <c r="L24" i="37"/>
  <c r="Z15" i="41"/>
  <c r="N24" i="49"/>
  <c r="N24" i="32"/>
  <c r="L21" i="38"/>
  <c r="N21" i="44"/>
  <c r="Z34" i="41"/>
  <c r="L20" i="37"/>
  <c r="L21" i="44"/>
  <c r="L29" i="50"/>
  <c r="N29" i="50" s="1"/>
  <c r="X25" i="43"/>
  <c r="L16" i="41"/>
  <c r="N16" i="41" s="1"/>
  <c r="X34" i="47"/>
  <c r="N16" i="52"/>
  <c r="Z29" i="111"/>
  <c r="L25" i="112"/>
  <c r="L25" i="47"/>
  <c r="N25" i="47" s="1"/>
  <c r="X20" i="28"/>
  <c r="L25" i="41"/>
  <c r="N25" i="41" s="1"/>
  <c r="L16" i="31"/>
  <c r="N16" i="31" s="1"/>
  <c r="L13" i="37"/>
  <c r="N13" i="37" s="1"/>
  <c r="Z21" i="46"/>
  <c r="N21" i="43"/>
  <c r="X33" i="53"/>
  <c r="X29" i="43"/>
  <c r="Z29" i="43" s="1"/>
  <c r="L20" i="41"/>
  <c r="N16" i="50"/>
  <c r="F16" i="49"/>
  <c r="F24" i="49"/>
  <c r="F27" i="49"/>
  <c r="F34" i="49"/>
  <c r="F21" i="49"/>
  <c r="D18" i="49"/>
  <c r="F22" i="49"/>
  <c r="F36" i="49"/>
  <c r="F20" i="49"/>
  <c r="F15" i="49"/>
  <c r="F31" i="49"/>
  <c r="F25" i="49"/>
  <c r="F18" i="49"/>
  <c r="L12" i="49"/>
  <c r="F29" i="49"/>
  <c r="F33" i="49"/>
  <c r="N20" i="52"/>
  <c r="Z34" i="110"/>
  <c r="J20" i="35"/>
  <c r="J15" i="35"/>
  <c r="J33" i="35"/>
  <c r="J25" i="35"/>
  <c r="J18" i="35"/>
  <c r="N12" i="35"/>
  <c r="J31" i="35"/>
  <c r="J21" i="35"/>
  <c r="J16" i="35"/>
  <c r="J36" i="35"/>
  <c r="J29" i="35"/>
  <c r="J24" i="35"/>
  <c r="H18" i="35"/>
  <c r="J34" i="35"/>
  <c r="J27" i="35"/>
  <c r="J22" i="35"/>
  <c r="N15" i="40"/>
  <c r="X22" i="43"/>
  <c r="X13" i="49"/>
  <c r="N25" i="112"/>
  <c r="V21" i="28"/>
  <c r="V34" i="28"/>
  <c r="V18" i="28"/>
  <c r="V15" i="28"/>
  <c r="Z12" i="28"/>
  <c r="V31" i="28"/>
  <c r="V25" i="28"/>
  <c r="V36" i="28"/>
  <c r="V24" i="28"/>
  <c r="V20" i="28"/>
  <c r="V29" i="28"/>
  <c r="V27" i="28"/>
  <c r="V22" i="28"/>
  <c r="V16" i="28"/>
  <c r="V33" i="28"/>
  <c r="T18" i="28"/>
  <c r="N33" i="35"/>
  <c r="N24" i="31"/>
  <c r="L29" i="40"/>
  <c r="Z24" i="52"/>
  <c r="L20" i="111"/>
  <c r="N25" i="29"/>
  <c r="L25" i="34"/>
  <c r="L20" i="43"/>
  <c r="L24" i="47"/>
  <c r="Z20" i="25"/>
  <c r="N33" i="34"/>
  <c r="X25" i="37"/>
  <c r="L13" i="49"/>
  <c r="N13" i="49" s="1"/>
  <c r="X15" i="53"/>
  <c r="N24" i="29"/>
  <c r="R33" i="25"/>
  <c r="R25" i="25"/>
  <c r="R20" i="25"/>
  <c r="R15" i="25"/>
  <c r="R31" i="25"/>
  <c r="R24" i="25"/>
  <c r="R18" i="25"/>
  <c r="P18" i="25"/>
  <c r="R36" i="25"/>
  <c r="R29" i="25"/>
  <c r="R22" i="25"/>
  <c r="R16" i="25"/>
  <c r="R34" i="25"/>
  <c r="R27" i="25"/>
  <c r="R21" i="25"/>
  <c r="X12" i="25"/>
  <c r="L20" i="34"/>
  <c r="L34" i="29"/>
  <c r="X21" i="31"/>
  <c r="Z21" i="34"/>
  <c r="Z25" i="34"/>
  <c r="L13" i="44"/>
  <c r="N13" i="44" s="1"/>
  <c r="Z24" i="38"/>
  <c r="X16" i="43"/>
  <c r="Z16" i="43" s="1"/>
  <c r="Z25" i="43"/>
  <c r="N21" i="47"/>
  <c r="L21" i="52"/>
  <c r="X34" i="50"/>
  <c r="Z25" i="50"/>
  <c r="X13" i="53"/>
  <c r="Z13" i="53" s="1"/>
  <c r="X12" i="111"/>
  <c r="R31" i="111"/>
  <c r="R20" i="111"/>
  <c r="R21" i="111"/>
  <c r="R36" i="111"/>
  <c r="R29" i="111"/>
  <c r="R18" i="111"/>
  <c r="R24" i="111"/>
  <c r="P18" i="111"/>
  <c r="R34" i="111"/>
  <c r="R27" i="111"/>
  <c r="R16" i="111"/>
  <c r="R15" i="111"/>
  <c r="R33" i="111"/>
  <c r="R25" i="111"/>
  <c r="R22" i="111"/>
  <c r="L24" i="112"/>
  <c r="L21" i="25"/>
  <c r="X22" i="29"/>
  <c r="Z22" i="29" s="1"/>
  <c r="N34" i="23"/>
  <c r="L24" i="31"/>
  <c r="X13" i="35"/>
  <c r="X21" i="28"/>
  <c r="Z20" i="38"/>
  <c r="L34" i="32"/>
  <c r="X20" i="31"/>
  <c r="X29" i="40"/>
  <c r="Z29" i="40" s="1"/>
  <c r="N12" i="38"/>
  <c r="J18" i="38"/>
  <c r="J31" i="38"/>
  <c r="J29" i="38"/>
  <c r="J24" i="38"/>
  <c r="J16" i="38"/>
  <c r="J25" i="38"/>
  <c r="J33" i="38"/>
  <c r="J22" i="38"/>
  <c r="H18" i="38"/>
  <c r="J21" i="38"/>
  <c r="J27" i="38"/>
  <c r="J20" i="38"/>
  <c r="J36" i="38"/>
  <c r="J34" i="38"/>
  <c r="J15" i="38"/>
  <c r="L15" i="47"/>
  <c r="L21" i="37"/>
  <c r="X24" i="41"/>
  <c r="X33" i="44"/>
  <c r="L21" i="43"/>
  <c r="X24" i="47"/>
  <c r="R31" i="47"/>
  <c r="R24" i="47"/>
  <c r="R15" i="47"/>
  <c r="R18" i="47"/>
  <c r="R36" i="47"/>
  <c r="R29" i="47"/>
  <c r="R22" i="47"/>
  <c r="R16" i="47"/>
  <c r="R34" i="47"/>
  <c r="R27" i="47"/>
  <c r="R21" i="47"/>
  <c r="X12" i="47"/>
  <c r="R33" i="47"/>
  <c r="R25" i="47"/>
  <c r="P18" i="47"/>
  <c r="R20" i="47"/>
  <c r="L24" i="49"/>
  <c r="Z15" i="111"/>
  <c r="N21" i="110"/>
  <c r="X16" i="110"/>
  <c r="Z16" i="110" s="1"/>
  <c r="L20" i="22"/>
  <c r="L33" i="26"/>
  <c r="X33" i="25"/>
  <c r="N25" i="35"/>
  <c r="Z24" i="31"/>
  <c r="F34" i="34"/>
  <c r="F27" i="34"/>
  <c r="F21" i="34"/>
  <c r="F15" i="34"/>
  <c r="F33" i="34"/>
  <c r="F25" i="34"/>
  <c r="L12" i="34"/>
  <c r="F18" i="34"/>
  <c r="F31" i="34"/>
  <c r="F24" i="34"/>
  <c r="F16" i="34"/>
  <c r="D18" i="34"/>
  <c r="F36" i="34"/>
  <c r="F29" i="34"/>
  <c r="F22" i="34"/>
  <c r="F20" i="34"/>
  <c r="X24" i="32"/>
  <c r="Z22" i="34"/>
  <c r="Z16" i="38"/>
  <c r="L22" i="35"/>
  <c r="N22" i="35" s="1"/>
  <c r="X21" i="47"/>
  <c r="L13" i="40"/>
  <c r="N13" i="40" s="1"/>
  <c r="N29" i="40"/>
  <c r="L25" i="46"/>
  <c r="N25" i="46"/>
  <c r="Z34" i="44"/>
  <c r="L33" i="52"/>
  <c r="Z34" i="49"/>
  <c r="X13" i="52"/>
  <c r="X16" i="112"/>
  <c r="L24" i="110"/>
  <c r="N21" i="111"/>
  <c r="X20" i="111"/>
  <c r="X33" i="32"/>
  <c r="X16" i="34"/>
  <c r="J20" i="34"/>
  <c r="J15" i="34"/>
  <c r="J36" i="34"/>
  <c r="J29" i="34"/>
  <c r="J18" i="34"/>
  <c r="N12" i="34"/>
  <c r="J31" i="34"/>
  <c r="J33" i="34"/>
  <c r="J16" i="34"/>
  <c r="J24" i="34"/>
  <c r="J25" i="34"/>
  <c r="J27" i="34"/>
  <c r="J21" i="34"/>
  <c r="H18" i="34"/>
  <c r="J22" i="34"/>
  <c r="J34" i="34"/>
  <c r="Z24" i="34"/>
  <c r="Z22" i="40"/>
  <c r="L24" i="35"/>
  <c r="L13" i="38"/>
  <c r="N13" i="38" s="1"/>
  <c r="L29" i="43"/>
  <c r="N29" i="43" s="1"/>
  <c r="N21" i="40"/>
  <c r="N33" i="40"/>
  <c r="X15" i="43"/>
  <c r="X29" i="46"/>
  <c r="Z29" i="46" s="1"/>
  <c r="F22" i="46"/>
  <c r="F27" i="46"/>
  <c r="F34" i="46"/>
  <c r="L12" i="46"/>
  <c r="F25" i="46"/>
  <c r="F20" i="46"/>
  <c r="D18" i="46"/>
  <c r="F31" i="46"/>
  <c r="F36" i="46"/>
  <c r="F24" i="46"/>
  <c r="F18" i="46"/>
  <c r="F15" i="46"/>
  <c r="F33" i="46"/>
  <c r="F21" i="46"/>
  <c r="F16" i="46"/>
  <c r="F29" i="46"/>
  <c r="Z20" i="53"/>
  <c r="V34" i="53"/>
  <c r="V27" i="53"/>
  <c r="V21" i="53"/>
  <c r="V18" i="53"/>
  <c r="V33" i="53"/>
  <c r="V25" i="53"/>
  <c r="T18" i="53"/>
  <c r="V16" i="53"/>
  <c r="Z12" i="53"/>
  <c r="V31" i="53"/>
  <c r="V24" i="53"/>
  <c r="V15" i="53"/>
  <c r="V36" i="53"/>
  <c r="V29" i="53"/>
  <c r="V22" i="53"/>
  <c r="V20" i="53"/>
  <c r="L34" i="52"/>
  <c r="R33" i="50"/>
  <c r="R25" i="50"/>
  <c r="R18" i="50"/>
  <c r="R21" i="50"/>
  <c r="X12" i="50"/>
  <c r="R31" i="50"/>
  <c r="R24" i="50"/>
  <c r="R16" i="50"/>
  <c r="R36" i="50"/>
  <c r="R29" i="50"/>
  <c r="R22" i="50"/>
  <c r="P18" i="50"/>
  <c r="R34" i="50"/>
  <c r="R27" i="50"/>
  <c r="R20" i="50"/>
  <c r="R15" i="50"/>
  <c r="Z15" i="52"/>
  <c r="X15" i="112"/>
  <c r="N24" i="28"/>
  <c r="N20" i="34"/>
  <c r="N22" i="46"/>
  <c r="R36" i="49"/>
  <c r="R29" i="49"/>
  <c r="R20" i="49"/>
  <c r="R15" i="49"/>
  <c r="R34" i="49"/>
  <c r="R27" i="49"/>
  <c r="R18" i="49"/>
  <c r="R24" i="49"/>
  <c r="R33" i="49"/>
  <c r="R25" i="49"/>
  <c r="R16" i="49"/>
  <c r="R22" i="49"/>
  <c r="X12" i="49"/>
  <c r="R31" i="49"/>
  <c r="R21" i="49"/>
  <c r="P18" i="49"/>
  <c r="L34" i="110"/>
  <c r="X16" i="22"/>
  <c r="Z16" i="22" s="1"/>
  <c r="N29" i="35"/>
  <c r="X13" i="37"/>
  <c r="Z29" i="41"/>
  <c r="X20" i="46"/>
  <c r="Z24" i="50"/>
  <c r="L33" i="111"/>
  <c r="Z16" i="29"/>
  <c r="X25" i="31"/>
  <c r="Z25" i="31" s="1"/>
  <c r="Z15" i="40"/>
  <c r="Z20" i="46"/>
  <c r="L24" i="50"/>
  <c r="L15" i="28"/>
  <c r="X22" i="35"/>
  <c r="L16" i="46"/>
  <c r="N16" i="46" s="1"/>
  <c r="R16" i="53"/>
  <c r="R36" i="53"/>
  <c r="R29" i="53"/>
  <c r="R24" i="53"/>
  <c r="P18" i="53"/>
  <c r="R34" i="53"/>
  <c r="R27" i="53"/>
  <c r="R22" i="53"/>
  <c r="R20" i="53"/>
  <c r="R15" i="53"/>
  <c r="R33" i="53"/>
  <c r="R25" i="53"/>
  <c r="R18" i="53"/>
  <c r="X12" i="53"/>
  <c r="R31" i="53"/>
  <c r="R21" i="53"/>
  <c r="Z16" i="111"/>
  <c r="Z16" i="112"/>
  <c r="Z34" i="112"/>
  <c r="Z15" i="110"/>
  <c r="L13" i="22"/>
  <c r="X20" i="23"/>
  <c r="X29" i="26"/>
  <c r="Z29" i="26" s="1"/>
  <c r="L21" i="28"/>
  <c r="L16" i="34"/>
  <c r="N16" i="34" s="1"/>
  <c r="X15" i="34"/>
  <c r="Z13" i="35"/>
  <c r="Z22" i="35"/>
  <c r="L33" i="35"/>
  <c r="N34" i="38"/>
  <c r="N16" i="40"/>
  <c r="N34" i="40"/>
  <c r="L22" i="41"/>
  <c r="Z34" i="47"/>
  <c r="Z22" i="44"/>
  <c r="F36" i="47"/>
  <c r="F29" i="47"/>
  <c r="F20" i="47"/>
  <c r="F24" i="47"/>
  <c r="F34" i="47"/>
  <c r="F27" i="47"/>
  <c r="F18" i="47"/>
  <c r="F22" i="47"/>
  <c r="F33" i="47"/>
  <c r="F25" i="47"/>
  <c r="F16" i="47"/>
  <c r="D18" i="47"/>
  <c r="F31" i="47"/>
  <c r="F21" i="47"/>
  <c r="L12" i="47"/>
  <c r="F15" i="47"/>
  <c r="Z29" i="52"/>
  <c r="Z13" i="49"/>
  <c r="X16" i="52"/>
  <c r="Z12" i="110"/>
  <c r="V31" i="110"/>
  <c r="V20" i="110"/>
  <c r="V22" i="110"/>
  <c r="V36" i="110"/>
  <c r="V29" i="110"/>
  <c r="V18" i="110"/>
  <c r="V21" i="110"/>
  <c r="T18" i="110"/>
  <c r="V34" i="110"/>
  <c r="V27" i="110"/>
  <c r="V16" i="110"/>
  <c r="V15" i="110"/>
  <c r="V33" i="110"/>
  <c r="V25" i="110"/>
  <c r="V24" i="110"/>
  <c r="Z20" i="112"/>
  <c r="X21" i="110"/>
  <c r="N13" i="22"/>
  <c r="F34" i="26"/>
  <c r="F27" i="26"/>
  <c r="D18" i="26"/>
  <c r="F16" i="26"/>
  <c r="F33" i="26"/>
  <c r="F25" i="26"/>
  <c r="F15" i="26"/>
  <c r="F20" i="26"/>
  <c r="L12" i="26"/>
  <c r="F31" i="26"/>
  <c r="F24" i="26"/>
  <c r="F18" i="26"/>
  <c r="F36" i="26"/>
  <c r="F29" i="26"/>
  <c r="F22" i="26"/>
  <c r="F21" i="26"/>
  <c r="X34" i="22"/>
  <c r="X21" i="35"/>
  <c r="Z16" i="34"/>
  <c r="L16" i="32"/>
  <c r="N16" i="32" s="1"/>
  <c r="L22" i="34"/>
  <c r="N22" i="34" s="1"/>
  <c r="N33" i="32"/>
  <c r="N22" i="41"/>
  <c r="L21" i="40"/>
  <c r="Z25" i="37"/>
  <c r="F29" i="40"/>
  <c r="F24" i="40"/>
  <c r="F20" i="40"/>
  <c r="F15" i="40"/>
  <c r="F27" i="40"/>
  <c r="F22" i="40"/>
  <c r="F18" i="40"/>
  <c r="L12" i="40"/>
  <c r="F33" i="40"/>
  <c r="F25" i="40"/>
  <c r="F21" i="40"/>
  <c r="F16" i="40"/>
  <c r="F31" i="40"/>
  <c r="F34" i="40"/>
  <c r="F36" i="40"/>
  <c r="D18" i="40"/>
  <c r="Z29" i="47"/>
  <c r="X24" i="43"/>
  <c r="V18" i="47"/>
  <c r="V27" i="47"/>
  <c r="V25" i="47"/>
  <c r="V33" i="47"/>
  <c r="Z12" i="47"/>
  <c r="V16" i="47"/>
  <c r="V31" i="47"/>
  <c r="V29" i="47"/>
  <c r="V21" i="47"/>
  <c r="T18" i="47"/>
  <c r="V34" i="47"/>
  <c r="V36" i="47"/>
  <c r="V20" i="47"/>
  <c r="V15" i="47"/>
  <c r="V22" i="47"/>
  <c r="V24" i="47"/>
  <c r="J33" i="46"/>
  <c r="J21" i="46"/>
  <c r="J16" i="46"/>
  <c r="J29" i="46"/>
  <c r="J22" i="46"/>
  <c r="J27" i="46"/>
  <c r="H18" i="46"/>
  <c r="J31" i="46"/>
  <c r="J25" i="46"/>
  <c r="J20" i="46"/>
  <c r="J15" i="46"/>
  <c r="N12" i="46"/>
  <c r="J36" i="46"/>
  <c r="J24" i="46"/>
  <c r="J18" i="46"/>
  <c r="J34" i="46"/>
  <c r="N33" i="49"/>
  <c r="Z15" i="49"/>
  <c r="Z22" i="49"/>
  <c r="L16" i="49"/>
  <c r="N16" i="49" s="1"/>
  <c r="Z13" i="52"/>
  <c r="N24" i="111"/>
  <c r="X20" i="22"/>
  <c r="Z20" i="26"/>
  <c r="Z34" i="28"/>
  <c r="N24" i="38"/>
  <c r="N34" i="35"/>
  <c r="X21" i="34"/>
  <c r="X29" i="35"/>
  <c r="Z29" i="35" s="1"/>
  <c r="Z13" i="38"/>
  <c r="L29" i="38"/>
  <c r="N29" i="38" s="1"/>
  <c r="R18" i="46"/>
  <c r="R15" i="46"/>
  <c r="X12" i="46"/>
  <c r="R36" i="46"/>
  <c r="R16" i="46"/>
  <c r="R29" i="46"/>
  <c r="R25" i="46"/>
  <c r="R22" i="46"/>
  <c r="R27" i="46"/>
  <c r="R34" i="46"/>
  <c r="R24" i="46"/>
  <c r="R33" i="46"/>
  <c r="R20" i="46"/>
  <c r="P18" i="46"/>
  <c r="R31" i="46"/>
  <c r="R21" i="46"/>
  <c r="L33" i="40"/>
  <c r="N13" i="43"/>
  <c r="N33" i="43"/>
  <c r="Z25" i="47"/>
  <c r="X12" i="43"/>
  <c r="R31" i="43"/>
  <c r="R24" i="43"/>
  <c r="R18" i="43"/>
  <c r="R36" i="43"/>
  <c r="R29" i="43"/>
  <c r="R22" i="43"/>
  <c r="R16" i="43"/>
  <c r="R34" i="43"/>
  <c r="R27" i="43"/>
  <c r="R21" i="43"/>
  <c r="P18" i="43"/>
  <c r="R33" i="43"/>
  <c r="R25" i="43"/>
  <c r="R20" i="43"/>
  <c r="R15" i="43"/>
  <c r="L13" i="47"/>
  <c r="N13" i="47" s="1"/>
  <c r="X33" i="46"/>
  <c r="Z25" i="53"/>
  <c r="N16" i="53"/>
  <c r="X16" i="53"/>
  <c r="Z16" i="53" s="1"/>
  <c r="X25" i="110"/>
  <c r="L34" i="111"/>
  <c r="N24" i="112"/>
  <c r="N22" i="25"/>
  <c r="V36" i="31"/>
  <c r="V29" i="31"/>
  <c r="V22" i="31"/>
  <c r="V15" i="31"/>
  <c r="V34" i="31"/>
  <c r="V27" i="31"/>
  <c r="V20" i="31"/>
  <c r="T18" i="31"/>
  <c r="V33" i="31"/>
  <c r="V25" i="31"/>
  <c r="V18" i="31"/>
  <c r="V21" i="31"/>
  <c r="Z12" i="31"/>
  <c r="V31" i="31"/>
  <c r="V24" i="31"/>
  <c r="V16" i="31"/>
  <c r="N20" i="31"/>
  <c r="X34" i="29"/>
  <c r="L22" i="28"/>
  <c r="N22" i="28" s="1"/>
  <c r="N29" i="29"/>
  <c r="X29" i="31"/>
  <c r="Z29" i="31" s="1"/>
  <c r="L15" i="32"/>
  <c r="L29" i="34"/>
  <c r="X21" i="40"/>
  <c r="L20" i="40"/>
  <c r="Z22" i="37"/>
  <c r="Z25" i="38"/>
  <c r="X22" i="46"/>
  <c r="X21" i="43"/>
  <c r="Z16" i="44"/>
  <c r="X15" i="50"/>
  <c r="N15" i="53"/>
  <c r="N15" i="49"/>
  <c r="Z25" i="110"/>
  <c r="X29" i="112"/>
  <c r="Z29" i="112" s="1"/>
  <c r="X15" i="110"/>
  <c r="Z13" i="110"/>
  <c r="Z33" i="111"/>
  <c r="L16" i="112"/>
  <c r="N16" i="112" s="1"/>
  <c r="L29" i="112"/>
  <c r="N29" i="112" s="1"/>
  <c r="L20" i="28"/>
  <c r="Z20" i="28"/>
  <c r="X25" i="29"/>
  <c r="Z25" i="29" s="1"/>
  <c r="L29" i="46"/>
  <c r="N29" i="46" s="1"/>
  <c r="L20" i="31"/>
  <c r="L25" i="37"/>
  <c r="N25" i="37" s="1"/>
  <c r="L13" i="34"/>
  <c r="N13" i="34" s="1"/>
  <c r="J33" i="40"/>
  <c r="J25" i="40"/>
  <c r="J21" i="40"/>
  <c r="J16" i="40"/>
  <c r="J31" i="40"/>
  <c r="J34" i="40"/>
  <c r="J36" i="40"/>
  <c r="H18" i="40"/>
  <c r="J29" i="40"/>
  <c r="J24" i="40"/>
  <c r="J20" i="40"/>
  <c r="J15" i="40"/>
  <c r="J27" i="40"/>
  <c r="J22" i="40"/>
  <c r="J18" i="40"/>
  <c r="N12" i="40"/>
  <c r="N29" i="47"/>
  <c r="L24" i="44"/>
  <c r="V34" i="38"/>
  <c r="V27" i="38"/>
  <c r="V21" i="38"/>
  <c r="Z12" i="38"/>
  <c r="V33" i="38"/>
  <c r="V25" i="38"/>
  <c r="V20" i="38"/>
  <c r="T18" i="38"/>
  <c r="V31" i="38"/>
  <c r="V24" i="38"/>
  <c r="V18" i="38"/>
  <c r="V15" i="38"/>
  <c r="V36" i="38"/>
  <c r="V29" i="38"/>
  <c r="V22" i="38"/>
  <c r="V16" i="38"/>
  <c r="J36" i="43"/>
  <c r="J29" i="43"/>
  <c r="J22" i="43"/>
  <c r="J20" i="43"/>
  <c r="J34" i="43"/>
  <c r="J27" i="43"/>
  <c r="H18" i="43"/>
  <c r="J18" i="43"/>
  <c r="J33" i="43"/>
  <c r="J25" i="43"/>
  <c r="J15" i="43"/>
  <c r="J16" i="43"/>
  <c r="N12" i="43"/>
  <c r="J31" i="43"/>
  <c r="J24" i="43"/>
  <c r="J21" i="43"/>
  <c r="X33" i="43"/>
  <c r="N20" i="50"/>
  <c r="X16" i="49"/>
  <c r="L22" i="52"/>
  <c r="N22" i="52" s="1"/>
  <c r="N20" i="47"/>
  <c r="J20" i="112"/>
  <c r="J15" i="112"/>
  <c r="J36" i="112"/>
  <c r="J31" i="112"/>
  <c r="J18" i="112"/>
  <c r="N12" i="112"/>
  <c r="J25" i="112"/>
  <c r="J29" i="112"/>
  <c r="J16" i="112"/>
  <c r="J24" i="112"/>
  <c r="J34" i="112"/>
  <c r="J27" i="112"/>
  <c r="J21" i="112"/>
  <c r="H18" i="112"/>
  <c r="J22" i="112"/>
  <c r="J33" i="112"/>
  <c r="Z34" i="111"/>
  <c r="L20" i="112"/>
  <c r="L33" i="112"/>
  <c r="N21" i="22"/>
  <c r="X15" i="25"/>
  <c r="Z13" i="25"/>
  <c r="X33" i="26"/>
  <c r="N25" i="34"/>
  <c r="Z16" i="35"/>
  <c r="Z24" i="35"/>
  <c r="L34" i="35"/>
  <c r="V31" i="40"/>
  <c r="V33" i="40"/>
  <c r="V18" i="40"/>
  <c r="V15" i="40"/>
  <c r="V29" i="40"/>
  <c r="V24" i="40"/>
  <c r="V16" i="40"/>
  <c r="V21" i="40"/>
  <c r="V27" i="40"/>
  <c r="V22" i="40"/>
  <c r="V36" i="40"/>
  <c r="T18" i="40"/>
  <c r="Z12" i="40"/>
  <c r="V25" i="40"/>
  <c r="V20" i="40"/>
  <c r="V34" i="40"/>
  <c r="N20" i="40"/>
  <c r="L15" i="41"/>
  <c r="L24" i="41"/>
  <c r="N33" i="44"/>
  <c r="Z24" i="44"/>
  <c r="X16" i="47"/>
  <c r="Z16" i="47" s="1"/>
  <c r="Z33" i="52"/>
  <c r="Z16" i="49"/>
  <c r="L13" i="53"/>
  <c r="N13" i="53" s="1"/>
  <c r="X20" i="52"/>
  <c r="X34" i="111"/>
  <c r="X22" i="112"/>
  <c r="Z22" i="112" s="1"/>
  <c r="N13" i="110"/>
  <c r="X15" i="28"/>
  <c r="N22" i="22"/>
  <c r="X16" i="26"/>
  <c r="Z16" i="26" s="1"/>
  <c r="Z13" i="23"/>
  <c r="N13" i="31"/>
  <c r="L13" i="29"/>
  <c r="Z15" i="35"/>
  <c r="Z33" i="31"/>
  <c r="L20" i="32"/>
  <c r="L24" i="34"/>
  <c r="N34" i="32"/>
  <c r="L34" i="41"/>
  <c r="Z29" i="37"/>
  <c r="X16" i="40"/>
  <c r="Z16" i="40" s="1"/>
  <c r="L34" i="47"/>
  <c r="J33" i="44"/>
  <c r="J25" i="44"/>
  <c r="H18" i="44"/>
  <c r="J18" i="44"/>
  <c r="N12" i="44"/>
  <c r="J31" i="44"/>
  <c r="J24" i="44"/>
  <c r="J16" i="44"/>
  <c r="J36" i="44"/>
  <c r="J29" i="44"/>
  <c r="J22" i="44"/>
  <c r="J15" i="44"/>
  <c r="J34" i="44"/>
  <c r="J27" i="44"/>
  <c r="J21" i="44"/>
  <c r="J20" i="44"/>
  <c r="L13" i="50"/>
  <c r="N13" i="50" s="1"/>
  <c r="X13" i="46"/>
  <c r="Z13" i="46" s="1"/>
  <c r="N34" i="49"/>
  <c r="X21" i="49"/>
  <c r="Z24" i="49"/>
  <c r="L20" i="49"/>
  <c r="Z16" i="52"/>
  <c r="N33" i="112"/>
  <c r="N15" i="111"/>
  <c r="Z25" i="23"/>
  <c r="N25" i="28"/>
  <c r="X22" i="26"/>
  <c r="Z22" i="26" s="1"/>
  <c r="R36" i="29"/>
  <c r="R29" i="29"/>
  <c r="R22" i="29"/>
  <c r="R21" i="29"/>
  <c r="P18" i="29"/>
  <c r="R34" i="29"/>
  <c r="R27" i="29"/>
  <c r="R16" i="29"/>
  <c r="R15" i="29"/>
  <c r="R33" i="29"/>
  <c r="R25" i="29"/>
  <c r="R20" i="29"/>
  <c r="X12" i="29"/>
  <c r="R31" i="29"/>
  <c r="R24" i="29"/>
  <c r="R18" i="29"/>
  <c r="L15" i="31"/>
  <c r="X15" i="37"/>
  <c r="F21" i="35"/>
  <c r="L12" i="35"/>
  <c r="F31" i="35"/>
  <c r="F15" i="35"/>
  <c r="F20" i="35"/>
  <c r="F36" i="35"/>
  <c r="F29" i="35"/>
  <c r="D18" i="35"/>
  <c r="F24" i="35"/>
  <c r="F18" i="35"/>
  <c r="F34" i="35"/>
  <c r="F27" i="35"/>
  <c r="F22" i="35"/>
  <c r="F16" i="35"/>
  <c r="F33" i="35"/>
  <c r="F25" i="35"/>
  <c r="X33" i="35"/>
  <c r="L13" i="32"/>
  <c r="N13" i="32" s="1"/>
  <c r="L22" i="38"/>
  <c r="N22" i="38" s="1"/>
  <c r="L33" i="38"/>
  <c r="Z13" i="37"/>
  <c r="J36" i="41"/>
  <c r="J29" i="41"/>
  <c r="J15" i="41"/>
  <c r="J21" i="41"/>
  <c r="J34" i="41"/>
  <c r="J27" i="41"/>
  <c r="J20" i="41"/>
  <c r="J18" i="41"/>
  <c r="J33" i="41"/>
  <c r="J25" i="41"/>
  <c r="J24" i="41"/>
  <c r="J22" i="41"/>
  <c r="N12" i="41"/>
  <c r="J31" i="41"/>
  <c r="H18" i="41"/>
  <c r="J16" i="41"/>
  <c r="N22" i="43"/>
  <c r="N34" i="43"/>
  <c r="X25" i="49"/>
  <c r="Z25" i="49" s="1"/>
  <c r="Z22" i="43"/>
  <c r="X34" i="46"/>
  <c r="Z29" i="53"/>
  <c r="N20" i="53"/>
  <c r="X15" i="52"/>
  <c r="X20" i="53"/>
  <c r="X29" i="110"/>
  <c r="R36" i="112"/>
  <c r="R29" i="112"/>
  <c r="R22" i="112"/>
  <c r="R20" i="112"/>
  <c r="R34" i="112"/>
  <c r="R27" i="112"/>
  <c r="R21" i="112"/>
  <c r="R18" i="112"/>
  <c r="R33" i="112"/>
  <c r="R25" i="112"/>
  <c r="R16" i="112"/>
  <c r="P18" i="112"/>
  <c r="X12" i="112"/>
  <c r="R31" i="112"/>
  <c r="R24" i="112"/>
  <c r="R15" i="112"/>
  <c r="Z29" i="110"/>
  <c r="L25" i="111"/>
  <c r="N25" i="111" s="1"/>
  <c r="F36" i="22"/>
  <c r="F29" i="22"/>
  <c r="F22" i="22"/>
  <c r="F21" i="22"/>
  <c r="F34" i="22"/>
  <c r="F27" i="22"/>
  <c r="D18" i="22"/>
  <c r="F18" i="22"/>
  <c r="F33" i="22"/>
  <c r="F25" i="22"/>
  <c r="F15" i="22"/>
  <c r="L12" i="22"/>
  <c r="F31" i="22"/>
  <c r="F24" i="22"/>
  <c r="F16" i="22"/>
  <c r="F20" i="22"/>
  <c r="Z13" i="26"/>
  <c r="Z29" i="28"/>
  <c r="X20" i="34"/>
  <c r="X15" i="35"/>
  <c r="X13" i="34"/>
  <c r="Z13" i="34" s="1"/>
  <c r="Z21" i="35"/>
  <c r="Z33" i="40"/>
  <c r="N21" i="38"/>
  <c r="L25" i="40"/>
  <c r="N25" i="40" s="1"/>
  <c r="R24" i="41"/>
  <c r="R15" i="41"/>
  <c r="R25" i="41"/>
  <c r="R27" i="41"/>
  <c r="R22" i="41"/>
  <c r="R33" i="41"/>
  <c r="R18" i="41"/>
  <c r="R20" i="41"/>
  <c r="R21" i="41"/>
  <c r="R16" i="41"/>
  <c r="R34" i="41"/>
  <c r="X12" i="41"/>
  <c r="P18" i="41"/>
  <c r="R29" i="41"/>
  <c r="R31" i="41"/>
  <c r="R36" i="41"/>
  <c r="N25" i="43"/>
  <c r="Z15" i="47"/>
  <c r="L16" i="47"/>
  <c r="N16" i="47" s="1"/>
  <c r="X16" i="46"/>
  <c r="X22" i="53"/>
  <c r="Z22" i="53" s="1"/>
  <c r="L15" i="53"/>
  <c r="Z22" i="50"/>
  <c r="X21" i="52"/>
  <c r="X33" i="111"/>
  <c r="L16" i="111"/>
  <c r="N16" i="111" s="1"/>
  <c r="L29" i="111"/>
  <c r="N29" i="111" s="1"/>
  <c r="N13" i="112"/>
  <c r="N34" i="28"/>
  <c r="N13" i="29"/>
  <c r="X29" i="29"/>
  <c r="Z29" i="29" s="1"/>
  <c r="N16" i="28"/>
  <c r="X15" i="29"/>
  <c r="Z21" i="31"/>
  <c r="L29" i="37"/>
  <c r="N29" i="37" s="1"/>
  <c r="N21" i="34"/>
  <c r="X13" i="40"/>
  <c r="Z13" i="40" s="1"/>
  <c r="X33" i="49"/>
  <c r="Z22" i="46"/>
  <c r="L15" i="38"/>
  <c r="Z16" i="46"/>
  <c r="X13" i="43"/>
  <c r="Z13" i="43" s="1"/>
  <c r="X34" i="43"/>
  <c r="L16" i="43"/>
  <c r="N16" i="43" s="1"/>
  <c r="L22" i="50"/>
  <c r="N22" i="50" s="1"/>
  <c r="X20" i="49"/>
  <c r="L24" i="52"/>
  <c r="L22" i="47"/>
  <c r="N22" i="47" s="1"/>
  <c r="N24" i="47"/>
  <c r="X21" i="112"/>
  <c r="Z21" i="112"/>
  <c r="L34" i="112"/>
  <c r="L25" i="22"/>
  <c r="N25" i="22" s="1"/>
  <c r="N25" i="25"/>
  <c r="Z16" i="25"/>
  <c r="X34" i="26"/>
  <c r="L16" i="29"/>
  <c r="N16" i="29" s="1"/>
  <c r="L15" i="35"/>
  <c r="N29" i="34"/>
  <c r="Z20" i="35"/>
  <c r="X15" i="31"/>
  <c r="L15" i="40"/>
  <c r="L22" i="40"/>
  <c r="N22" i="40" s="1"/>
  <c r="X21" i="41"/>
  <c r="N34" i="44"/>
  <c r="N21" i="50"/>
  <c r="X20" i="47"/>
  <c r="Z34" i="52"/>
  <c r="Z20" i="49"/>
  <c r="N21" i="53"/>
  <c r="Z22" i="110"/>
  <c r="X24" i="112"/>
  <c r="N22" i="110"/>
  <c r="X15" i="111"/>
  <c r="L29" i="28"/>
  <c r="N29" i="28" s="1"/>
  <c r="N24" i="22"/>
  <c r="X20" i="26"/>
  <c r="Z16" i="23"/>
  <c r="L29" i="31"/>
  <c r="N29" i="31" s="1"/>
  <c r="N21" i="29"/>
  <c r="Z34" i="31"/>
  <c r="L29" i="44"/>
  <c r="N29" i="44" s="1"/>
  <c r="Z33" i="37"/>
  <c r="X20" i="40"/>
  <c r="X34" i="49"/>
  <c r="X13" i="44"/>
  <c r="Z13" i="44" s="1"/>
  <c r="L33" i="50"/>
  <c r="Z15" i="46"/>
  <c r="F16" i="50"/>
  <c r="F34" i="50"/>
  <c r="F27" i="50"/>
  <c r="F22" i="50"/>
  <c r="D18" i="50"/>
  <c r="F33" i="50"/>
  <c r="F25" i="50"/>
  <c r="L12" i="50"/>
  <c r="F20" i="50"/>
  <c r="F15" i="50"/>
  <c r="F31" i="50"/>
  <c r="F21" i="50"/>
  <c r="F18" i="50"/>
  <c r="F36" i="50"/>
  <c r="F29" i="50"/>
  <c r="F24" i="50"/>
  <c r="Z21" i="50"/>
  <c r="Z20" i="52"/>
  <c r="N34" i="112"/>
  <c r="L21" i="111"/>
  <c r="Z22" i="94"/>
  <c r="Z53" i="70"/>
  <c r="X18" i="88"/>
  <c r="Z18" i="88" s="1"/>
  <c r="L18" i="91"/>
  <c r="N18" i="91" s="1"/>
  <c r="L20" i="69"/>
  <c r="L18" i="88"/>
  <c r="N18" i="88" s="1"/>
  <c r="L20" i="92"/>
  <c r="N20" i="92" s="1"/>
  <c r="X20" i="92"/>
  <c r="Z20" i="92" s="1"/>
  <c r="L21" i="93"/>
  <c r="N21" i="93" s="1"/>
  <c r="L22" i="94"/>
  <c r="N22" i="94" s="1"/>
  <c r="X25" i="95"/>
  <c r="Z25" i="95" s="1"/>
  <c r="N25" i="105"/>
  <c r="X19" i="9"/>
  <c r="Z19" i="9" s="1"/>
  <c r="Z118" i="12"/>
  <c r="L137" i="18"/>
  <c r="N137" i="18" s="1"/>
  <c r="L29" i="33"/>
  <c r="N29" i="33" s="1"/>
  <c r="Z18" i="55"/>
  <c r="L18" i="59"/>
  <c r="N18" i="59" s="1"/>
  <c r="X25" i="82"/>
  <c r="N18" i="102"/>
  <c r="Z21" i="107"/>
  <c r="T74" i="72"/>
  <c r="V74" i="72" s="1"/>
  <c r="H80" i="93"/>
  <c r="N19" i="93"/>
  <c r="T127" i="36"/>
  <c r="T71" i="109"/>
  <c r="T28" i="108"/>
  <c r="Z24" i="108"/>
  <c r="Z24" i="104"/>
  <c r="T28" i="104"/>
  <c r="X16" i="108"/>
  <c r="P24" i="108"/>
  <c r="D24" i="104"/>
  <c r="L16" i="104"/>
  <c r="P65" i="102"/>
  <c r="P25" i="98"/>
  <c r="X17" i="98"/>
  <c r="R17" i="98"/>
  <c r="T89" i="97"/>
  <c r="D99" i="95"/>
  <c r="L23" i="95"/>
  <c r="N23" i="95" s="1"/>
  <c r="H28" i="85"/>
  <c r="T119" i="84"/>
  <c r="V42" i="84"/>
  <c r="T53" i="82"/>
  <c r="P70" i="69"/>
  <c r="T73" i="57"/>
  <c r="Z17" i="57"/>
  <c r="F68" i="56"/>
  <c r="F60" i="56"/>
  <c r="F52" i="56"/>
  <c r="F51" i="56"/>
  <c r="F40" i="56"/>
  <c r="F36" i="56"/>
  <c r="F32" i="56"/>
  <c r="F85" i="56"/>
  <c r="F82" i="56"/>
  <c r="F27" i="56"/>
  <c r="F23" i="56"/>
  <c r="F70" i="56"/>
  <c r="F69" i="56"/>
  <c r="F62" i="56"/>
  <c r="F61" i="56"/>
  <c r="F54" i="56"/>
  <c r="F53" i="56"/>
  <c r="F42" i="56"/>
  <c r="F41" i="56"/>
  <c r="F72" i="56"/>
  <c r="F71" i="56"/>
  <c r="F64" i="56"/>
  <c r="F63" i="56"/>
  <c r="F56" i="56"/>
  <c r="F55" i="56"/>
  <c r="F44" i="56"/>
  <c r="F43" i="56"/>
  <c r="F28" i="56"/>
  <c r="F24" i="56"/>
  <c r="F74" i="56"/>
  <c r="F73" i="56"/>
  <c r="F66" i="56"/>
  <c r="F65" i="56"/>
  <c r="F58" i="56"/>
  <c r="F57" i="56"/>
  <c r="F46" i="56"/>
  <c r="F45" i="56"/>
  <c r="F38" i="56"/>
  <c r="F34" i="56"/>
  <c r="F48" i="56"/>
  <c r="F47" i="56"/>
  <c r="F19" i="56"/>
  <c r="F17" i="56"/>
  <c r="F15" i="56"/>
  <c r="F78" i="56"/>
  <c r="F76" i="56"/>
  <c r="F67" i="56"/>
  <c r="F59" i="56"/>
  <c r="F39" i="56"/>
  <c r="F35" i="56"/>
  <c r="F31" i="56"/>
  <c r="F30" i="56"/>
  <c r="F29" i="56"/>
  <c r="F50" i="56"/>
  <c r="F22" i="56"/>
  <c r="F33" i="56"/>
  <c r="F20" i="56"/>
  <c r="D17" i="56"/>
  <c r="F37" i="56"/>
  <c r="F26" i="56"/>
  <c r="L12" i="56"/>
  <c r="F21" i="56"/>
  <c r="F49" i="56"/>
  <c r="F80" i="56"/>
  <c r="F25" i="56"/>
  <c r="X78" i="56"/>
  <c r="Z78" i="56" s="1"/>
  <c r="P82" i="56"/>
  <c r="H82" i="56"/>
  <c r="P33" i="55"/>
  <c r="X16" i="55"/>
  <c r="P73" i="57"/>
  <c r="H71" i="48"/>
  <c r="J17" i="48"/>
  <c r="H127" i="36"/>
  <c r="F99" i="27"/>
  <c r="F91" i="27"/>
  <c r="F83" i="27"/>
  <c r="F82" i="27"/>
  <c r="F75" i="27"/>
  <c r="F71" i="27"/>
  <c r="F101" i="27"/>
  <c r="F100" i="27"/>
  <c r="F93" i="27"/>
  <c r="F92" i="27"/>
  <c r="F85" i="27"/>
  <c r="F84" i="27"/>
  <c r="F95" i="27"/>
  <c r="F94" i="27"/>
  <c r="F87" i="27"/>
  <c r="F86" i="27"/>
  <c r="F111" i="27"/>
  <c r="F102" i="27"/>
  <c r="F78" i="27"/>
  <c r="F77" i="27"/>
  <c r="F103" i="27"/>
  <c r="F112" i="27"/>
  <c r="F79" i="27"/>
  <c r="F54" i="27"/>
  <c r="F47" i="27"/>
  <c r="F43" i="27"/>
  <c r="F39" i="27"/>
  <c r="F105" i="27"/>
  <c r="D52" i="27"/>
  <c r="L12" i="27"/>
  <c r="N12" i="27" s="1"/>
  <c r="F65" i="27"/>
  <c r="F61" i="27"/>
  <c r="F57" i="27"/>
  <c r="F110" i="27"/>
  <c r="F96" i="27"/>
  <c r="F80" i="27"/>
  <c r="F48" i="27"/>
  <c r="F44" i="27"/>
  <c r="F40" i="27"/>
  <c r="F36" i="27"/>
  <c r="F35" i="27"/>
  <c r="F117" i="27"/>
  <c r="F113" i="27"/>
  <c r="F73" i="27"/>
  <c r="F69" i="27"/>
  <c r="F106" i="27"/>
  <c r="F88" i="27"/>
  <c r="F66" i="27"/>
  <c r="F62" i="27"/>
  <c r="F58" i="27"/>
  <c r="F49" i="27"/>
  <c r="F45" i="27"/>
  <c r="F41" i="27"/>
  <c r="F37" i="27"/>
  <c r="F107" i="27"/>
  <c r="F104" i="27"/>
  <c r="F81" i="27"/>
  <c r="F74" i="27"/>
  <c r="F70" i="27"/>
  <c r="F50" i="27"/>
  <c r="F46" i="27"/>
  <c r="F42" i="27"/>
  <c r="F38" i="27"/>
  <c r="F108" i="27"/>
  <c r="F98" i="27"/>
  <c r="F76" i="27"/>
  <c r="F97" i="27"/>
  <c r="F90" i="27"/>
  <c r="F56" i="27"/>
  <c r="F68" i="27"/>
  <c r="F64" i="27"/>
  <c r="F60" i="27"/>
  <c r="F63" i="27"/>
  <c r="F59" i="27"/>
  <c r="F72" i="27"/>
  <c r="F55" i="27"/>
  <c r="F89" i="27"/>
  <c r="F67" i="27"/>
  <c r="D22" i="6"/>
  <c r="L16" i="6"/>
  <c r="T225" i="12"/>
  <c r="T27" i="111"/>
  <c r="Z18" i="111"/>
  <c r="L18" i="52"/>
  <c r="D27" i="52"/>
  <c r="H27" i="47"/>
  <c r="N18" i="47"/>
  <c r="H27" i="44"/>
  <c r="N18" i="44"/>
  <c r="X18" i="37"/>
  <c r="P27" i="37"/>
  <c r="P27" i="40"/>
  <c r="X18" i="40"/>
  <c r="Z18" i="22"/>
  <c r="T27" i="22"/>
  <c r="X18" i="20"/>
  <c r="P27" i="20"/>
  <c r="T27" i="19"/>
  <c r="Z18" i="19"/>
  <c r="L18" i="16"/>
  <c r="D27" i="16"/>
  <c r="X18" i="11"/>
  <c r="P27" i="11"/>
  <c r="H27" i="17"/>
  <c r="N18" i="17"/>
  <c r="R88" i="45"/>
  <c r="R84" i="45"/>
  <c r="R73" i="45"/>
  <c r="R72" i="45"/>
  <c r="R37" i="45"/>
  <c r="R36" i="45"/>
  <c r="R32" i="45"/>
  <c r="R28" i="45"/>
  <c r="X12" i="45"/>
  <c r="Z12" i="45" s="1"/>
  <c r="R96" i="45"/>
  <c r="R95" i="45"/>
  <c r="R80" i="45"/>
  <c r="R79" i="45"/>
  <c r="R68" i="45"/>
  <c r="R67" i="45"/>
  <c r="R56" i="45"/>
  <c r="R55" i="45"/>
  <c r="R19" i="45"/>
  <c r="R74" i="45"/>
  <c r="R46" i="45"/>
  <c r="R42" i="45"/>
  <c r="R38" i="45"/>
  <c r="R97" i="45"/>
  <c r="R89" i="45"/>
  <c r="R85" i="45"/>
  <c r="R81" i="45"/>
  <c r="R69" i="45"/>
  <c r="R58" i="45"/>
  <c r="R57" i="45"/>
  <c r="R33" i="45"/>
  <c r="R29" i="45"/>
  <c r="R99" i="45"/>
  <c r="R20" i="45"/>
  <c r="R75" i="45"/>
  <c r="R60" i="45"/>
  <c r="R59" i="45"/>
  <c r="R48" i="45"/>
  <c r="R47" i="45"/>
  <c r="R43" i="45"/>
  <c r="R39" i="45"/>
  <c r="R91" i="45"/>
  <c r="R90" i="45"/>
  <c r="R86" i="45"/>
  <c r="R82" i="45"/>
  <c r="R70" i="45"/>
  <c r="R34" i="45"/>
  <c r="R30" i="45"/>
  <c r="R103" i="45"/>
  <c r="R62" i="45"/>
  <c r="R61" i="45"/>
  <c r="R50" i="45"/>
  <c r="R49" i="45"/>
  <c r="R26" i="45"/>
  <c r="R21" i="45"/>
  <c r="R92" i="45"/>
  <c r="R76" i="45"/>
  <c r="R44" i="45"/>
  <c r="R40" i="45"/>
  <c r="R25" i="45"/>
  <c r="R94" i="45"/>
  <c r="R93" i="45"/>
  <c r="R78" i="45"/>
  <c r="R77" i="45"/>
  <c r="R66" i="45"/>
  <c r="R65" i="45"/>
  <c r="R54" i="45"/>
  <c r="R53" i="45"/>
  <c r="R45" i="45"/>
  <c r="R41" i="45"/>
  <c r="R18" i="45"/>
  <c r="R27" i="45"/>
  <c r="R35" i="45"/>
  <c r="R31" i="45"/>
  <c r="R52" i="45"/>
  <c r="R83" i="45"/>
  <c r="R63" i="45"/>
  <c r="R87" i="45"/>
  <c r="P23" i="45"/>
  <c r="R23" i="45" s="1"/>
  <c r="R71" i="45"/>
  <c r="R51" i="45"/>
  <c r="R64" i="45"/>
  <c r="T27" i="26"/>
  <c r="Z18" i="26"/>
  <c r="L18" i="17"/>
  <c r="D27" i="17"/>
  <c r="P30" i="100"/>
  <c r="X16" i="100"/>
  <c r="N20" i="94"/>
  <c r="H78" i="94"/>
  <c r="T32" i="88"/>
  <c r="Z16" i="88"/>
  <c r="H84" i="91"/>
  <c r="N16" i="91"/>
  <c r="T99" i="95"/>
  <c r="D80" i="93"/>
  <c r="L19" i="93"/>
  <c r="P36" i="88"/>
  <c r="X19" i="87"/>
  <c r="P90" i="87"/>
  <c r="T32" i="85"/>
  <c r="V28" i="85"/>
  <c r="H114" i="70"/>
  <c r="P81" i="75"/>
  <c r="X27" i="75"/>
  <c r="Z16" i="63"/>
  <c r="T100" i="63"/>
  <c r="P71" i="59"/>
  <c r="X16" i="59"/>
  <c r="P71" i="48"/>
  <c r="X17" i="48"/>
  <c r="H37" i="55"/>
  <c r="H165" i="30"/>
  <c r="H92" i="24"/>
  <c r="J35" i="24"/>
  <c r="F163" i="30"/>
  <c r="F146" i="30"/>
  <c r="F142" i="30"/>
  <c r="F130" i="30"/>
  <c r="F129" i="30"/>
  <c r="F86" i="30"/>
  <c r="F82" i="30"/>
  <c r="F153" i="30"/>
  <c r="F152" i="30"/>
  <c r="F121" i="30"/>
  <c r="F120" i="30"/>
  <c r="F113" i="30"/>
  <c r="F112" i="30"/>
  <c r="F101" i="30"/>
  <c r="F100" i="30"/>
  <c r="F73" i="30"/>
  <c r="F69" i="30"/>
  <c r="F65" i="30"/>
  <c r="F61" i="30"/>
  <c r="F57" i="30"/>
  <c r="F53" i="30"/>
  <c r="F52" i="30"/>
  <c r="F136" i="30"/>
  <c r="F96" i="30"/>
  <c r="F92" i="30"/>
  <c r="F155" i="30"/>
  <c r="F154" i="30"/>
  <c r="F147" i="30"/>
  <c r="F143" i="30"/>
  <c r="F131" i="30"/>
  <c r="F123" i="30"/>
  <c r="F122" i="30"/>
  <c r="F103" i="30"/>
  <c r="F102" i="30"/>
  <c r="F87" i="30"/>
  <c r="F83" i="30"/>
  <c r="F138" i="30"/>
  <c r="F137" i="30"/>
  <c r="F114" i="30"/>
  <c r="F74" i="30"/>
  <c r="F70" i="30"/>
  <c r="F66" i="30"/>
  <c r="F62" i="30"/>
  <c r="F58" i="30"/>
  <c r="F54" i="30"/>
  <c r="F125" i="30"/>
  <c r="F124" i="30"/>
  <c r="F105" i="30"/>
  <c r="F104" i="30"/>
  <c r="F97" i="30"/>
  <c r="F93" i="30"/>
  <c r="F156" i="30"/>
  <c r="F148" i="30"/>
  <c r="F144" i="30"/>
  <c r="F132" i="30"/>
  <c r="F116" i="30"/>
  <c r="F115" i="30"/>
  <c r="F88" i="30"/>
  <c r="F84" i="30"/>
  <c r="F80" i="30"/>
  <c r="F79" i="30"/>
  <c r="F167" i="30"/>
  <c r="F158" i="30"/>
  <c r="F157" i="30"/>
  <c r="F150" i="30"/>
  <c r="F149" i="30"/>
  <c r="F134" i="30"/>
  <c r="F133" i="30"/>
  <c r="F98" i="30"/>
  <c r="F94" i="30"/>
  <c r="F90" i="30"/>
  <c r="F89" i="30"/>
  <c r="D76" i="30"/>
  <c r="F145" i="30"/>
  <c r="F141" i="30"/>
  <c r="F140" i="30"/>
  <c r="F117" i="30"/>
  <c r="F109" i="30"/>
  <c r="F108" i="30"/>
  <c r="F85" i="30"/>
  <c r="F81" i="30"/>
  <c r="F139" i="30"/>
  <c r="F78" i="30"/>
  <c r="F63" i="30"/>
  <c r="F162" i="30"/>
  <c r="F127" i="30"/>
  <c r="F118" i="30"/>
  <c r="F110" i="30"/>
  <c r="F67" i="30"/>
  <c r="F99" i="30"/>
  <c r="F71" i="30"/>
  <c r="F106" i="30"/>
  <c r="F95" i="30"/>
  <c r="F91" i="30"/>
  <c r="F135" i="30"/>
  <c r="F56" i="30"/>
  <c r="F161" i="30"/>
  <c r="F60" i="30"/>
  <c r="F64" i="30"/>
  <c r="F128" i="30"/>
  <c r="F119" i="30"/>
  <c r="F111" i="30"/>
  <c r="F107" i="30"/>
  <c r="F68" i="30"/>
  <c r="F151" i="30"/>
  <c r="F126" i="30"/>
  <c r="F55" i="30"/>
  <c r="L12" i="30"/>
  <c r="N12" i="30" s="1"/>
  <c r="F59" i="30"/>
  <c r="F160" i="30"/>
  <c r="F72" i="30"/>
  <c r="H110" i="21"/>
  <c r="J106" i="21"/>
  <c r="T218" i="15"/>
  <c r="R91" i="21"/>
  <c r="R101" i="21"/>
  <c r="R100" i="21"/>
  <c r="R92" i="21"/>
  <c r="R88" i="21"/>
  <c r="R104" i="21"/>
  <c r="R108" i="21"/>
  <c r="R90" i="21"/>
  <c r="R102" i="21"/>
  <c r="R82" i="21"/>
  <c r="R71" i="21"/>
  <c r="R70" i="21"/>
  <c r="R59" i="21"/>
  <c r="R58" i="21"/>
  <c r="R34" i="21"/>
  <c r="R30" i="21"/>
  <c r="R77" i="21"/>
  <c r="R50" i="21"/>
  <c r="R49" i="21"/>
  <c r="R21" i="21"/>
  <c r="R72" i="21"/>
  <c r="R61" i="21"/>
  <c r="R60" i="21"/>
  <c r="R44" i="21"/>
  <c r="R40" i="21"/>
  <c r="R93" i="21"/>
  <c r="R84" i="21"/>
  <c r="R83" i="21"/>
  <c r="R52" i="21"/>
  <c r="R51" i="21"/>
  <c r="R35" i="21"/>
  <c r="R31" i="21"/>
  <c r="R96" i="21"/>
  <c r="R79" i="21"/>
  <c r="R78" i="21"/>
  <c r="R63" i="21"/>
  <c r="R62" i="21"/>
  <c r="R27" i="21"/>
  <c r="R22" i="21"/>
  <c r="X12" i="21"/>
  <c r="Z12" i="21" s="1"/>
  <c r="R97" i="21"/>
  <c r="R86" i="21"/>
  <c r="R85" i="21"/>
  <c r="R73" i="21"/>
  <c r="R54" i="21"/>
  <c r="R53" i="21"/>
  <c r="R45" i="21"/>
  <c r="R41" i="21"/>
  <c r="R26" i="21"/>
  <c r="R24" i="21"/>
  <c r="R94" i="21"/>
  <c r="R89" i="21"/>
  <c r="R80" i="21"/>
  <c r="R65" i="21"/>
  <c r="R64" i="21"/>
  <c r="R37" i="21"/>
  <c r="R36" i="21"/>
  <c r="R32" i="21"/>
  <c r="R28" i="21"/>
  <c r="P24" i="21"/>
  <c r="R55" i="21"/>
  <c r="R98" i="21"/>
  <c r="R87" i="21"/>
  <c r="R74" i="21"/>
  <c r="R67" i="21"/>
  <c r="R66" i="21"/>
  <c r="R46" i="21"/>
  <c r="R42" i="21"/>
  <c r="R38" i="21"/>
  <c r="R81" i="21"/>
  <c r="R33" i="21"/>
  <c r="R29" i="21"/>
  <c r="R95" i="21"/>
  <c r="R76" i="21"/>
  <c r="R75" i="21"/>
  <c r="R48" i="21"/>
  <c r="R47" i="21"/>
  <c r="R43" i="21"/>
  <c r="R39" i="21"/>
  <c r="R68" i="21"/>
  <c r="R57" i="21"/>
  <c r="R99" i="21"/>
  <c r="R19" i="21"/>
  <c r="R69" i="21"/>
  <c r="R20" i="21"/>
  <c r="R56" i="21"/>
  <c r="H261" i="3"/>
  <c r="X18" i="112"/>
  <c r="P27" i="112"/>
  <c r="X18" i="111"/>
  <c r="P27" i="111"/>
  <c r="X18" i="50"/>
  <c r="P27" i="50"/>
  <c r="X18" i="44"/>
  <c r="P27" i="44"/>
  <c r="T27" i="47"/>
  <c r="Z18" i="47"/>
  <c r="X18" i="35"/>
  <c r="P27" i="35"/>
  <c r="H27" i="31"/>
  <c r="N18" i="31"/>
  <c r="L18" i="34"/>
  <c r="D27" i="34"/>
  <c r="X18" i="28"/>
  <c r="P27" i="28"/>
  <c r="L18" i="20"/>
  <c r="D27" i="20"/>
  <c r="L18" i="14"/>
  <c r="D27" i="14"/>
  <c r="T27" i="10"/>
  <c r="Z18" i="10"/>
  <c r="P27" i="13"/>
  <c r="X18" i="13"/>
  <c r="T27" i="4"/>
  <c r="Z18" i="4"/>
  <c r="T70" i="80"/>
  <c r="Z19" i="80"/>
  <c r="T66" i="69"/>
  <c r="X66" i="69" s="1"/>
  <c r="V18" i="69"/>
  <c r="H76" i="58"/>
  <c r="N16" i="58"/>
  <c r="P27" i="41"/>
  <c r="X18" i="41"/>
  <c r="H27" i="34"/>
  <c r="N18" i="34"/>
  <c r="T27" i="23"/>
  <c r="Z18" i="23"/>
  <c r="X18" i="19"/>
  <c r="P27" i="19"/>
  <c r="H27" i="20"/>
  <c r="N18" i="20"/>
  <c r="T27" i="7"/>
  <c r="Z18" i="7"/>
  <c r="D96" i="105"/>
  <c r="L23" i="105"/>
  <c r="N23" i="105" s="1"/>
  <c r="N16" i="102"/>
  <c r="H58" i="102"/>
  <c r="D58" i="102"/>
  <c r="L16" i="102"/>
  <c r="T34" i="100"/>
  <c r="N17" i="98"/>
  <c r="H25" i="98"/>
  <c r="D60" i="99"/>
  <c r="F73" i="97"/>
  <c r="F69" i="97"/>
  <c r="F57" i="97"/>
  <c r="F17" i="97"/>
  <c r="F16" i="97"/>
  <c r="F80" i="97"/>
  <c r="F79" i="97"/>
  <c r="F64" i="97"/>
  <c r="F48" i="97"/>
  <c r="F40" i="97"/>
  <c r="F36" i="97"/>
  <c r="F32" i="97"/>
  <c r="F31" i="97"/>
  <c r="F27" i="97"/>
  <c r="F23" i="97"/>
  <c r="F22" i="97"/>
  <c r="F83" i="97"/>
  <c r="F74" i="97"/>
  <c r="F70" i="97"/>
  <c r="F66" i="97"/>
  <c r="F65" i="97"/>
  <c r="F58" i="97"/>
  <c r="F50" i="97"/>
  <c r="F49" i="97"/>
  <c r="F82" i="97"/>
  <c r="F41" i="97"/>
  <c r="F37" i="97"/>
  <c r="F33" i="97"/>
  <c r="F85" i="97"/>
  <c r="F60" i="97"/>
  <c r="F59" i="97"/>
  <c r="F52" i="97"/>
  <c r="F51" i="97"/>
  <c r="F28" i="97"/>
  <c r="F24" i="97"/>
  <c r="F87" i="97"/>
  <c r="F75" i="97"/>
  <c r="F71" i="97"/>
  <c r="F67" i="97"/>
  <c r="F43" i="97"/>
  <c r="F42" i="97"/>
  <c r="F54" i="97"/>
  <c r="F53" i="97"/>
  <c r="F38" i="97"/>
  <c r="F34" i="97"/>
  <c r="F77" i="97"/>
  <c r="F76" i="97"/>
  <c r="F61" i="97"/>
  <c r="F45" i="97"/>
  <c r="F44" i="97"/>
  <c r="F29" i="97"/>
  <c r="F25" i="97"/>
  <c r="F92" i="97"/>
  <c r="F89" i="97"/>
  <c r="F72" i="97"/>
  <c r="F68" i="97"/>
  <c r="F56" i="97"/>
  <c r="F55" i="97"/>
  <c r="L12" i="97"/>
  <c r="F78" i="97"/>
  <c r="F30" i="97"/>
  <c r="F26" i="97"/>
  <c r="F63" i="97"/>
  <c r="F46" i="97"/>
  <c r="F35" i="97"/>
  <c r="F21" i="97"/>
  <c r="F39" i="97"/>
  <c r="F62" i="97"/>
  <c r="F19" i="97"/>
  <c r="F47" i="97"/>
  <c r="D19" i="97"/>
  <c r="N18" i="92"/>
  <c r="H78" i="92"/>
  <c r="X18" i="92"/>
  <c r="P78" i="92"/>
  <c r="X16" i="88"/>
  <c r="F75" i="84"/>
  <c r="F74" i="84"/>
  <c r="F51" i="84"/>
  <c r="F94" i="84"/>
  <c r="F86" i="84"/>
  <c r="F85" i="84"/>
  <c r="F38" i="84"/>
  <c r="F113" i="84"/>
  <c r="F105" i="84"/>
  <c r="F101" i="84"/>
  <c r="F88" i="84"/>
  <c r="F87" i="84"/>
  <c r="F52" i="84"/>
  <c r="F48" i="84"/>
  <c r="F115" i="84"/>
  <c r="F114" i="84"/>
  <c r="F107" i="84"/>
  <c r="F106" i="84"/>
  <c r="F95" i="84"/>
  <c r="F79" i="84"/>
  <c r="F78" i="84"/>
  <c r="F67" i="84"/>
  <c r="F66" i="84"/>
  <c r="F102" i="84"/>
  <c r="F90" i="84"/>
  <c r="F89" i="84"/>
  <c r="F97" i="84"/>
  <c r="F96" i="84"/>
  <c r="F69" i="84"/>
  <c r="F68" i="84"/>
  <c r="F53" i="84"/>
  <c r="F49" i="84"/>
  <c r="F117" i="84"/>
  <c r="F108" i="84"/>
  <c r="F80" i="84"/>
  <c r="F40" i="84"/>
  <c r="F36" i="84"/>
  <c r="F35" i="84"/>
  <c r="F110" i="84"/>
  <c r="F109" i="84"/>
  <c r="F98" i="84"/>
  <c r="F82" i="84"/>
  <c r="F81" i="84"/>
  <c r="F54" i="84"/>
  <c r="F50" i="84"/>
  <c r="F46" i="84"/>
  <c r="F45" i="84"/>
  <c r="F92" i="84"/>
  <c r="F62" i="84"/>
  <c r="F104" i="84"/>
  <c r="F76" i="84"/>
  <c r="F64" i="84"/>
  <c r="F58" i="84"/>
  <c r="F37" i="84"/>
  <c r="F112" i="84"/>
  <c r="F60" i="84"/>
  <c r="F56" i="84"/>
  <c r="F84" i="84"/>
  <c r="F77" i="84"/>
  <c r="F72" i="84"/>
  <c r="F103" i="84"/>
  <c r="F99" i="84"/>
  <c r="F93" i="84"/>
  <c r="F91" i="84"/>
  <c r="F65" i="84"/>
  <c r="F63" i="84"/>
  <c r="D42" i="84"/>
  <c r="F42" i="84" s="1"/>
  <c r="F121" i="84"/>
  <c r="F61" i="84"/>
  <c r="F59" i="84"/>
  <c r="F57" i="84"/>
  <c r="F47" i="84"/>
  <c r="F70" i="84"/>
  <c r="F44" i="84"/>
  <c r="L12" i="84"/>
  <c r="N12" i="84" s="1"/>
  <c r="F111" i="84"/>
  <c r="F39" i="84"/>
  <c r="F71" i="84"/>
  <c r="F55" i="84"/>
  <c r="F73" i="84"/>
  <c r="F83" i="84"/>
  <c r="F100" i="84"/>
  <c r="F31" i="82"/>
  <c r="F27" i="82"/>
  <c r="F26" i="82"/>
  <c r="F25" i="82"/>
  <c r="F23" i="82"/>
  <c r="F45" i="82"/>
  <c r="F41" i="82"/>
  <c r="F37" i="82"/>
  <c r="D23" i="82"/>
  <c r="F32" i="82"/>
  <c r="F28" i="82"/>
  <c r="L12" i="82"/>
  <c r="N12" i="82" s="1"/>
  <c r="F19" i="82"/>
  <c r="F18" i="82"/>
  <c r="F47" i="82"/>
  <c r="F42" i="82"/>
  <c r="F38" i="82"/>
  <c r="F20" i="82"/>
  <c r="F34" i="82"/>
  <c r="F30" i="82"/>
  <c r="F33" i="82"/>
  <c r="F40" i="82"/>
  <c r="F36" i="82"/>
  <c r="F29" i="82"/>
  <c r="F43" i="82"/>
  <c r="F39" i="82"/>
  <c r="F21" i="82"/>
  <c r="F51" i="82"/>
  <c r="F44" i="82"/>
  <c r="F35" i="82"/>
  <c r="X21" i="79"/>
  <c r="P78" i="79"/>
  <c r="N16" i="62"/>
  <c r="H22" i="62"/>
  <c r="F98" i="70"/>
  <c r="F90" i="70"/>
  <c r="F82" i="70"/>
  <c r="F81" i="70"/>
  <c r="F74" i="70"/>
  <c r="F70" i="70"/>
  <c r="F66" i="70"/>
  <c r="F65" i="70"/>
  <c r="F105" i="70"/>
  <c r="F61" i="70"/>
  <c r="F57" i="70"/>
  <c r="F100" i="70"/>
  <c r="F99" i="70"/>
  <c r="F92" i="70"/>
  <c r="F91" i="70"/>
  <c r="F84" i="70"/>
  <c r="F83" i="70"/>
  <c r="F48" i="70"/>
  <c r="F44" i="70"/>
  <c r="F40" i="70"/>
  <c r="F36" i="70"/>
  <c r="L12" i="70"/>
  <c r="N12" i="70" s="1"/>
  <c r="F107" i="70"/>
  <c r="F106" i="70"/>
  <c r="F75" i="70"/>
  <c r="F71" i="70"/>
  <c r="F67" i="70"/>
  <c r="F94" i="70"/>
  <c r="F93" i="70"/>
  <c r="F86" i="70"/>
  <c r="F85" i="70"/>
  <c r="F62" i="70"/>
  <c r="F58" i="70"/>
  <c r="F110" i="70"/>
  <c r="F101" i="70"/>
  <c r="F77" i="70"/>
  <c r="F76" i="70"/>
  <c r="F49" i="70"/>
  <c r="F45" i="70"/>
  <c r="F41" i="70"/>
  <c r="F37" i="70"/>
  <c r="F111" i="70"/>
  <c r="F109" i="70"/>
  <c r="F72" i="70"/>
  <c r="F68" i="70"/>
  <c r="F112" i="70"/>
  <c r="F95" i="70"/>
  <c r="F87" i="70"/>
  <c r="F79" i="70"/>
  <c r="F78" i="70"/>
  <c r="F63" i="70"/>
  <c r="F59" i="70"/>
  <c r="F55" i="70"/>
  <c r="F54" i="70"/>
  <c r="F102" i="70"/>
  <c r="F53" i="70"/>
  <c r="F46" i="70"/>
  <c r="F42" i="70"/>
  <c r="F38" i="70"/>
  <c r="F47" i="70"/>
  <c r="F43" i="70"/>
  <c r="F39" i="70"/>
  <c r="F35" i="70"/>
  <c r="F34" i="70"/>
  <c r="F89" i="70"/>
  <c r="F64" i="70"/>
  <c r="F116" i="70"/>
  <c r="F104" i="70"/>
  <c r="F97" i="70"/>
  <c r="F69" i="70"/>
  <c r="F88" i="70"/>
  <c r="D51" i="70"/>
  <c r="F51" i="70" s="1"/>
  <c r="F80" i="70"/>
  <c r="F73" i="70"/>
  <c r="F56" i="70"/>
  <c r="F96" i="70"/>
  <c r="F60" i="70"/>
  <c r="F103" i="70"/>
  <c r="X60" i="61"/>
  <c r="Z60" i="61" s="1"/>
  <c r="P64" i="61"/>
  <c r="N16" i="63"/>
  <c r="H100" i="63"/>
  <c r="P58" i="60"/>
  <c r="X16" i="60"/>
  <c r="N16" i="61"/>
  <c r="H60" i="61"/>
  <c r="D76" i="58"/>
  <c r="L16" i="58"/>
  <c r="H101" i="51"/>
  <c r="F69" i="57"/>
  <c r="F40" i="57"/>
  <c r="F36" i="57"/>
  <c r="F32" i="57"/>
  <c r="F70" i="57"/>
  <c r="F68" i="57"/>
  <c r="F59" i="57"/>
  <c r="F51" i="57"/>
  <c r="F50" i="57"/>
  <c r="F27" i="57"/>
  <c r="F23" i="57"/>
  <c r="F71" i="57"/>
  <c r="F42" i="57"/>
  <c r="F41" i="57"/>
  <c r="F73" i="57"/>
  <c r="F60" i="57"/>
  <c r="F44" i="57"/>
  <c r="F43" i="57"/>
  <c r="F28" i="57"/>
  <c r="F24" i="57"/>
  <c r="F75" i="57"/>
  <c r="F62" i="57"/>
  <c r="F61" i="57"/>
  <c r="F54" i="57"/>
  <c r="F46" i="57"/>
  <c r="F45" i="57"/>
  <c r="F38" i="57"/>
  <c r="F34" i="57"/>
  <c r="F29" i="57"/>
  <c r="F25" i="57"/>
  <c r="F21" i="57"/>
  <c r="F20" i="57"/>
  <c r="F80" i="57"/>
  <c r="F77" i="57"/>
  <c r="F64" i="57"/>
  <c r="F63" i="57"/>
  <c r="F56" i="57"/>
  <c r="F55" i="57"/>
  <c r="F19" i="57"/>
  <c r="F17" i="57"/>
  <c r="F15" i="57"/>
  <c r="F47" i="57"/>
  <c r="F39" i="57"/>
  <c r="F35" i="57"/>
  <c r="F31" i="57"/>
  <c r="F30" i="57"/>
  <c r="D17" i="57"/>
  <c r="F49" i="57"/>
  <c r="F48" i="57"/>
  <c r="F37" i="57"/>
  <c r="F26" i="57"/>
  <c r="F52" i="57"/>
  <c r="F58" i="57"/>
  <c r="F66" i="57"/>
  <c r="F53" i="57"/>
  <c r="F57" i="57"/>
  <c r="F65" i="57"/>
  <c r="F22" i="57"/>
  <c r="L12" i="57"/>
  <c r="F33" i="57"/>
  <c r="D64" i="61"/>
  <c r="L60" i="61"/>
  <c r="D120" i="42"/>
  <c r="L25" i="42"/>
  <c r="R120" i="39"/>
  <c r="R111" i="39"/>
  <c r="R110" i="39"/>
  <c r="R78" i="39"/>
  <c r="R50" i="39"/>
  <c r="R46" i="39"/>
  <c r="R42" i="39"/>
  <c r="R23" i="39"/>
  <c r="X12" i="39"/>
  <c r="Z12" i="39" s="1"/>
  <c r="R121" i="39"/>
  <c r="R89" i="39"/>
  <c r="R37" i="39"/>
  <c r="R33" i="39"/>
  <c r="R122" i="39"/>
  <c r="R112" i="39"/>
  <c r="R104" i="39"/>
  <c r="R100" i="39"/>
  <c r="R96" i="39"/>
  <c r="R85" i="39"/>
  <c r="R84" i="39"/>
  <c r="R69" i="39"/>
  <c r="R68" i="39"/>
  <c r="R60" i="39"/>
  <c r="R24" i="39"/>
  <c r="R79" i="39"/>
  <c r="R52" i="39"/>
  <c r="R51" i="39"/>
  <c r="R47" i="39"/>
  <c r="R43" i="39"/>
  <c r="R91" i="39"/>
  <c r="R90" i="39"/>
  <c r="R86" i="39"/>
  <c r="R71" i="39"/>
  <c r="R70" i="39"/>
  <c r="R38" i="39"/>
  <c r="R34" i="39"/>
  <c r="R113" i="39"/>
  <c r="R106" i="39"/>
  <c r="R105" i="39"/>
  <c r="R101" i="39"/>
  <c r="R97" i="39"/>
  <c r="R62" i="39"/>
  <c r="R61" i="39"/>
  <c r="R54" i="39"/>
  <c r="R53" i="39"/>
  <c r="R25" i="39"/>
  <c r="R126" i="39"/>
  <c r="R92" i="39"/>
  <c r="R80" i="39"/>
  <c r="R73" i="39"/>
  <c r="R72" i="39"/>
  <c r="R48" i="39"/>
  <c r="R44" i="39"/>
  <c r="R107" i="39"/>
  <c r="R87" i="39"/>
  <c r="R64" i="39"/>
  <c r="R63" i="39"/>
  <c r="R56" i="39"/>
  <c r="R55" i="39"/>
  <c r="R39" i="39"/>
  <c r="R35" i="39"/>
  <c r="R94" i="39"/>
  <c r="R93" i="39"/>
  <c r="R82" i="39"/>
  <c r="R81" i="39"/>
  <c r="R66" i="39"/>
  <c r="R65" i="39"/>
  <c r="R58" i="39"/>
  <c r="R57" i="39"/>
  <c r="R49" i="39"/>
  <c r="R45" i="39"/>
  <c r="R30" i="39"/>
  <c r="R28" i="39"/>
  <c r="R119" i="39"/>
  <c r="R118" i="39"/>
  <c r="R103" i="39"/>
  <c r="R99" i="39"/>
  <c r="R95" i="39"/>
  <c r="R83" i="39"/>
  <c r="R67" i="39"/>
  <c r="R59" i="39"/>
  <c r="R114" i="39"/>
  <c r="R102" i="39"/>
  <c r="R26" i="39"/>
  <c r="R108" i="39"/>
  <c r="R76" i="39"/>
  <c r="R115" i="39"/>
  <c r="R41" i="39"/>
  <c r="R88" i="39"/>
  <c r="R74" i="39"/>
  <c r="R31" i="39"/>
  <c r="R109" i="39"/>
  <c r="R77" i="39"/>
  <c r="P28" i="39"/>
  <c r="R98" i="39"/>
  <c r="R75" i="39"/>
  <c r="R116" i="39"/>
  <c r="R32" i="39"/>
  <c r="R36" i="39"/>
  <c r="R40" i="39"/>
  <c r="T110" i="21"/>
  <c r="T102" i="9"/>
  <c r="Z17" i="9"/>
  <c r="H27" i="111"/>
  <c r="N18" i="111"/>
  <c r="L18" i="50"/>
  <c r="D27" i="50"/>
  <c r="D27" i="49"/>
  <c r="L18" i="49"/>
  <c r="X18" i="53"/>
  <c r="P27" i="53"/>
  <c r="T27" i="52"/>
  <c r="Z18" i="52"/>
  <c r="N18" i="46"/>
  <c r="H27" i="46"/>
  <c r="L18" i="46"/>
  <c r="D27" i="46"/>
  <c r="T27" i="38"/>
  <c r="Z18" i="38"/>
  <c r="X18" i="34"/>
  <c r="P27" i="34"/>
  <c r="P27" i="26"/>
  <c r="X18" i="26"/>
  <c r="X18" i="4"/>
  <c r="P27" i="4"/>
  <c r="H30" i="100"/>
  <c r="N16" i="100"/>
  <c r="Z17" i="98"/>
  <c r="T25" i="98"/>
  <c r="D36" i="88"/>
  <c r="X18" i="49"/>
  <c r="P27" i="49"/>
  <c r="H27" i="32"/>
  <c r="N18" i="32"/>
  <c r="H27" i="29"/>
  <c r="N18" i="29"/>
  <c r="T27" i="25"/>
  <c r="Z18" i="25"/>
  <c r="L18" i="19"/>
  <c r="D27" i="19"/>
  <c r="R93" i="107"/>
  <c r="R75" i="107"/>
  <c r="R71" i="107"/>
  <c r="R64" i="107"/>
  <c r="R63" i="107"/>
  <c r="R52" i="107"/>
  <c r="R51" i="107"/>
  <c r="R82" i="107"/>
  <c r="R42" i="107"/>
  <c r="R38" i="107"/>
  <c r="R34" i="107"/>
  <c r="R86" i="107"/>
  <c r="R84" i="107"/>
  <c r="R66" i="107"/>
  <c r="R65" i="107"/>
  <c r="R54" i="107"/>
  <c r="R53" i="107"/>
  <c r="R29" i="107"/>
  <c r="R25" i="107"/>
  <c r="R76" i="107"/>
  <c r="R72" i="107"/>
  <c r="X12" i="107"/>
  <c r="Z12" i="107" s="1"/>
  <c r="R67" i="107"/>
  <c r="R56" i="107"/>
  <c r="R55" i="107"/>
  <c r="R44" i="107"/>
  <c r="R43" i="107"/>
  <c r="R39" i="107"/>
  <c r="R35" i="107"/>
  <c r="R16" i="107"/>
  <c r="R88" i="107"/>
  <c r="R30" i="107"/>
  <c r="R26" i="107"/>
  <c r="R90" i="107"/>
  <c r="R78" i="107"/>
  <c r="R77" i="107"/>
  <c r="R73" i="107"/>
  <c r="R58" i="107"/>
  <c r="R57" i="107"/>
  <c r="R46" i="107"/>
  <c r="R45" i="107"/>
  <c r="R22" i="107"/>
  <c r="R17" i="107"/>
  <c r="R68" i="107"/>
  <c r="R40" i="107"/>
  <c r="R36" i="107"/>
  <c r="R21" i="107"/>
  <c r="R19" i="107"/>
  <c r="R79" i="107"/>
  <c r="R60" i="107"/>
  <c r="R59" i="107"/>
  <c r="R48" i="107"/>
  <c r="R47" i="107"/>
  <c r="R31" i="107"/>
  <c r="R27" i="107"/>
  <c r="R23" i="107"/>
  <c r="P19" i="107"/>
  <c r="R81" i="107"/>
  <c r="R80" i="107"/>
  <c r="R33" i="107"/>
  <c r="R32" i="107"/>
  <c r="R28" i="107"/>
  <c r="R24" i="107"/>
  <c r="R61" i="107"/>
  <c r="R49" i="107"/>
  <c r="R41" i="107"/>
  <c r="R69" i="107"/>
  <c r="R62" i="107"/>
  <c r="R50" i="107"/>
  <c r="R70" i="107"/>
  <c r="R74" i="107"/>
  <c r="R37" i="107"/>
  <c r="D30" i="100"/>
  <c r="L16" i="100"/>
  <c r="Z58" i="102"/>
  <c r="T62" i="102"/>
  <c r="X62" i="102" s="1"/>
  <c r="H89" i="97"/>
  <c r="N16" i="88"/>
  <c r="H32" i="88"/>
  <c r="L32" i="88" s="1"/>
  <c r="X78" i="94"/>
  <c r="Z78" i="94" s="1"/>
  <c r="P82" i="94"/>
  <c r="D90" i="87"/>
  <c r="L19" i="87"/>
  <c r="H90" i="87"/>
  <c r="N19" i="87"/>
  <c r="H70" i="80"/>
  <c r="N19" i="80"/>
  <c r="R110" i="70"/>
  <c r="R109" i="70"/>
  <c r="R94" i="70"/>
  <c r="R86" i="70"/>
  <c r="R62" i="70"/>
  <c r="R58" i="70"/>
  <c r="R111" i="70"/>
  <c r="R101" i="70"/>
  <c r="R78" i="70"/>
  <c r="R77" i="70"/>
  <c r="R54" i="70"/>
  <c r="R49" i="70"/>
  <c r="R45" i="70"/>
  <c r="R41" i="70"/>
  <c r="R37" i="70"/>
  <c r="R112" i="70"/>
  <c r="R72" i="70"/>
  <c r="R68" i="70"/>
  <c r="R53" i="70"/>
  <c r="R96" i="70"/>
  <c r="R95" i="70"/>
  <c r="R88" i="70"/>
  <c r="R87" i="70"/>
  <c r="R79" i="70"/>
  <c r="R63" i="70"/>
  <c r="R59" i="70"/>
  <c r="R55" i="70"/>
  <c r="P51" i="70"/>
  <c r="R51" i="70" s="1"/>
  <c r="R103" i="70"/>
  <c r="R102" i="70"/>
  <c r="R46" i="70"/>
  <c r="R42" i="70"/>
  <c r="R38" i="70"/>
  <c r="R97" i="70"/>
  <c r="R89" i="70"/>
  <c r="R73" i="70"/>
  <c r="R69" i="70"/>
  <c r="R34" i="70"/>
  <c r="R116" i="70"/>
  <c r="R104" i="70"/>
  <c r="R81" i="70"/>
  <c r="R80" i="70"/>
  <c r="R65" i="70"/>
  <c r="R64" i="70"/>
  <c r="R60" i="70"/>
  <c r="R56" i="70"/>
  <c r="R47" i="70"/>
  <c r="R43" i="70"/>
  <c r="R39" i="70"/>
  <c r="R35" i="70"/>
  <c r="R99" i="70"/>
  <c r="R98" i="70"/>
  <c r="R91" i="70"/>
  <c r="R90" i="70"/>
  <c r="R83" i="70"/>
  <c r="R82" i="70"/>
  <c r="R74" i="70"/>
  <c r="R70" i="70"/>
  <c r="R66" i="70"/>
  <c r="R107" i="70"/>
  <c r="R76" i="70"/>
  <c r="R75" i="70"/>
  <c r="R71" i="70"/>
  <c r="R67" i="70"/>
  <c r="R106" i="70"/>
  <c r="R100" i="70"/>
  <c r="R93" i="70"/>
  <c r="R57" i="70"/>
  <c r="R61" i="70"/>
  <c r="R84" i="70"/>
  <c r="R48" i="70"/>
  <c r="R92" i="70"/>
  <c r="R44" i="70"/>
  <c r="X12" i="70"/>
  <c r="Z12" i="70" s="1"/>
  <c r="R105" i="70"/>
  <c r="R85" i="70"/>
  <c r="R40" i="70"/>
  <c r="R36" i="70"/>
  <c r="F78" i="75"/>
  <c r="D100" i="63"/>
  <c r="L16" i="63"/>
  <c r="L16" i="61"/>
  <c r="R94" i="51"/>
  <c r="R93" i="51"/>
  <c r="R86" i="51"/>
  <c r="R85" i="51"/>
  <c r="R41" i="51"/>
  <c r="R37" i="51"/>
  <c r="R33" i="51"/>
  <c r="R77" i="51"/>
  <c r="R76" i="51"/>
  <c r="R68" i="51"/>
  <c r="R64" i="51"/>
  <c r="X12" i="51"/>
  <c r="Z12" i="51" s="1"/>
  <c r="R95" i="51"/>
  <c r="R88" i="51"/>
  <c r="R87" i="51"/>
  <c r="R60" i="51"/>
  <c r="R59" i="51"/>
  <c r="R55" i="51"/>
  <c r="R51" i="51"/>
  <c r="R98" i="51"/>
  <c r="R97" i="51"/>
  <c r="R79" i="51"/>
  <c r="R78" i="51"/>
  <c r="R42" i="51"/>
  <c r="R38" i="51"/>
  <c r="R34" i="51"/>
  <c r="R99" i="51"/>
  <c r="R89" i="51"/>
  <c r="R69" i="51"/>
  <c r="R65" i="51"/>
  <c r="R61" i="51"/>
  <c r="R43" i="51"/>
  <c r="R39" i="51"/>
  <c r="R35" i="51"/>
  <c r="R90" i="51"/>
  <c r="R71" i="51"/>
  <c r="R70" i="51"/>
  <c r="R66" i="51"/>
  <c r="R62" i="51"/>
  <c r="R103" i="51"/>
  <c r="R82" i="51"/>
  <c r="R81" i="51"/>
  <c r="R57" i="51"/>
  <c r="R53" i="51"/>
  <c r="R73" i="51"/>
  <c r="R72" i="51"/>
  <c r="R49" i="51"/>
  <c r="R44" i="51"/>
  <c r="R40" i="51"/>
  <c r="R36" i="51"/>
  <c r="R75" i="51"/>
  <c r="R74" i="51"/>
  <c r="R58" i="51"/>
  <c r="R54" i="51"/>
  <c r="R50" i="51"/>
  <c r="P46" i="51"/>
  <c r="R83" i="51"/>
  <c r="R48" i="51"/>
  <c r="R52" i="51"/>
  <c r="R91" i="51"/>
  <c r="R84" i="51"/>
  <c r="R80" i="51"/>
  <c r="R63" i="51"/>
  <c r="R56" i="51"/>
  <c r="R67" i="51"/>
  <c r="R32" i="51"/>
  <c r="R92" i="51"/>
  <c r="F114" i="42"/>
  <c r="P85" i="33"/>
  <c r="X81" i="33"/>
  <c r="L28" i="39"/>
  <c r="N28" i="39" s="1"/>
  <c r="D124" i="39"/>
  <c r="F28" i="39"/>
  <c r="R108" i="27"/>
  <c r="R77" i="27"/>
  <c r="R76" i="27"/>
  <c r="R72" i="27"/>
  <c r="R111" i="27"/>
  <c r="R110" i="27"/>
  <c r="R95" i="27"/>
  <c r="R87" i="27"/>
  <c r="R113" i="27"/>
  <c r="R73" i="27"/>
  <c r="R69" i="27"/>
  <c r="R104" i="27"/>
  <c r="R103" i="27"/>
  <c r="R98" i="27"/>
  <c r="R90" i="27"/>
  <c r="R74" i="27"/>
  <c r="R70" i="27"/>
  <c r="R100" i="27"/>
  <c r="R99" i="27"/>
  <c r="R92" i="27"/>
  <c r="R91" i="27"/>
  <c r="R84" i="27"/>
  <c r="R83" i="27"/>
  <c r="R75" i="27"/>
  <c r="R71" i="27"/>
  <c r="R67" i="27"/>
  <c r="R117" i="27"/>
  <c r="R96" i="27"/>
  <c r="R80" i="27"/>
  <c r="R66" i="27"/>
  <c r="R88" i="27"/>
  <c r="R85" i="27"/>
  <c r="R62" i="27"/>
  <c r="R58" i="27"/>
  <c r="R106" i="27"/>
  <c r="R101" i="27"/>
  <c r="R94" i="27"/>
  <c r="R89" i="27"/>
  <c r="R49" i="27"/>
  <c r="R45" i="27"/>
  <c r="R41" i="27"/>
  <c r="R37" i="27"/>
  <c r="R107" i="27"/>
  <c r="R97" i="27"/>
  <c r="R86" i="27"/>
  <c r="R63" i="27"/>
  <c r="R59" i="27"/>
  <c r="R81" i="27"/>
  <c r="R78" i="27"/>
  <c r="R55" i="27"/>
  <c r="R50" i="27"/>
  <c r="R46" i="27"/>
  <c r="R42" i="27"/>
  <c r="R38" i="27"/>
  <c r="R54" i="27"/>
  <c r="R52" i="27"/>
  <c r="R112" i="27"/>
  <c r="R105" i="27"/>
  <c r="R35" i="27"/>
  <c r="X12" i="27"/>
  <c r="Z12" i="27" s="1"/>
  <c r="R65" i="27"/>
  <c r="R61" i="27"/>
  <c r="R57" i="27"/>
  <c r="R64" i="27"/>
  <c r="R60" i="27"/>
  <c r="R48" i="27"/>
  <c r="R68" i="27"/>
  <c r="R44" i="27"/>
  <c r="R40" i="27"/>
  <c r="R79" i="27"/>
  <c r="R36" i="27"/>
  <c r="R93" i="27"/>
  <c r="P52" i="27"/>
  <c r="R47" i="27"/>
  <c r="R102" i="27"/>
  <c r="R43" i="27"/>
  <c r="R82" i="27"/>
  <c r="R56" i="27"/>
  <c r="R39" i="27"/>
  <c r="X17" i="9"/>
  <c r="P102" i="9"/>
  <c r="H27" i="50"/>
  <c r="N18" i="50"/>
  <c r="T27" i="46"/>
  <c r="Z18" i="46"/>
  <c r="T27" i="32"/>
  <c r="Z18" i="32"/>
  <c r="H27" i="37"/>
  <c r="N18" i="37"/>
  <c r="H27" i="25"/>
  <c r="N18" i="25"/>
  <c r="L18" i="8"/>
  <c r="D27" i="8"/>
  <c r="L18" i="7"/>
  <c r="D27" i="7"/>
  <c r="T27" i="5"/>
  <c r="Z18" i="5"/>
  <c r="R98" i="76"/>
  <c r="R97" i="76"/>
  <c r="R79" i="76"/>
  <c r="R78" i="76"/>
  <c r="R99" i="76"/>
  <c r="R89" i="76"/>
  <c r="R80" i="76"/>
  <c r="R90" i="76"/>
  <c r="R103" i="76"/>
  <c r="R82" i="76"/>
  <c r="R81" i="76"/>
  <c r="R92" i="76"/>
  <c r="R91" i="76"/>
  <c r="R84" i="76"/>
  <c r="R83" i="76"/>
  <c r="R94" i="76"/>
  <c r="R93" i="76"/>
  <c r="R86" i="76"/>
  <c r="R85" i="76"/>
  <c r="R95" i="76"/>
  <c r="R88" i="76"/>
  <c r="R87" i="76"/>
  <c r="R67" i="76"/>
  <c r="R63" i="76"/>
  <c r="R48" i="76"/>
  <c r="R46" i="76"/>
  <c r="R32" i="76"/>
  <c r="R72" i="76"/>
  <c r="R58" i="76"/>
  <c r="R54" i="76"/>
  <c r="R50" i="76"/>
  <c r="P46" i="76"/>
  <c r="R41" i="76"/>
  <c r="R37" i="76"/>
  <c r="R33" i="76"/>
  <c r="R73" i="76"/>
  <c r="R68" i="76"/>
  <c r="R64" i="76"/>
  <c r="X12" i="76"/>
  <c r="Z12" i="76" s="1"/>
  <c r="R76" i="76"/>
  <c r="R60" i="76"/>
  <c r="R59" i="76"/>
  <c r="R55" i="76"/>
  <c r="R51" i="76"/>
  <c r="R42" i="76"/>
  <c r="R38" i="76"/>
  <c r="R34" i="76"/>
  <c r="R69" i="76"/>
  <c r="R65" i="76"/>
  <c r="R61" i="76"/>
  <c r="R74" i="76"/>
  <c r="R56" i="76"/>
  <c r="R52" i="76"/>
  <c r="R43" i="76"/>
  <c r="R39" i="76"/>
  <c r="R35" i="76"/>
  <c r="R49" i="76"/>
  <c r="R44" i="76"/>
  <c r="R40" i="76"/>
  <c r="R36" i="76"/>
  <c r="R77" i="76"/>
  <c r="R66" i="76"/>
  <c r="R70" i="76"/>
  <c r="R53" i="76"/>
  <c r="R71" i="76"/>
  <c r="R57" i="76"/>
  <c r="R75" i="76"/>
  <c r="R62" i="76"/>
  <c r="F123" i="74"/>
  <c r="F103" i="74"/>
  <c r="F102" i="74"/>
  <c r="F87" i="74"/>
  <c r="F83" i="74"/>
  <c r="F142" i="74"/>
  <c r="F134" i="74"/>
  <c r="F130" i="74"/>
  <c r="F114" i="74"/>
  <c r="F113" i="74"/>
  <c r="F74" i="74"/>
  <c r="F70" i="74"/>
  <c r="F66" i="74"/>
  <c r="F62" i="74"/>
  <c r="F58" i="74"/>
  <c r="F54" i="74"/>
  <c r="F105" i="74"/>
  <c r="F104" i="74"/>
  <c r="F97" i="74"/>
  <c r="F93" i="74"/>
  <c r="F145" i="74"/>
  <c r="F124" i="74"/>
  <c r="F116" i="74"/>
  <c r="F115" i="74"/>
  <c r="F88" i="74"/>
  <c r="F84" i="74"/>
  <c r="F80" i="74"/>
  <c r="F79" i="74"/>
  <c r="F146" i="74"/>
  <c r="F144" i="74"/>
  <c r="F135" i="74"/>
  <c r="F131" i="74"/>
  <c r="F107" i="74"/>
  <c r="F106" i="74"/>
  <c r="F78" i="74"/>
  <c r="F76" i="74"/>
  <c r="F71" i="74"/>
  <c r="F67" i="74"/>
  <c r="F63" i="74"/>
  <c r="F59" i="74"/>
  <c r="F55" i="74"/>
  <c r="F147" i="74"/>
  <c r="F126" i="74"/>
  <c r="F125" i="74"/>
  <c r="F118" i="74"/>
  <c r="F117" i="74"/>
  <c r="F137" i="74"/>
  <c r="F136" i="74"/>
  <c r="F109" i="74"/>
  <c r="F108" i="74"/>
  <c r="F85" i="74"/>
  <c r="F81" i="74"/>
  <c r="F132" i="74"/>
  <c r="F120" i="74"/>
  <c r="F119" i="74"/>
  <c r="F72" i="74"/>
  <c r="F68" i="74"/>
  <c r="F64" i="74"/>
  <c r="F60" i="74"/>
  <c r="F56" i="74"/>
  <c r="L12" i="74"/>
  <c r="N12" i="74" s="1"/>
  <c r="F151" i="74"/>
  <c r="F139" i="74"/>
  <c r="F138" i="74"/>
  <c r="F127" i="74"/>
  <c r="F111" i="74"/>
  <c r="F110" i="74"/>
  <c r="F99" i="74"/>
  <c r="F95" i="74"/>
  <c r="F91" i="74"/>
  <c r="F112" i="74"/>
  <c r="F96" i="74"/>
  <c r="F92" i="74"/>
  <c r="F101" i="74"/>
  <c r="F82" i="74"/>
  <c r="F129" i="74"/>
  <c r="F122" i="74"/>
  <c r="F86" i="74"/>
  <c r="D76" i="74"/>
  <c r="F52" i="74"/>
  <c r="F141" i="74"/>
  <c r="F133" i="74"/>
  <c r="F94" i="74"/>
  <c r="F90" i="74"/>
  <c r="F73" i="74"/>
  <c r="F100" i="74"/>
  <c r="F98" i="74"/>
  <c r="F69" i="74"/>
  <c r="F65" i="74"/>
  <c r="F128" i="74"/>
  <c r="F61" i="74"/>
  <c r="F57" i="74"/>
  <c r="F89" i="74"/>
  <c r="F140" i="74"/>
  <c r="F53" i="74"/>
  <c r="F121" i="74"/>
  <c r="D70" i="72"/>
  <c r="L19" i="72"/>
  <c r="T121" i="70"/>
  <c r="P22" i="62"/>
  <c r="X16" i="62"/>
  <c r="T128" i="39"/>
  <c r="F118" i="39"/>
  <c r="H119" i="27"/>
  <c r="J115" i="27"/>
  <c r="Z16" i="6"/>
  <c r="T22" i="6"/>
  <c r="L17" i="9"/>
  <c r="D102" i="9"/>
  <c r="L18" i="112"/>
  <c r="D27" i="112"/>
  <c r="H27" i="53"/>
  <c r="N18" i="53"/>
  <c r="H27" i="52"/>
  <c r="N18" i="52"/>
  <c r="L18" i="37"/>
  <c r="D27" i="37"/>
  <c r="L18" i="31"/>
  <c r="D27" i="31"/>
  <c r="X18" i="25"/>
  <c r="P27" i="25"/>
  <c r="L18" i="22"/>
  <c r="D27" i="22"/>
  <c r="T27" i="31"/>
  <c r="Z18" i="31"/>
  <c r="H27" i="14"/>
  <c r="N18" i="14"/>
  <c r="T27" i="17"/>
  <c r="Z18" i="17"/>
  <c r="X18" i="17"/>
  <c r="P27" i="17"/>
  <c r="X18" i="5"/>
  <c r="P27" i="5"/>
  <c r="H27" i="5"/>
  <c r="N18" i="5"/>
  <c r="H27" i="4"/>
  <c r="N18" i="4"/>
  <c r="P27" i="14"/>
  <c r="X18" i="14"/>
  <c r="X18" i="69"/>
  <c r="Z18" i="69" s="1"/>
  <c r="H86" i="107"/>
  <c r="V17" i="109"/>
  <c r="T96" i="105"/>
  <c r="H100" i="105"/>
  <c r="J96" i="105"/>
  <c r="F80" i="103"/>
  <c r="F76" i="103"/>
  <c r="F75" i="103"/>
  <c r="F87" i="103"/>
  <c r="F86" i="103"/>
  <c r="F71" i="103"/>
  <c r="F70" i="103"/>
  <c r="F81" i="103"/>
  <c r="F77" i="103"/>
  <c r="F65" i="103"/>
  <c r="F64" i="103"/>
  <c r="F53" i="103"/>
  <c r="F52" i="103"/>
  <c r="F45" i="103"/>
  <c r="F41" i="103"/>
  <c r="F89" i="103"/>
  <c r="F82" i="103"/>
  <c r="F78" i="103"/>
  <c r="F73" i="103"/>
  <c r="F57" i="103"/>
  <c r="F56" i="103"/>
  <c r="F83" i="103"/>
  <c r="F79" i="103"/>
  <c r="F59" i="103"/>
  <c r="F58" i="103"/>
  <c r="F47" i="103"/>
  <c r="F43" i="103"/>
  <c r="F39" i="103"/>
  <c r="F60" i="103"/>
  <c r="F32" i="103"/>
  <c r="F28" i="103"/>
  <c r="L12" i="103"/>
  <c r="N12" i="103" s="1"/>
  <c r="F93" i="103"/>
  <c r="F55" i="103"/>
  <c r="F49" i="103"/>
  <c r="F19" i="103"/>
  <c r="F18" i="103"/>
  <c r="F85" i="103"/>
  <c r="F66" i="103"/>
  <c r="F36" i="103"/>
  <c r="F46" i="103"/>
  <c r="F40" i="103"/>
  <c r="F33" i="103"/>
  <c r="F29" i="103"/>
  <c r="F69" i="103"/>
  <c r="F61" i="103"/>
  <c r="F50" i="103"/>
  <c r="F20" i="103"/>
  <c r="F67" i="103"/>
  <c r="F51" i="103"/>
  <c r="F37" i="103"/>
  <c r="F34" i="103"/>
  <c r="F30" i="103"/>
  <c r="F72" i="103"/>
  <c r="F44" i="103"/>
  <c r="F21" i="103"/>
  <c r="F62" i="103"/>
  <c r="F38" i="103"/>
  <c r="F84" i="103"/>
  <c r="F74" i="103"/>
  <c r="F54" i="103"/>
  <c r="F31" i="103"/>
  <c r="F27" i="103"/>
  <c r="F26" i="103"/>
  <c r="F68" i="103"/>
  <c r="F63" i="103"/>
  <c r="F42" i="103"/>
  <c r="D23" i="103"/>
  <c r="F48" i="103"/>
  <c r="F25" i="103"/>
  <c r="F23" i="103"/>
  <c r="F35" i="103"/>
  <c r="R101" i="95"/>
  <c r="R73" i="95"/>
  <c r="R58" i="95"/>
  <c r="R57" i="95"/>
  <c r="R33" i="95"/>
  <c r="R29" i="95"/>
  <c r="R92" i="95"/>
  <c r="R84" i="95"/>
  <c r="R80" i="95"/>
  <c r="R69" i="95"/>
  <c r="R68" i="95"/>
  <c r="R49" i="95"/>
  <c r="R48" i="95"/>
  <c r="R20" i="95"/>
  <c r="R60" i="95"/>
  <c r="R59" i="95"/>
  <c r="R43" i="95"/>
  <c r="R39" i="95"/>
  <c r="R75" i="95"/>
  <c r="R74" i="95"/>
  <c r="R70" i="95"/>
  <c r="R51" i="95"/>
  <c r="R50" i="95"/>
  <c r="R34" i="95"/>
  <c r="R30" i="95"/>
  <c r="R94" i="95"/>
  <c r="R93" i="95"/>
  <c r="R86" i="95"/>
  <c r="R85" i="95"/>
  <c r="R81" i="95"/>
  <c r="R62" i="95"/>
  <c r="R61" i="95"/>
  <c r="R26" i="95"/>
  <c r="R21" i="95"/>
  <c r="R77" i="95"/>
  <c r="R76" i="95"/>
  <c r="R53" i="95"/>
  <c r="R52" i="95"/>
  <c r="R44" i="95"/>
  <c r="R40" i="95"/>
  <c r="R25" i="95"/>
  <c r="R23" i="95"/>
  <c r="R95" i="95"/>
  <c r="R87" i="95"/>
  <c r="R71" i="95"/>
  <c r="R64" i="95"/>
  <c r="R63" i="95"/>
  <c r="R36" i="95"/>
  <c r="R35" i="95"/>
  <c r="R31" i="95"/>
  <c r="R27" i="95"/>
  <c r="P23" i="95"/>
  <c r="R82" i="95"/>
  <c r="R78" i="95"/>
  <c r="R54" i="95"/>
  <c r="R66" i="95"/>
  <c r="R65" i="95"/>
  <c r="R45" i="95"/>
  <c r="R41" i="95"/>
  <c r="R37" i="95"/>
  <c r="R18" i="95"/>
  <c r="R97" i="95"/>
  <c r="R89" i="95"/>
  <c r="R88" i="95"/>
  <c r="R72" i="95"/>
  <c r="R32" i="95"/>
  <c r="R28" i="95"/>
  <c r="X12" i="95"/>
  <c r="Z12" i="95" s="1"/>
  <c r="R91" i="95"/>
  <c r="R90" i="95"/>
  <c r="R47" i="95"/>
  <c r="R46" i="95"/>
  <c r="R42" i="95"/>
  <c r="R38" i="95"/>
  <c r="R79" i="95"/>
  <c r="R83" i="95"/>
  <c r="R55" i="95"/>
  <c r="R19" i="95"/>
  <c r="R56" i="95"/>
  <c r="R67" i="95"/>
  <c r="D84" i="91"/>
  <c r="L16" i="91"/>
  <c r="F78" i="94"/>
  <c r="F76" i="94"/>
  <c r="F67" i="94"/>
  <c r="F47" i="94"/>
  <c r="F46" i="94"/>
  <c r="F31" i="94"/>
  <c r="F27" i="94"/>
  <c r="F80" i="94"/>
  <c r="F58" i="94"/>
  <c r="F49" i="94"/>
  <c r="F48" i="94"/>
  <c r="F41" i="94"/>
  <c r="F37" i="94"/>
  <c r="F68" i="94"/>
  <c r="F60" i="94"/>
  <c r="F59" i="94"/>
  <c r="F32" i="94"/>
  <c r="F28" i="94"/>
  <c r="F24" i="94"/>
  <c r="F23" i="94"/>
  <c r="F85" i="94"/>
  <c r="F82" i="94"/>
  <c r="F70" i="94"/>
  <c r="F69" i="94"/>
  <c r="F62" i="94"/>
  <c r="F61" i="94"/>
  <c r="F42" i="94"/>
  <c r="F38" i="94"/>
  <c r="F34" i="94"/>
  <c r="F33" i="94"/>
  <c r="F53" i="94"/>
  <c r="F52" i="94"/>
  <c r="F72" i="94"/>
  <c r="F71" i="94"/>
  <c r="F64" i="94"/>
  <c r="F63" i="94"/>
  <c r="F55" i="94"/>
  <c r="F54" i="94"/>
  <c r="F43" i="94"/>
  <c r="F39" i="94"/>
  <c r="F35" i="94"/>
  <c r="F74" i="94"/>
  <c r="F73" i="94"/>
  <c r="F66" i="94"/>
  <c r="F65" i="94"/>
  <c r="F40" i="94"/>
  <c r="F36" i="94"/>
  <c r="F44" i="94"/>
  <c r="F29" i="94"/>
  <c r="F20" i="94"/>
  <c r="D20" i="94"/>
  <c r="F50" i="94"/>
  <c r="F25" i="94"/>
  <c r="F45" i="94"/>
  <c r="F22" i="94"/>
  <c r="F51" i="94"/>
  <c r="F30" i="94"/>
  <c r="F56" i="94"/>
  <c r="F26" i="94"/>
  <c r="F18" i="94"/>
  <c r="F17" i="94"/>
  <c r="F57" i="94"/>
  <c r="L12" i="94"/>
  <c r="T84" i="91"/>
  <c r="Z16" i="91"/>
  <c r="R19" i="82"/>
  <c r="R42" i="82"/>
  <c r="R38" i="82"/>
  <c r="R51" i="82"/>
  <c r="R33" i="82"/>
  <c r="R29" i="82"/>
  <c r="R20" i="82"/>
  <c r="R43" i="82"/>
  <c r="R39" i="82"/>
  <c r="R35" i="82"/>
  <c r="R34" i="82"/>
  <c r="R30" i="82"/>
  <c r="R44" i="82"/>
  <c r="R40" i="82"/>
  <c r="R36" i="82"/>
  <c r="R25" i="82"/>
  <c r="R45" i="82"/>
  <c r="R18" i="82"/>
  <c r="R27" i="82"/>
  <c r="R41" i="82"/>
  <c r="X12" i="82"/>
  <c r="Z12" i="82" s="1"/>
  <c r="R37" i="82"/>
  <c r="R32" i="82"/>
  <c r="R21" i="82"/>
  <c r="R47" i="82"/>
  <c r="R31" i="82"/>
  <c r="P23" i="82"/>
  <c r="R26" i="82"/>
  <c r="R28" i="82"/>
  <c r="L27" i="75"/>
  <c r="D81" i="75"/>
  <c r="Z16" i="62"/>
  <c r="T22" i="62"/>
  <c r="X16" i="58"/>
  <c r="P76" i="58"/>
  <c r="T33" i="55"/>
  <c r="Z16" i="55"/>
  <c r="D58" i="60"/>
  <c r="L16" i="60"/>
  <c r="F123" i="36"/>
  <c r="F121" i="36"/>
  <c r="F92" i="36"/>
  <c r="F124" i="36"/>
  <c r="F115" i="36"/>
  <c r="F114" i="36"/>
  <c r="F107" i="36"/>
  <c r="F103" i="36"/>
  <c r="F99" i="36"/>
  <c r="F87" i="36"/>
  <c r="F71" i="36"/>
  <c r="F70" i="36"/>
  <c r="F125" i="36"/>
  <c r="F82" i="36"/>
  <c r="F93" i="36"/>
  <c r="F89" i="36"/>
  <c r="F88" i="36"/>
  <c r="F129" i="36"/>
  <c r="F95" i="36"/>
  <c r="F94" i="36"/>
  <c r="F83" i="36"/>
  <c r="F75" i="36"/>
  <c r="F74" i="36"/>
  <c r="F63" i="36"/>
  <c r="F62" i="36"/>
  <c r="F117" i="36"/>
  <c r="F122" i="36"/>
  <c r="F116" i="36"/>
  <c r="F113" i="36"/>
  <c r="F108" i="36"/>
  <c r="F81" i="36"/>
  <c r="F55" i="36"/>
  <c r="F54" i="36"/>
  <c r="F39" i="36"/>
  <c r="F35" i="36"/>
  <c r="F31" i="36"/>
  <c r="F30" i="36"/>
  <c r="F29" i="36"/>
  <c r="F27" i="36"/>
  <c r="F78" i="36"/>
  <c r="F66" i="36"/>
  <c r="F61" i="36"/>
  <c r="F56" i="36"/>
  <c r="F49" i="36"/>
  <c r="F45" i="36"/>
  <c r="D27" i="36"/>
  <c r="F119" i="36"/>
  <c r="F111" i="36"/>
  <c r="F106" i="36"/>
  <c r="F104" i="36"/>
  <c r="F84" i="36"/>
  <c r="F97" i="36"/>
  <c r="F90" i="36"/>
  <c r="F109" i="36"/>
  <c r="F102" i="36"/>
  <c r="F100" i="36"/>
  <c r="F79" i="36"/>
  <c r="F67" i="36"/>
  <c r="F58" i="36"/>
  <c r="F50" i="36"/>
  <c r="F46" i="36"/>
  <c r="F42" i="36"/>
  <c r="F41" i="36"/>
  <c r="F72" i="36"/>
  <c r="F59" i="36"/>
  <c r="F37" i="36"/>
  <c r="F33" i="36"/>
  <c r="F112" i="36"/>
  <c r="F98" i="36"/>
  <c r="F85" i="36"/>
  <c r="F24" i="36"/>
  <c r="L12" i="36"/>
  <c r="N12" i="36" s="1"/>
  <c r="F105" i="36"/>
  <c r="F80" i="36"/>
  <c r="F73" i="36"/>
  <c r="F64" i="36"/>
  <c r="F38" i="36"/>
  <c r="F34" i="36"/>
  <c r="F101" i="36"/>
  <c r="F96" i="36"/>
  <c r="F65" i="36"/>
  <c r="F48" i="36"/>
  <c r="F44" i="36"/>
  <c r="F86" i="36"/>
  <c r="F76" i="36"/>
  <c r="F60" i="36"/>
  <c r="F51" i="36"/>
  <c r="F32" i="36"/>
  <c r="F69" i="36"/>
  <c r="F47" i="36"/>
  <c r="F43" i="36"/>
  <c r="F22" i="36"/>
  <c r="F118" i="36"/>
  <c r="F52" i="36"/>
  <c r="F77" i="36"/>
  <c r="F36" i="36"/>
  <c r="F23" i="36"/>
  <c r="F25" i="36"/>
  <c r="F40" i="36"/>
  <c r="F91" i="36"/>
  <c r="F68" i="36"/>
  <c r="F57" i="36"/>
  <c r="F110" i="36"/>
  <c r="F53" i="36"/>
  <c r="T165" i="30"/>
  <c r="T96" i="24"/>
  <c r="R239" i="18"/>
  <c r="R229" i="18"/>
  <c r="R221" i="18"/>
  <c r="R217" i="18"/>
  <c r="R201" i="18"/>
  <c r="R185" i="18"/>
  <c r="R178" i="18"/>
  <c r="R177" i="18"/>
  <c r="R170" i="18"/>
  <c r="R169" i="18"/>
  <c r="R162" i="18"/>
  <c r="R161" i="18"/>
  <c r="R240" i="18"/>
  <c r="R213" i="18"/>
  <c r="R212" i="18"/>
  <c r="R196" i="18"/>
  <c r="R156" i="18"/>
  <c r="R152" i="18"/>
  <c r="R137" i="18"/>
  <c r="R207" i="18"/>
  <c r="R180" i="18"/>
  <c r="R179" i="18"/>
  <c r="R230" i="18"/>
  <c r="R223" i="18"/>
  <c r="R222" i="18"/>
  <c r="R218" i="18"/>
  <c r="R214" i="18"/>
  <c r="R202" i="18"/>
  <c r="R187" i="18"/>
  <c r="R186" i="18"/>
  <c r="R130" i="18"/>
  <c r="R126" i="18"/>
  <c r="R122" i="18"/>
  <c r="R118" i="18"/>
  <c r="R114" i="18"/>
  <c r="R110" i="18"/>
  <c r="R106" i="18"/>
  <c r="R102" i="18"/>
  <c r="R98" i="18"/>
  <c r="R94" i="18"/>
  <c r="R197" i="18"/>
  <c r="R181" i="18"/>
  <c r="R244" i="18"/>
  <c r="R224" i="18"/>
  <c r="R208" i="18"/>
  <c r="R189" i="18"/>
  <c r="R188" i="18"/>
  <c r="R173" i="18"/>
  <c r="R172" i="18"/>
  <c r="R232" i="18"/>
  <c r="R231" i="18"/>
  <c r="R219" i="18"/>
  <c r="R215" i="18"/>
  <c r="R203" i="18"/>
  <c r="R198" i="18"/>
  <c r="R191" i="18"/>
  <c r="R190" i="18"/>
  <c r="R183" i="18"/>
  <c r="R182" i="18"/>
  <c r="R174" i="18"/>
  <c r="R167" i="18"/>
  <c r="R166" i="18"/>
  <c r="R238" i="18"/>
  <c r="R206" i="18"/>
  <c r="R195" i="18"/>
  <c r="R194" i="18"/>
  <c r="R146" i="18"/>
  <c r="R142" i="18"/>
  <c r="R193" i="18"/>
  <c r="R175" i="18"/>
  <c r="R140" i="18"/>
  <c r="R101" i="18"/>
  <c r="R171" i="18"/>
  <c r="R132" i="18"/>
  <c r="R129" i="18"/>
  <c r="R123" i="18"/>
  <c r="R120" i="18"/>
  <c r="R117" i="18"/>
  <c r="R236" i="18"/>
  <c r="R216" i="18"/>
  <c r="R199" i="18"/>
  <c r="R164" i="18"/>
  <c r="R143" i="18"/>
  <c r="R138" i="18"/>
  <c r="R111" i="18"/>
  <c r="R108" i="18"/>
  <c r="R95" i="18"/>
  <c r="R92" i="18"/>
  <c r="R233" i="18"/>
  <c r="R227" i="18"/>
  <c r="R225" i="18"/>
  <c r="R151" i="18"/>
  <c r="R148" i="18"/>
  <c r="R105" i="18"/>
  <c r="R205" i="18"/>
  <c r="R165" i="18"/>
  <c r="R159" i="18"/>
  <c r="R154" i="18"/>
  <c r="R149" i="18"/>
  <c r="R141" i="18"/>
  <c r="R176" i="18"/>
  <c r="R157" i="18"/>
  <c r="R133" i="18"/>
  <c r="R127" i="18"/>
  <c r="R124" i="18"/>
  <c r="R121" i="18"/>
  <c r="R115" i="18"/>
  <c r="R112" i="18"/>
  <c r="R99" i="18"/>
  <c r="R96" i="18"/>
  <c r="X12" i="18"/>
  <c r="Z12" i="18" s="1"/>
  <c r="R220" i="18"/>
  <c r="R211" i="18"/>
  <c r="R209" i="18"/>
  <c r="R160" i="18"/>
  <c r="R139" i="18"/>
  <c r="R109" i="18"/>
  <c r="R93" i="18"/>
  <c r="R226" i="18"/>
  <c r="R200" i="18"/>
  <c r="R192" i="18"/>
  <c r="R184" i="18"/>
  <c r="R144" i="18"/>
  <c r="R237" i="18"/>
  <c r="R228" i="18"/>
  <c r="R168" i="18"/>
  <c r="R163" i="18"/>
  <c r="R103" i="18"/>
  <c r="R100" i="18"/>
  <c r="R90" i="18"/>
  <c r="R204" i="18"/>
  <c r="R158" i="18"/>
  <c r="R145" i="18"/>
  <c r="R107" i="18"/>
  <c r="R104" i="18"/>
  <c r="R91" i="18"/>
  <c r="R155" i="18"/>
  <c r="R131" i="18"/>
  <c r="R125" i="18"/>
  <c r="R150" i="18"/>
  <c r="R97" i="18"/>
  <c r="R210" i="18"/>
  <c r="R235" i="18"/>
  <c r="R147" i="18"/>
  <c r="R116" i="18"/>
  <c r="R128" i="18"/>
  <c r="R153" i="18"/>
  <c r="P135" i="18"/>
  <c r="R119" i="18"/>
  <c r="R113" i="18"/>
  <c r="T261" i="3"/>
  <c r="H27" i="110"/>
  <c r="N18" i="110"/>
  <c r="L18" i="110"/>
  <c r="D27" i="110"/>
  <c r="T27" i="110"/>
  <c r="Z18" i="110"/>
  <c r="L18" i="47"/>
  <c r="D27" i="47"/>
  <c r="X18" i="43"/>
  <c r="P27" i="43"/>
  <c r="T27" i="40"/>
  <c r="Z18" i="40"/>
  <c r="L18" i="28"/>
  <c r="D27" i="28"/>
  <c r="D27" i="23"/>
  <c r="L18" i="23"/>
  <c r="T27" i="29"/>
  <c r="Z18" i="29"/>
  <c r="P27" i="10"/>
  <c r="X18" i="10"/>
  <c r="N18" i="10"/>
  <c r="H27" i="10"/>
  <c r="T27" i="14"/>
  <c r="Z18" i="14"/>
  <c r="T27" i="8"/>
  <c r="Z18" i="8"/>
  <c r="T84" i="93"/>
  <c r="T82" i="94"/>
  <c r="D101" i="76"/>
  <c r="L46" i="76"/>
  <c r="H81" i="33"/>
  <c r="L18" i="40"/>
  <c r="D27" i="40"/>
  <c r="N16" i="108"/>
  <c r="H24" i="108"/>
  <c r="T93" i="107"/>
  <c r="H91" i="103"/>
  <c r="Z16" i="101"/>
  <c r="T39" i="101"/>
  <c r="X16" i="101"/>
  <c r="P39" i="101"/>
  <c r="P56" i="99"/>
  <c r="X16" i="99"/>
  <c r="P89" i="97"/>
  <c r="X85" i="97"/>
  <c r="Z85" i="97" s="1"/>
  <c r="X19" i="93"/>
  <c r="P80" i="93"/>
  <c r="R115" i="84"/>
  <c r="R107" i="84"/>
  <c r="R96" i="84"/>
  <c r="R95" i="84"/>
  <c r="R79" i="84"/>
  <c r="R68" i="84"/>
  <c r="R67" i="84"/>
  <c r="R117" i="84"/>
  <c r="R102" i="84"/>
  <c r="R90" i="84"/>
  <c r="R62" i="84"/>
  <c r="R58" i="84"/>
  <c r="R35" i="84"/>
  <c r="X12" i="84"/>
  <c r="Z12" i="84" s="1"/>
  <c r="R97" i="84"/>
  <c r="R109" i="84"/>
  <c r="R108" i="84"/>
  <c r="R81" i="84"/>
  <c r="R80" i="84"/>
  <c r="R45" i="84"/>
  <c r="R121" i="84"/>
  <c r="R103" i="84"/>
  <c r="R92" i="84"/>
  <c r="R91" i="84"/>
  <c r="R72" i="84"/>
  <c r="R71" i="84"/>
  <c r="R63" i="84"/>
  <c r="R59" i="84"/>
  <c r="R111" i="84"/>
  <c r="R110" i="84"/>
  <c r="R99" i="84"/>
  <c r="R98" i="84"/>
  <c r="R93" i="84"/>
  <c r="R74" i="84"/>
  <c r="R73" i="84"/>
  <c r="R37" i="84"/>
  <c r="R112" i="84"/>
  <c r="R104" i="84"/>
  <c r="R100" i="84"/>
  <c r="R85" i="84"/>
  <c r="R84" i="84"/>
  <c r="R64" i="84"/>
  <c r="R60" i="84"/>
  <c r="R56" i="84"/>
  <c r="R94" i="84"/>
  <c r="R87" i="84"/>
  <c r="R86" i="84"/>
  <c r="R88" i="84"/>
  <c r="R51" i="84"/>
  <c r="R46" i="84"/>
  <c r="R77" i="84"/>
  <c r="R69" i="84"/>
  <c r="R42" i="84"/>
  <c r="R101" i="84"/>
  <c r="R49" i="84"/>
  <c r="P42" i="84"/>
  <c r="R38" i="84"/>
  <c r="R89" i="84"/>
  <c r="R65" i="84"/>
  <c r="R54" i="84"/>
  <c r="R82" i="84"/>
  <c r="R70" i="84"/>
  <c r="R61" i="84"/>
  <c r="R57" i="84"/>
  <c r="R47" i="84"/>
  <c r="R44" i="84"/>
  <c r="R113" i="84"/>
  <c r="R105" i="84"/>
  <c r="R78" i="84"/>
  <c r="R52" i="84"/>
  <c r="R39" i="84"/>
  <c r="R75" i="84"/>
  <c r="R55" i="84"/>
  <c r="R36" i="84"/>
  <c r="R83" i="84"/>
  <c r="R66" i="84"/>
  <c r="R50" i="84"/>
  <c r="R76" i="84"/>
  <c r="R48" i="84"/>
  <c r="R106" i="84"/>
  <c r="R53" i="84"/>
  <c r="R40" i="84"/>
  <c r="R114" i="84"/>
  <c r="H90" i="83"/>
  <c r="Z21" i="79"/>
  <c r="T78" i="79"/>
  <c r="D90" i="83"/>
  <c r="L21" i="83"/>
  <c r="N21" i="83" s="1"/>
  <c r="T153" i="74"/>
  <c r="N27" i="75"/>
  <c r="H81" i="75"/>
  <c r="L18" i="69"/>
  <c r="D66" i="69"/>
  <c r="P149" i="74"/>
  <c r="X76" i="74"/>
  <c r="Z76" i="74" s="1"/>
  <c r="H71" i="59"/>
  <c r="N16" i="59"/>
  <c r="T58" i="60"/>
  <c r="Z16" i="60"/>
  <c r="H120" i="42"/>
  <c r="N25" i="42"/>
  <c r="T26" i="54"/>
  <c r="Z22" i="54"/>
  <c r="T120" i="42"/>
  <c r="R109" i="42"/>
  <c r="R102" i="42"/>
  <c r="R101" i="42"/>
  <c r="R97" i="42"/>
  <c r="R93" i="42"/>
  <c r="R57" i="42"/>
  <c r="R21" i="42"/>
  <c r="R122" i="42"/>
  <c r="R88" i="42"/>
  <c r="R76" i="42"/>
  <c r="R69" i="42"/>
  <c r="R68" i="42"/>
  <c r="R49" i="42"/>
  <c r="R48" i="42"/>
  <c r="R44" i="42"/>
  <c r="R40" i="42"/>
  <c r="X12" i="42"/>
  <c r="Z12" i="42" s="1"/>
  <c r="R103" i="42"/>
  <c r="R83" i="42"/>
  <c r="R35" i="42"/>
  <c r="R31" i="42"/>
  <c r="R111" i="42"/>
  <c r="R110" i="42"/>
  <c r="R98" i="42"/>
  <c r="R94" i="42"/>
  <c r="R90" i="42"/>
  <c r="R89" i="42"/>
  <c r="R78" i="42"/>
  <c r="R77" i="42"/>
  <c r="R45" i="42"/>
  <c r="R41" i="42"/>
  <c r="R112" i="42"/>
  <c r="R105" i="42"/>
  <c r="R104" i="42"/>
  <c r="R84" i="42"/>
  <c r="R73" i="42"/>
  <c r="R72" i="42"/>
  <c r="R61" i="42"/>
  <c r="R60" i="42"/>
  <c r="R53" i="42"/>
  <c r="R52" i="42"/>
  <c r="R36" i="42"/>
  <c r="R32" i="42"/>
  <c r="R115" i="42"/>
  <c r="R114" i="42"/>
  <c r="R99" i="42"/>
  <c r="R95" i="42"/>
  <c r="R91" i="42"/>
  <c r="R79" i="42"/>
  <c r="R28" i="42"/>
  <c r="R23" i="42"/>
  <c r="R116" i="42"/>
  <c r="R107" i="42"/>
  <c r="R106" i="42"/>
  <c r="R74" i="42"/>
  <c r="R63" i="42"/>
  <c r="R62" i="42"/>
  <c r="R55" i="42"/>
  <c r="R54" i="42"/>
  <c r="R46" i="42"/>
  <c r="R42" i="42"/>
  <c r="R27" i="42"/>
  <c r="R117" i="42"/>
  <c r="R85" i="42"/>
  <c r="R38" i="42"/>
  <c r="R37" i="42"/>
  <c r="R33" i="42"/>
  <c r="R29" i="42"/>
  <c r="R87" i="42"/>
  <c r="R86" i="42"/>
  <c r="R82" i="42"/>
  <c r="R67" i="42"/>
  <c r="R66" i="42"/>
  <c r="R34" i="42"/>
  <c r="R30" i="42"/>
  <c r="R96" i="42"/>
  <c r="R81" i="42"/>
  <c r="R56" i="42"/>
  <c r="R50" i="42"/>
  <c r="R20" i="42"/>
  <c r="R108" i="42"/>
  <c r="R71" i="42"/>
  <c r="R58" i="42"/>
  <c r="P25" i="42"/>
  <c r="R25" i="42" s="1"/>
  <c r="R22" i="42"/>
  <c r="R118" i="42"/>
  <c r="R100" i="42"/>
  <c r="R65" i="42"/>
  <c r="R39" i="42"/>
  <c r="R75" i="42"/>
  <c r="R59" i="42"/>
  <c r="R51" i="42"/>
  <c r="R43" i="42"/>
  <c r="R47" i="42"/>
  <c r="R64" i="42"/>
  <c r="R70" i="42"/>
  <c r="R80" i="42"/>
  <c r="R92" i="42"/>
  <c r="F74" i="33"/>
  <c r="F73" i="33"/>
  <c r="F50" i="33"/>
  <c r="F46" i="33"/>
  <c r="F42" i="33"/>
  <c r="F69" i="33"/>
  <c r="F61" i="33"/>
  <c r="F37" i="33"/>
  <c r="F33" i="33"/>
  <c r="F79" i="33"/>
  <c r="F70" i="33"/>
  <c r="F54" i="33"/>
  <c r="F53" i="33"/>
  <c r="F38" i="33"/>
  <c r="F34" i="33"/>
  <c r="F78" i="33"/>
  <c r="F64" i="33"/>
  <c r="F56" i="33"/>
  <c r="F55" i="33"/>
  <c r="F48" i="33"/>
  <c r="F44" i="33"/>
  <c r="F66" i="33"/>
  <c r="F65" i="33"/>
  <c r="F58" i="33"/>
  <c r="F57" i="33"/>
  <c r="F29" i="33"/>
  <c r="F27" i="33"/>
  <c r="F25" i="33"/>
  <c r="L12" i="33"/>
  <c r="N12" i="33" s="1"/>
  <c r="F72" i="33"/>
  <c r="F68" i="33"/>
  <c r="F67" i="33"/>
  <c r="F60" i="33"/>
  <c r="F59" i="33"/>
  <c r="F36" i="33"/>
  <c r="F32" i="33"/>
  <c r="F43" i="33"/>
  <c r="F31" i="33"/>
  <c r="F83" i="33"/>
  <c r="F76" i="33"/>
  <c r="F35" i="33"/>
  <c r="F62" i="33"/>
  <c r="F52" i="33"/>
  <c r="F39" i="33"/>
  <c r="D27" i="33"/>
  <c r="F75" i="33"/>
  <c r="F40" i="33"/>
  <c r="F30" i="33"/>
  <c r="F63" i="33"/>
  <c r="F71" i="33"/>
  <c r="F51" i="33"/>
  <c r="F49" i="33"/>
  <c r="F47" i="33"/>
  <c r="F45" i="33"/>
  <c r="F41" i="33"/>
  <c r="H105" i="45"/>
  <c r="R81" i="33"/>
  <c r="V106" i="21"/>
  <c r="H225" i="12"/>
  <c r="R183" i="12"/>
  <c r="R182" i="12"/>
  <c r="R166" i="12"/>
  <c r="R159" i="12"/>
  <c r="R158" i="12"/>
  <c r="R151" i="12"/>
  <c r="R150" i="12"/>
  <c r="R143" i="12"/>
  <c r="R142" i="12"/>
  <c r="R119" i="12"/>
  <c r="R114" i="12"/>
  <c r="R110" i="12"/>
  <c r="R106" i="12"/>
  <c r="R102" i="12"/>
  <c r="R98" i="12"/>
  <c r="R94" i="12"/>
  <c r="R90" i="12"/>
  <c r="R86" i="12"/>
  <c r="R82" i="12"/>
  <c r="R217" i="12"/>
  <c r="R210" i="12"/>
  <c r="R209" i="12"/>
  <c r="R194" i="12"/>
  <c r="R193" i="12"/>
  <c r="R189" i="12"/>
  <c r="R178" i="12"/>
  <c r="R177" i="12"/>
  <c r="R137" i="12"/>
  <c r="R133" i="12"/>
  <c r="R118" i="12"/>
  <c r="R78" i="12"/>
  <c r="R220" i="12"/>
  <c r="R219" i="12"/>
  <c r="R204" i="12"/>
  <c r="R200" i="12"/>
  <c r="R184" i="12"/>
  <c r="R161" i="12"/>
  <c r="R160" i="12"/>
  <c r="R152" i="12"/>
  <c r="R144" i="12"/>
  <c r="R128" i="12"/>
  <c r="R124" i="12"/>
  <c r="R120" i="12"/>
  <c r="P116" i="12"/>
  <c r="X12" i="12"/>
  <c r="Z12" i="12" s="1"/>
  <c r="R222" i="12"/>
  <c r="R190" i="12"/>
  <c r="R162" i="12"/>
  <c r="R138" i="12"/>
  <c r="R134" i="12"/>
  <c r="R223" i="12"/>
  <c r="R213" i="12"/>
  <c r="R205" i="12"/>
  <c r="R201" i="12"/>
  <c r="R185" i="12"/>
  <c r="R170" i="12"/>
  <c r="R169" i="12"/>
  <c r="R154" i="12"/>
  <c r="R153" i="12"/>
  <c r="R146" i="12"/>
  <c r="R145" i="12"/>
  <c r="R130" i="12"/>
  <c r="R129" i="12"/>
  <c r="R125" i="12"/>
  <c r="R121" i="12"/>
  <c r="R197" i="12"/>
  <c r="R196" i="12"/>
  <c r="R180" i="12"/>
  <c r="R112" i="12"/>
  <c r="R108" i="12"/>
  <c r="R104" i="12"/>
  <c r="R100" i="12"/>
  <c r="R96" i="12"/>
  <c r="R92" i="12"/>
  <c r="R88" i="12"/>
  <c r="R84" i="12"/>
  <c r="R80" i="12"/>
  <c r="R191" i="12"/>
  <c r="R172" i="12"/>
  <c r="R171" i="12"/>
  <c r="R164" i="12"/>
  <c r="R163" i="12"/>
  <c r="R155" i="12"/>
  <c r="R148" i="12"/>
  <c r="R147" i="12"/>
  <c r="R139" i="12"/>
  <c r="R135" i="12"/>
  <c r="R131" i="12"/>
  <c r="R216" i="12"/>
  <c r="R215" i="12"/>
  <c r="R203" i="12"/>
  <c r="R199" i="12"/>
  <c r="R188" i="12"/>
  <c r="R187" i="12"/>
  <c r="R176" i="12"/>
  <c r="R175" i="12"/>
  <c r="R127" i="12"/>
  <c r="R123" i="12"/>
  <c r="R97" i="12"/>
  <c r="R79" i="12"/>
  <c r="R101" i="12"/>
  <c r="R83" i="12"/>
  <c r="R195" i="12"/>
  <c r="R95" i="12"/>
  <c r="R227" i="12"/>
  <c r="R149" i="12"/>
  <c r="R132" i="12"/>
  <c r="R93" i="12"/>
  <c r="R207" i="12"/>
  <c r="R173" i="12"/>
  <c r="R140" i="12"/>
  <c r="R136" i="12"/>
  <c r="R156" i="12"/>
  <c r="R113" i="12"/>
  <c r="R91" i="12"/>
  <c r="R198" i="12"/>
  <c r="R186" i="12"/>
  <c r="R165" i="12"/>
  <c r="R111" i="12"/>
  <c r="R89" i="12"/>
  <c r="R211" i="12"/>
  <c r="R192" i="12"/>
  <c r="R174" i="12"/>
  <c r="R167" i="12"/>
  <c r="R109" i="12"/>
  <c r="R122" i="12"/>
  <c r="R141" i="12"/>
  <c r="R107" i="12"/>
  <c r="R87" i="12"/>
  <c r="R202" i="12"/>
  <c r="R105" i="12"/>
  <c r="R85" i="12"/>
  <c r="R157" i="12"/>
  <c r="R103" i="12"/>
  <c r="R221" i="12"/>
  <c r="R214" i="12"/>
  <c r="R212" i="12"/>
  <c r="R208" i="12"/>
  <c r="R206" i="12"/>
  <c r="R181" i="12"/>
  <c r="R179" i="12"/>
  <c r="R168" i="12"/>
  <c r="R126" i="12"/>
  <c r="R99" i="12"/>
  <c r="R81" i="12"/>
  <c r="J144" i="3"/>
  <c r="L18" i="111"/>
  <c r="D27" i="111"/>
  <c r="P27" i="110"/>
  <c r="X18" i="110"/>
  <c r="T27" i="53"/>
  <c r="Z18" i="53"/>
  <c r="H27" i="43"/>
  <c r="N18" i="43"/>
  <c r="D27" i="35"/>
  <c r="L18" i="35"/>
  <c r="D27" i="29"/>
  <c r="L18" i="29"/>
  <c r="T27" i="35"/>
  <c r="Z18" i="35"/>
  <c r="H27" i="35"/>
  <c r="N18" i="35"/>
  <c r="T27" i="28"/>
  <c r="Z18" i="28"/>
  <c r="H27" i="23"/>
  <c r="N18" i="23"/>
  <c r="L18" i="25"/>
  <c r="D27" i="25"/>
  <c r="X18" i="16"/>
  <c r="P27" i="16"/>
  <c r="H27" i="11"/>
  <c r="N18" i="11"/>
  <c r="D27" i="11"/>
  <c r="L18" i="11"/>
  <c r="H27" i="19"/>
  <c r="N18" i="19"/>
  <c r="L18" i="10"/>
  <c r="D27" i="10"/>
  <c r="P22" i="54"/>
  <c r="X16" i="54"/>
  <c r="X17" i="109"/>
  <c r="Z17" i="109" s="1"/>
  <c r="P71" i="109"/>
  <c r="T98" i="103"/>
  <c r="L19" i="107"/>
  <c r="N19" i="107" s="1"/>
  <c r="D86" i="107"/>
  <c r="X16" i="104"/>
  <c r="P24" i="104"/>
  <c r="D39" i="101"/>
  <c r="L16" i="101"/>
  <c r="L17" i="98"/>
  <c r="D25" i="98"/>
  <c r="T94" i="87"/>
  <c r="R24" i="85"/>
  <c r="P20" i="85"/>
  <c r="R26" i="85"/>
  <c r="R30" i="85"/>
  <c r="X12" i="85"/>
  <c r="Z12" i="85" s="1"/>
  <c r="R16" i="85"/>
  <c r="R17" i="85"/>
  <c r="R23" i="85"/>
  <c r="R18" i="85"/>
  <c r="R22" i="85"/>
  <c r="L19" i="80"/>
  <c r="D70" i="80"/>
  <c r="T92" i="68"/>
  <c r="F46" i="76"/>
  <c r="H66" i="69"/>
  <c r="N18" i="69"/>
  <c r="F82" i="68"/>
  <c r="F66" i="68"/>
  <c r="F37" i="68"/>
  <c r="F35" i="68"/>
  <c r="F30" i="68"/>
  <c r="F26" i="68"/>
  <c r="F25" i="68"/>
  <c r="L12" i="68"/>
  <c r="N12" i="68" s="1"/>
  <c r="F92" i="68"/>
  <c r="F90" i="68"/>
  <c r="F77" i="68"/>
  <c r="F76" i="68"/>
  <c r="F57" i="68"/>
  <c r="F53" i="68"/>
  <c r="F49" i="68"/>
  <c r="D35" i="68"/>
  <c r="F94" i="68"/>
  <c r="F68" i="68"/>
  <c r="F67" i="68"/>
  <c r="F44" i="68"/>
  <c r="F40" i="68"/>
  <c r="F78" i="68"/>
  <c r="F70" i="68"/>
  <c r="F69" i="68"/>
  <c r="F54" i="68"/>
  <c r="F50" i="68"/>
  <c r="F99" i="68"/>
  <c r="F96" i="68"/>
  <c r="F85" i="68"/>
  <c r="F84" i="68"/>
  <c r="F80" i="68"/>
  <c r="F79" i="68"/>
  <c r="F72" i="68"/>
  <c r="F71" i="68"/>
  <c r="F32" i="68"/>
  <c r="F28" i="68"/>
  <c r="F63" i="68"/>
  <c r="F62" i="68"/>
  <c r="F55" i="68"/>
  <c r="F51" i="68"/>
  <c r="F86" i="68"/>
  <c r="F74" i="68"/>
  <c r="F73" i="68"/>
  <c r="F46" i="68"/>
  <c r="F42" i="68"/>
  <c r="F75" i="68"/>
  <c r="F43" i="68"/>
  <c r="F39" i="68"/>
  <c r="F38" i="68"/>
  <c r="F81" i="68"/>
  <c r="F47" i="68"/>
  <c r="F45" i="68"/>
  <c r="F87" i="68"/>
  <c r="F83" i="68"/>
  <c r="F65" i="68"/>
  <c r="F60" i="68"/>
  <c r="F58" i="68"/>
  <c r="F61" i="68"/>
  <c r="F56" i="68"/>
  <c r="F52" i="68"/>
  <c r="F48" i="68"/>
  <c r="F88" i="68"/>
  <c r="F59" i="68"/>
  <c r="F64" i="68"/>
  <c r="F33" i="68"/>
  <c r="F27" i="68"/>
  <c r="F41" i="68"/>
  <c r="F29" i="68"/>
  <c r="F31" i="68"/>
  <c r="N17" i="57"/>
  <c r="H73" i="57"/>
  <c r="Z16" i="58"/>
  <c r="T76" i="58"/>
  <c r="H62" i="60"/>
  <c r="F82" i="24"/>
  <c r="F66" i="24"/>
  <c r="F37" i="24"/>
  <c r="F35" i="24"/>
  <c r="F30" i="24"/>
  <c r="F26" i="24"/>
  <c r="F25" i="24"/>
  <c r="L12" i="24"/>
  <c r="N12" i="24" s="1"/>
  <c r="F92" i="24"/>
  <c r="F90" i="24"/>
  <c r="F77" i="24"/>
  <c r="F76" i="24"/>
  <c r="F57" i="24"/>
  <c r="F53" i="24"/>
  <c r="F49" i="24"/>
  <c r="D35" i="24"/>
  <c r="F94" i="24"/>
  <c r="F68" i="24"/>
  <c r="F67" i="24"/>
  <c r="F44" i="24"/>
  <c r="F40" i="24"/>
  <c r="F83" i="24"/>
  <c r="F59" i="24"/>
  <c r="F58" i="24"/>
  <c r="F31" i="24"/>
  <c r="F27" i="24"/>
  <c r="F99" i="24"/>
  <c r="F96" i="24"/>
  <c r="F85" i="24"/>
  <c r="F84" i="24"/>
  <c r="F61" i="24"/>
  <c r="F60" i="24"/>
  <c r="F45" i="24"/>
  <c r="F41" i="24"/>
  <c r="F80" i="24"/>
  <c r="F79" i="24"/>
  <c r="F72" i="24"/>
  <c r="F71" i="24"/>
  <c r="F32" i="24"/>
  <c r="F28" i="24"/>
  <c r="F81" i="24"/>
  <c r="F65" i="24"/>
  <c r="F64" i="24"/>
  <c r="F33" i="24"/>
  <c r="F29" i="24"/>
  <c r="F47" i="24"/>
  <c r="F88" i="24"/>
  <c r="F73" i="24"/>
  <c r="F63" i="24"/>
  <c r="F56" i="24"/>
  <c r="F52" i="24"/>
  <c r="F48" i="24"/>
  <c r="F38" i="24"/>
  <c r="F54" i="24"/>
  <c r="F50" i="24"/>
  <c r="F43" i="24"/>
  <c r="F74" i="24"/>
  <c r="F86" i="24"/>
  <c r="F39" i="24"/>
  <c r="F69" i="24"/>
  <c r="F55" i="24"/>
  <c r="F51" i="24"/>
  <c r="F46" i="24"/>
  <c r="F75" i="24"/>
  <c r="F42" i="24"/>
  <c r="F78" i="24"/>
  <c r="F70" i="24"/>
  <c r="F62" i="24"/>
  <c r="F87" i="24"/>
  <c r="H222" i="15"/>
  <c r="X112" i="15"/>
  <c r="Z112" i="15" s="1"/>
  <c r="P218" i="15"/>
  <c r="T27" i="50"/>
  <c r="Z18" i="50"/>
  <c r="P27" i="52"/>
  <c r="X18" i="52"/>
  <c r="L18" i="43"/>
  <c r="D27" i="43"/>
  <c r="D27" i="41"/>
  <c r="L18" i="41"/>
  <c r="P27" i="31"/>
  <c r="X18" i="31"/>
  <c r="T27" i="20"/>
  <c r="Z18" i="20"/>
  <c r="H27" i="16"/>
  <c r="N18" i="16"/>
  <c r="D27" i="5"/>
  <c r="L18" i="5"/>
  <c r="L18" i="4"/>
  <c r="D27" i="4"/>
  <c r="D24" i="108"/>
  <c r="L16" i="108"/>
  <c r="L16" i="62"/>
  <c r="D22" i="62"/>
  <c r="H27" i="49"/>
  <c r="N18" i="49"/>
  <c r="D71" i="109"/>
  <c r="L17" i="109"/>
  <c r="R89" i="105"/>
  <c r="R91" i="105"/>
  <c r="R90" i="105"/>
  <c r="R85" i="105"/>
  <c r="R81" i="105"/>
  <c r="R92" i="105"/>
  <c r="R94" i="105"/>
  <c r="R79" i="105"/>
  <c r="R67" i="105"/>
  <c r="R56" i="105"/>
  <c r="R55" i="105"/>
  <c r="R19" i="105"/>
  <c r="R88" i="105"/>
  <c r="R46" i="105"/>
  <c r="R42" i="105"/>
  <c r="R38" i="105"/>
  <c r="R73" i="105"/>
  <c r="R58" i="105"/>
  <c r="R57" i="105"/>
  <c r="R33" i="105"/>
  <c r="R29" i="105"/>
  <c r="R83" i="105"/>
  <c r="R68" i="105"/>
  <c r="R20" i="105"/>
  <c r="R98" i="105"/>
  <c r="R80" i="105"/>
  <c r="R60" i="105"/>
  <c r="R59" i="105"/>
  <c r="R48" i="105"/>
  <c r="R47" i="105"/>
  <c r="R43" i="105"/>
  <c r="R39" i="105"/>
  <c r="R86" i="105"/>
  <c r="R74" i="105"/>
  <c r="R34" i="105"/>
  <c r="R30" i="105"/>
  <c r="R69" i="105"/>
  <c r="R62" i="105"/>
  <c r="R61" i="105"/>
  <c r="R50" i="105"/>
  <c r="R49" i="105"/>
  <c r="R26" i="105"/>
  <c r="R21" i="105"/>
  <c r="R44" i="105"/>
  <c r="R40" i="105"/>
  <c r="R25" i="105"/>
  <c r="R23" i="105"/>
  <c r="R84" i="105"/>
  <c r="R76" i="105"/>
  <c r="R75" i="105"/>
  <c r="R64" i="105"/>
  <c r="R63" i="105"/>
  <c r="R52" i="105"/>
  <c r="R51" i="105"/>
  <c r="R35" i="105"/>
  <c r="R31" i="105"/>
  <c r="R27" i="105"/>
  <c r="P23" i="105"/>
  <c r="R71" i="105"/>
  <c r="R70" i="105"/>
  <c r="R82" i="105"/>
  <c r="R72" i="105"/>
  <c r="R37" i="105"/>
  <c r="R36" i="105"/>
  <c r="R32" i="105"/>
  <c r="R28" i="105"/>
  <c r="X12" i="105"/>
  <c r="Z12" i="105" s="1"/>
  <c r="R54" i="105"/>
  <c r="R78" i="105"/>
  <c r="R66" i="105"/>
  <c r="R41" i="105"/>
  <c r="R18" i="105"/>
  <c r="R45" i="105"/>
  <c r="R87" i="105"/>
  <c r="R77" i="105"/>
  <c r="R53" i="105"/>
  <c r="R65" i="105"/>
  <c r="X16" i="91"/>
  <c r="P84" i="91"/>
  <c r="R92" i="83"/>
  <c r="R85" i="83"/>
  <c r="R84" i="83"/>
  <c r="R63" i="83"/>
  <c r="R62" i="83"/>
  <c r="R42" i="83"/>
  <c r="R38" i="83"/>
  <c r="R34" i="83"/>
  <c r="R23" i="83"/>
  <c r="R21" i="83"/>
  <c r="R94" i="83"/>
  <c r="R81" i="83"/>
  <c r="R69" i="83"/>
  <c r="R29" i="83"/>
  <c r="R25" i="83"/>
  <c r="P21" i="83"/>
  <c r="R86" i="83"/>
  <c r="R76" i="83"/>
  <c r="R64" i="83"/>
  <c r="R53" i="83"/>
  <c r="R52" i="83"/>
  <c r="X12" i="83"/>
  <c r="Z12" i="83" s="1"/>
  <c r="R97" i="83"/>
  <c r="R44" i="83"/>
  <c r="R43" i="83"/>
  <c r="R39" i="83"/>
  <c r="R35" i="83"/>
  <c r="R16" i="83"/>
  <c r="R88" i="83"/>
  <c r="R82" i="83"/>
  <c r="R70" i="83"/>
  <c r="R55" i="83"/>
  <c r="R54" i="83"/>
  <c r="R30" i="83"/>
  <c r="R26" i="83"/>
  <c r="R83" i="83"/>
  <c r="R77" i="83"/>
  <c r="R65" i="83"/>
  <c r="R46" i="83"/>
  <c r="R45" i="83"/>
  <c r="R17" i="83"/>
  <c r="R90" i="83"/>
  <c r="R57" i="83"/>
  <c r="R56" i="83"/>
  <c r="R40" i="83"/>
  <c r="R36" i="83"/>
  <c r="R72" i="83"/>
  <c r="R71" i="83"/>
  <c r="R48" i="83"/>
  <c r="R47" i="83"/>
  <c r="R31" i="83"/>
  <c r="R27" i="83"/>
  <c r="R78" i="83"/>
  <c r="R66" i="83"/>
  <c r="R59" i="83"/>
  <c r="R58" i="83"/>
  <c r="R74" i="83"/>
  <c r="R73" i="83"/>
  <c r="R50" i="83"/>
  <c r="R49" i="83"/>
  <c r="R41" i="83"/>
  <c r="R37" i="83"/>
  <c r="R67" i="83"/>
  <c r="R60" i="83"/>
  <c r="R24" i="83"/>
  <c r="R75" i="83"/>
  <c r="R18" i="83"/>
  <c r="R28" i="83"/>
  <c r="R68" i="83"/>
  <c r="R32" i="83"/>
  <c r="R79" i="83"/>
  <c r="R61" i="83"/>
  <c r="R19" i="83"/>
  <c r="R51" i="83"/>
  <c r="R33" i="83"/>
  <c r="R80" i="83"/>
  <c r="T94" i="83"/>
  <c r="H53" i="82"/>
  <c r="R59" i="80"/>
  <c r="R66" i="80"/>
  <c r="R70" i="80"/>
  <c r="R68" i="80"/>
  <c r="R53" i="80"/>
  <c r="R60" i="80"/>
  <c r="R65" i="80"/>
  <c r="R58" i="80"/>
  <c r="R50" i="80"/>
  <c r="R27" i="80"/>
  <c r="R23" i="80"/>
  <c r="P19" i="80"/>
  <c r="R61" i="80"/>
  <c r="R54" i="80"/>
  <c r="R55" i="80"/>
  <c r="R42" i="80"/>
  <c r="R41" i="80"/>
  <c r="R37" i="80"/>
  <c r="R33" i="80"/>
  <c r="R28" i="80"/>
  <c r="R24" i="80"/>
  <c r="R51" i="80"/>
  <c r="R44" i="80"/>
  <c r="R43" i="80"/>
  <c r="R77" i="80"/>
  <c r="R62" i="80"/>
  <c r="R38" i="80"/>
  <c r="R34" i="80"/>
  <c r="R15" i="80"/>
  <c r="R72" i="80"/>
  <c r="R63" i="80"/>
  <c r="R56" i="80"/>
  <c r="R46" i="80"/>
  <c r="R45" i="80"/>
  <c r="R29" i="80"/>
  <c r="R25" i="80"/>
  <c r="R52" i="80"/>
  <c r="R16" i="80"/>
  <c r="R31" i="80"/>
  <c r="R30" i="80"/>
  <c r="R26" i="80"/>
  <c r="X12" i="80"/>
  <c r="R74" i="80"/>
  <c r="R49" i="80"/>
  <c r="R40" i="80"/>
  <c r="R36" i="80"/>
  <c r="R32" i="80"/>
  <c r="R21" i="80"/>
  <c r="R19" i="80"/>
  <c r="R47" i="80"/>
  <c r="R17" i="80"/>
  <c r="R48" i="80"/>
  <c r="R57" i="80"/>
  <c r="R64" i="80"/>
  <c r="R22" i="80"/>
  <c r="R39" i="80"/>
  <c r="R35" i="80"/>
  <c r="H101" i="76"/>
  <c r="N46" i="76"/>
  <c r="T101" i="76"/>
  <c r="V46" i="76"/>
  <c r="H92" i="68"/>
  <c r="J35" i="68"/>
  <c r="Z16" i="59"/>
  <c r="T71" i="59"/>
  <c r="D71" i="59"/>
  <c r="L16" i="59"/>
  <c r="L16" i="54"/>
  <c r="D22" i="54"/>
  <c r="Z17" i="48"/>
  <c r="T71" i="48"/>
  <c r="V27" i="36"/>
  <c r="R79" i="24"/>
  <c r="R78" i="24"/>
  <c r="R71" i="24"/>
  <c r="R70" i="24"/>
  <c r="R54" i="24"/>
  <c r="R50" i="24"/>
  <c r="R85" i="24"/>
  <c r="R62" i="24"/>
  <c r="R61" i="24"/>
  <c r="R45" i="24"/>
  <c r="R41" i="24"/>
  <c r="R80" i="24"/>
  <c r="R73" i="24"/>
  <c r="R72" i="24"/>
  <c r="R32" i="24"/>
  <c r="R28" i="24"/>
  <c r="R64" i="24"/>
  <c r="R63" i="24"/>
  <c r="R55" i="24"/>
  <c r="R51" i="24"/>
  <c r="R81" i="24"/>
  <c r="R65" i="24"/>
  <c r="R38" i="24"/>
  <c r="R33" i="24"/>
  <c r="R29" i="24"/>
  <c r="R88" i="24"/>
  <c r="R56" i="24"/>
  <c r="R52" i="24"/>
  <c r="R48" i="24"/>
  <c r="R37" i="24"/>
  <c r="R25" i="24"/>
  <c r="R77" i="24"/>
  <c r="R58" i="24"/>
  <c r="R57" i="24"/>
  <c r="R53" i="24"/>
  <c r="R49" i="24"/>
  <c r="R94" i="24"/>
  <c r="R43" i="24"/>
  <c r="R74" i="24"/>
  <c r="R68" i="24"/>
  <c r="P35" i="24"/>
  <c r="R27" i="24"/>
  <c r="R83" i="24"/>
  <c r="R86" i="24"/>
  <c r="R69" i="24"/>
  <c r="R39" i="24"/>
  <c r="R90" i="24"/>
  <c r="R46" i="24"/>
  <c r="R30" i="24"/>
  <c r="X12" i="24"/>
  <c r="Z12" i="24" s="1"/>
  <c r="R87" i="24"/>
  <c r="R75" i="24"/>
  <c r="R66" i="24"/>
  <c r="R84" i="24"/>
  <c r="R59" i="24"/>
  <c r="R44" i="24"/>
  <c r="R82" i="24"/>
  <c r="R67" i="24"/>
  <c r="R47" i="24"/>
  <c r="R42" i="24"/>
  <c r="R76" i="24"/>
  <c r="R26" i="24"/>
  <c r="R40" i="24"/>
  <c r="R31" i="24"/>
  <c r="R60" i="24"/>
  <c r="X22" i="6"/>
  <c r="P26" i="6"/>
  <c r="R259" i="3"/>
  <c r="R247" i="3"/>
  <c r="R240" i="3"/>
  <c r="R239" i="3"/>
  <c r="R235" i="3"/>
  <c r="R231" i="3"/>
  <c r="R215" i="3"/>
  <c r="R191" i="3"/>
  <c r="R176" i="3"/>
  <c r="R175" i="3"/>
  <c r="R167" i="3"/>
  <c r="R163" i="3"/>
  <c r="R159" i="3"/>
  <c r="R141" i="3"/>
  <c r="R137" i="3"/>
  <c r="R125" i="3"/>
  <c r="R117" i="3"/>
  <c r="R109" i="3"/>
  <c r="R105" i="3"/>
  <c r="R226" i="3"/>
  <c r="R210" i="3"/>
  <c r="R199" i="3"/>
  <c r="R198" i="3"/>
  <c r="R183" i="3"/>
  <c r="R182" i="3"/>
  <c r="R154" i="3"/>
  <c r="R150" i="3"/>
  <c r="R241" i="3"/>
  <c r="R177" i="3"/>
  <c r="R129" i="3"/>
  <c r="R113" i="3"/>
  <c r="R249" i="3"/>
  <c r="R248" i="3"/>
  <c r="R236" i="3"/>
  <c r="R232" i="3"/>
  <c r="R216" i="3"/>
  <c r="R201" i="3"/>
  <c r="R200" i="3"/>
  <c r="R193" i="3"/>
  <c r="R192" i="3"/>
  <c r="R184" i="3"/>
  <c r="R169" i="3"/>
  <c r="R168" i="3"/>
  <c r="R164" i="3"/>
  <c r="R160" i="3"/>
  <c r="R97" i="3"/>
  <c r="R152" i="3"/>
  <c r="P144" i="3"/>
  <c r="R144" i="3" s="1"/>
  <c r="R263" i="3"/>
  <c r="R228" i="3"/>
  <c r="R227" i="3"/>
  <c r="R211" i="3"/>
  <c r="R155" i="3"/>
  <c r="R151" i="3"/>
  <c r="R268" i="3"/>
  <c r="R267" i="3"/>
  <c r="R250" i="3"/>
  <c r="R243" i="3"/>
  <c r="R242" i="3"/>
  <c r="R222" i="3"/>
  <c r="R203" i="3"/>
  <c r="R202" i="3"/>
  <c r="R194" i="3"/>
  <c r="R178" i="3"/>
  <c r="R171" i="3"/>
  <c r="R170" i="3"/>
  <c r="R147" i="3"/>
  <c r="R142" i="3"/>
  <c r="R138" i="3"/>
  <c r="R134" i="3"/>
  <c r="R130" i="3"/>
  <c r="R126" i="3"/>
  <c r="R122" i="3"/>
  <c r="R118" i="3"/>
  <c r="R114" i="3"/>
  <c r="R110" i="3"/>
  <c r="R106" i="3"/>
  <c r="R102" i="3"/>
  <c r="R98" i="3"/>
  <c r="X12" i="3"/>
  <c r="Z12" i="3" s="1"/>
  <c r="R253" i="3"/>
  <c r="R252" i="3"/>
  <c r="R237" i="3"/>
  <c r="R233" i="3"/>
  <c r="R229" i="3"/>
  <c r="R217" i="3"/>
  <c r="R186" i="3"/>
  <c r="R185" i="3"/>
  <c r="R165" i="3"/>
  <c r="R161" i="3"/>
  <c r="R146" i="3"/>
  <c r="R244" i="3"/>
  <c r="R212" i="3"/>
  <c r="R205" i="3"/>
  <c r="R172" i="3"/>
  <c r="R254" i="3"/>
  <c r="R245" i="3"/>
  <c r="R204" i="3"/>
  <c r="R156" i="3"/>
  <c r="R148" i="3"/>
  <c r="R255" i="3"/>
  <c r="R223" i="3"/>
  <c r="R195" i="3"/>
  <c r="R188" i="3"/>
  <c r="R187" i="3"/>
  <c r="R180" i="3"/>
  <c r="R179" i="3"/>
  <c r="R139" i="3"/>
  <c r="R135" i="3"/>
  <c r="R131" i="3"/>
  <c r="R127" i="3"/>
  <c r="R123" i="3"/>
  <c r="R119" i="3"/>
  <c r="R115" i="3"/>
  <c r="R111" i="3"/>
  <c r="R107" i="3"/>
  <c r="R103" i="3"/>
  <c r="R99" i="3"/>
  <c r="R256" i="3"/>
  <c r="R246" i="3"/>
  <c r="R238" i="3"/>
  <c r="R234" i="3"/>
  <c r="R230" i="3"/>
  <c r="R219" i="3"/>
  <c r="R218" i="3"/>
  <c r="R207" i="3"/>
  <c r="R206" i="3"/>
  <c r="R166" i="3"/>
  <c r="R162" i="3"/>
  <c r="R258" i="3"/>
  <c r="R225" i="3"/>
  <c r="R224" i="3"/>
  <c r="R220" i="3"/>
  <c r="R209" i="3"/>
  <c r="R208" i="3"/>
  <c r="R197" i="3"/>
  <c r="R196" i="3"/>
  <c r="R140" i="3"/>
  <c r="R136" i="3"/>
  <c r="R132" i="3"/>
  <c r="R128" i="3"/>
  <c r="R124" i="3"/>
  <c r="R120" i="3"/>
  <c r="R116" i="3"/>
  <c r="R112" i="3"/>
  <c r="R108" i="3"/>
  <c r="R104" i="3"/>
  <c r="R100" i="3"/>
  <c r="R221" i="3"/>
  <c r="R133" i="3"/>
  <c r="R121" i="3"/>
  <c r="R101" i="3"/>
  <c r="R257" i="3"/>
  <c r="R214" i="3"/>
  <c r="R190" i="3"/>
  <c r="R173" i="3"/>
  <c r="R158" i="3"/>
  <c r="R149" i="3"/>
  <c r="R181" i="3"/>
  <c r="R174" i="3"/>
  <c r="R213" i="3"/>
  <c r="R189" i="3"/>
  <c r="R153" i="3"/>
  <c r="R157" i="3"/>
  <c r="H27" i="112"/>
  <c r="N18" i="112"/>
  <c r="X18" i="47"/>
  <c r="P27" i="47"/>
  <c r="X18" i="38"/>
  <c r="P27" i="38"/>
  <c r="N18" i="41"/>
  <c r="H27" i="41"/>
  <c r="P27" i="46"/>
  <c r="X18" i="46"/>
  <c r="X18" i="29"/>
  <c r="P27" i="29"/>
  <c r="H27" i="13"/>
  <c r="N18" i="13"/>
  <c r="X18" i="8"/>
  <c r="P27" i="8"/>
  <c r="H39" i="101"/>
  <c r="N16" i="101"/>
  <c r="N16" i="104"/>
  <c r="H24" i="104"/>
  <c r="H56" i="99"/>
  <c r="N16" i="99"/>
  <c r="T81" i="75"/>
  <c r="Z27" i="75"/>
  <c r="H149" i="74"/>
  <c r="R27" i="75"/>
  <c r="T77" i="72"/>
  <c r="H70" i="72"/>
  <c r="N19" i="72"/>
  <c r="F27" i="75"/>
  <c r="T85" i="56"/>
  <c r="L16" i="55"/>
  <c r="D33" i="55"/>
  <c r="F103" i="51"/>
  <c r="F81" i="51"/>
  <c r="F57" i="51"/>
  <c r="F53" i="51"/>
  <c r="F72" i="51"/>
  <c r="F71" i="51"/>
  <c r="F44" i="51"/>
  <c r="F40" i="51"/>
  <c r="F36" i="51"/>
  <c r="F91" i="51"/>
  <c r="F83" i="51"/>
  <c r="F82" i="51"/>
  <c r="F67" i="51"/>
  <c r="F63" i="51"/>
  <c r="F74" i="51"/>
  <c r="F73" i="51"/>
  <c r="F58" i="51"/>
  <c r="F54" i="51"/>
  <c r="F50" i="51"/>
  <c r="F49" i="51"/>
  <c r="F93" i="51"/>
  <c r="F92" i="51"/>
  <c r="F85" i="51"/>
  <c r="F84" i="51"/>
  <c r="F48" i="51"/>
  <c r="F41" i="51"/>
  <c r="F37" i="51"/>
  <c r="F33" i="51"/>
  <c r="F32" i="51"/>
  <c r="F95" i="51"/>
  <c r="F94" i="51"/>
  <c r="F87" i="51"/>
  <c r="F86" i="51"/>
  <c r="F59" i="51"/>
  <c r="F55" i="51"/>
  <c r="F51" i="51"/>
  <c r="F78" i="51"/>
  <c r="F77" i="51"/>
  <c r="F42" i="51"/>
  <c r="F38" i="51"/>
  <c r="F34" i="51"/>
  <c r="F98" i="51"/>
  <c r="F89" i="51"/>
  <c r="F88" i="51"/>
  <c r="F69" i="51"/>
  <c r="F65" i="51"/>
  <c r="F61" i="51"/>
  <c r="F60" i="51"/>
  <c r="F99" i="51"/>
  <c r="F97" i="51"/>
  <c r="F80" i="51"/>
  <c r="F79" i="51"/>
  <c r="F56" i="51"/>
  <c r="F52" i="51"/>
  <c r="F90" i="51"/>
  <c r="F70" i="51"/>
  <c r="F66" i="51"/>
  <c r="F62" i="51"/>
  <c r="F75" i="51"/>
  <c r="F35" i="51"/>
  <c r="F39" i="51"/>
  <c r="F64" i="51"/>
  <c r="F43" i="51"/>
  <c r="F68" i="51"/>
  <c r="D46" i="51"/>
  <c r="F46" i="51" s="1"/>
  <c r="L12" i="51"/>
  <c r="N12" i="51" s="1"/>
  <c r="F76" i="51"/>
  <c r="F59" i="48"/>
  <c r="F27" i="48"/>
  <c r="F23" i="48"/>
  <c r="F66" i="48"/>
  <c r="F65" i="48"/>
  <c r="F50" i="48"/>
  <c r="F41" i="48"/>
  <c r="F37" i="48"/>
  <c r="F33" i="48"/>
  <c r="F69" i="48"/>
  <c r="F60" i="48"/>
  <c r="F52" i="48"/>
  <c r="F51" i="48"/>
  <c r="F28" i="48"/>
  <c r="F24" i="48"/>
  <c r="F68" i="48"/>
  <c r="F43" i="48"/>
  <c r="F42" i="48"/>
  <c r="F73" i="48"/>
  <c r="F61" i="48"/>
  <c r="F45" i="48"/>
  <c r="F44" i="48"/>
  <c r="F29" i="48"/>
  <c r="F25" i="48"/>
  <c r="F21" i="48"/>
  <c r="F20" i="48"/>
  <c r="F56" i="48"/>
  <c r="F55" i="48"/>
  <c r="F19" i="48"/>
  <c r="F15" i="48"/>
  <c r="F63" i="48"/>
  <c r="F62" i="48"/>
  <c r="F47" i="48"/>
  <c r="F46" i="48"/>
  <c r="F39" i="48"/>
  <c r="F35" i="48"/>
  <c r="D17" i="48"/>
  <c r="F17" i="48" s="1"/>
  <c r="F58" i="48"/>
  <c r="F57" i="48"/>
  <c r="F30" i="48"/>
  <c r="F26" i="48"/>
  <c r="F22" i="48"/>
  <c r="L12" i="48"/>
  <c r="N12" i="48" s="1"/>
  <c r="F64" i="48"/>
  <c r="F40" i="48"/>
  <c r="F36" i="48"/>
  <c r="F32" i="48"/>
  <c r="F31" i="48"/>
  <c r="F53" i="48"/>
  <c r="F34" i="48"/>
  <c r="F49" i="48"/>
  <c r="F38" i="48"/>
  <c r="F48" i="48"/>
  <c r="F54" i="48"/>
  <c r="T101" i="45"/>
  <c r="F25" i="42"/>
  <c r="R116" i="36"/>
  <c r="R109" i="36"/>
  <c r="R108" i="36"/>
  <c r="R104" i="36"/>
  <c r="R100" i="36"/>
  <c r="R129" i="36"/>
  <c r="R95" i="36"/>
  <c r="R83" i="36"/>
  <c r="R76" i="36"/>
  <c r="R75" i="36"/>
  <c r="R64" i="36"/>
  <c r="R110" i="36"/>
  <c r="R90" i="36"/>
  <c r="R118" i="36"/>
  <c r="R117" i="36"/>
  <c r="R105" i="36"/>
  <c r="R101" i="36"/>
  <c r="R119" i="36"/>
  <c r="R112" i="36"/>
  <c r="R111" i="36"/>
  <c r="R91" i="36"/>
  <c r="R80" i="36"/>
  <c r="R79" i="36"/>
  <c r="R68" i="36"/>
  <c r="R67" i="36"/>
  <c r="R59" i="36"/>
  <c r="R123" i="36"/>
  <c r="R114" i="36"/>
  <c r="R113" i="36"/>
  <c r="R92" i="36"/>
  <c r="R87" i="36"/>
  <c r="R84" i="36"/>
  <c r="R71" i="36"/>
  <c r="R58" i="36"/>
  <c r="R23" i="36"/>
  <c r="R102" i="36"/>
  <c r="R85" i="36"/>
  <c r="R82" i="36"/>
  <c r="R50" i="36"/>
  <c r="R46" i="36"/>
  <c r="R42" i="36"/>
  <c r="R72" i="36"/>
  <c r="R63" i="36"/>
  <c r="R37" i="36"/>
  <c r="R33" i="36"/>
  <c r="R98" i="36"/>
  <c r="R88" i="36"/>
  <c r="R124" i="36"/>
  <c r="R121" i="36"/>
  <c r="R115" i="36"/>
  <c r="R107" i="36"/>
  <c r="R38" i="36"/>
  <c r="R34" i="36"/>
  <c r="R86" i="36"/>
  <c r="R77" i="36"/>
  <c r="R73" i="36"/>
  <c r="R69" i="36"/>
  <c r="R60" i="36"/>
  <c r="R54" i="36"/>
  <c r="R53" i="36"/>
  <c r="R30" i="36"/>
  <c r="R25" i="36"/>
  <c r="R122" i="36"/>
  <c r="R93" i="36"/>
  <c r="R70" i="36"/>
  <c r="R65" i="36"/>
  <c r="R48" i="36"/>
  <c r="R44" i="36"/>
  <c r="R29" i="36"/>
  <c r="R89" i="36"/>
  <c r="R78" i="36"/>
  <c r="R66" i="36"/>
  <c r="R56" i="36"/>
  <c r="R106" i="36"/>
  <c r="R94" i="36"/>
  <c r="R62" i="36"/>
  <c r="R57" i="36"/>
  <c r="R41" i="36"/>
  <c r="R40" i="36"/>
  <c r="R36" i="36"/>
  <c r="R32" i="36"/>
  <c r="R96" i="36"/>
  <c r="R51" i="36"/>
  <c r="R49" i="36"/>
  <c r="R45" i="36"/>
  <c r="R52" i="36"/>
  <c r="R47" i="36"/>
  <c r="R43" i="36"/>
  <c r="R39" i="36"/>
  <c r="R24" i="36"/>
  <c r="R22" i="36"/>
  <c r="X12" i="36"/>
  <c r="Z12" i="36" s="1"/>
  <c r="P27" i="36"/>
  <c r="R97" i="36"/>
  <c r="R31" i="36"/>
  <c r="R103" i="36"/>
  <c r="R55" i="36"/>
  <c r="R61" i="36"/>
  <c r="R81" i="36"/>
  <c r="R125" i="36"/>
  <c r="R99" i="36"/>
  <c r="R74" i="36"/>
  <c r="R35" i="36"/>
  <c r="R138" i="30"/>
  <c r="R115" i="30"/>
  <c r="R114" i="30"/>
  <c r="R79" i="30"/>
  <c r="R74" i="30"/>
  <c r="R70" i="30"/>
  <c r="R66" i="30"/>
  <c r="R62" i="30"/>
  <c r="R58" i="30"/>
  <c r="R54" i="30"/>
  <c r="R126" i="30"/>
  <c r="R125" i="30"/>
  <c r="R106" i="30"/>
  <c r="R105" i="30"/>
  <c r="R97" i="30"/>
  <c r="R93" i="30"/>
  <c r="R78" i="30"/>
  <c r="R157" i="30"/>
  <c r="R156" i="30"/>
  <c r="R149" i="30"/>
  <c r="R148" i="30"/>
  <c r="R144" i="30"/>
  <c r="R133" i="30"/>
  <c r="R132" i="30"/>
  <c r="R116" i="30"/>
  <c r="R89" i="30"/>
  <c r="R88" i="30"/>
  <c r="R84" i="30"/>
  <c r="R80" i="30"/>
  <c r="P76" i="30"/>
  <c r="R140" i="30"/>
  <c r="R139" i="30"/>
  <c r="R127" i="30"/>
  <c r="R108" i="30"/>
  <c r="R107" i="30"/>
  <c r="R71" i="30"/>
  <c r="R67" i="30"/>
  <c r="R63" i="30"/>
  <c r="R59" i="30"/>
  <c r="R55" i="30"/>
  <c r="R167" i="30"/>
  <c r="R158" i="30"/>
  <c r="R150" i="30"/>
  <c r="R134" i="30"/>
  <c r="R98" i="30"/>
  <c r="R94" i="30"/>
  <c r="R90" i="30"/>
  <c r="R161" i="30"/>
  <c r="R160" i="30"/>
  <c r="R145" i="30"/>
  <c r="R141" i="30"/>
  <c r="R118" i="30"/>
  <c r="R117" i="30"/>
  <c r="R110" i="30"/>
  <c r="R109" i="30"/>
  <c r="R85" i="30"/>
  <c r="R81" i="30"/>
  <c r="R162" i="30"/>
  <c r="R129" i="30"/>
  <c r="R128" i="30"/>
  <c r="R72" i="30"/>
  <c r="R68" i="30"/>
  <c r="R64" i="30"/>
  <c r="R60" i="30"/>
  <c r="R56" i="30"/>
  <c r="X12" i="30"/>
  <c r="Z12" i="30" s="1"/>
  <c r="R163" i="30"/>
  <c r="R146" i="30"/>
  <c r="R142" i="30"/>
  <c r="R130" i="30"/>
  <c r="R86" i="30"/>
  <c r="R82" i="30"/>
  <c r="R154" i="30"/>
  <c r="R153" i="30"/>
  <c r="R122" i="30"/>
  <c r="R121" i="30"/>
  <c r="R113" i="30"/>
  <c r="R102" i="30"/>
  <c r="R101" i="30"/>
  <c r="R73" i="30"/>
  <c r="R69" i="30"/>
  <c r="R65" i="30"/>
  <c r="R61" i="30"/>
  <c r="R57" i="30"/>
  <c r="R53" i="30"/>
  <c r="R143" i="30"/>
  <c r="R135" i="30"/>
  <c r="R91" i="30"/>
  <c r="R87" i="30"/>
  <c r="R52" i="30"/>
  <c r="R131" i="30"/>
  <c r="R104" i="30"/>
  <c r="R100" i="30"/>
  <c r="R123" i="30"/>
  <c r="R119" i="30"/>
  <c r="R111" i="30"/>
  <c r="R155" i="30"/>
  <c r="R151" i="30"/>
  <c r="R147" i="30"/>
  <c r="R96" i="30"/>
  <c r="R136" i="30"/>
  <c r="R120" i="30"/>
  <c r="R112" i="30"/>
  <c r="R92" i="30"/>
  <c r="R124" i="30"/>
  <c r="R137" i="30"/>
  <c r="R103" i="30"/>
  <c r="R99" i="30"/>
  <c r="R152" i="30"/>
  <c r="R95" i="30"/>
  <c r="R83" i="30"/>
  <c r="T115" i="27"/>
  <c r="V52" i="27"/>
  <c r="F233" i="18"/>
  <c r="F232" i="18"/>
  <c r="F225" i="18"/>
  <c r="F209" i="18"/>
  <c r="F220" i="18"/>
  <c r="F216" i="18"/>
  <c r="F204" i="18"/>
  <c r="F192" i="18"/>
  <c r="F191" i="18"/>
  <c r="F184" i="18"/>
  <c r="F183" i="18"/>
  <c r="F168" i="18"/>
  <c r="F167" i="18"/>
  <c r="F132" i="18"/>
  <c r="F128" i="18"/>
  <c r="F124" i="18"/>
  <c r="F120" i="18"/>
  <c r="F116" i="18"/>
  <c r="F236" i="18"/>
  <c r="F227" i="18"/>
  <c r="F226" i="18"/>
  <c r="F211" i="18"/>
  <c r="F210" i="18"/>
  <c r="F199" i="18"/>
  <c r="F175" i="18"/>
  <c r="F237" i="18"/>
  <c r="F235" i="18"/>
  <c r="F206" i="18"/>
  <c r="F205" i="18"/>
  <c r="F194" i="18"/>
  <c r="F193" i="18"/>
  <c r="F146" i="18"/>
  <c r="F142" i="18"/>
  <c r="F238" i="18"/>
  <c r="F229" i="18"/>
  <c r="F228" i="18"/>
  <c r="F221" i="18"/>
  <c r="F217" i="18"/>
  <c r="F201" i="18"/>
  <c r="F200" i="18"/>
  <c r="F185" i="18"/>
  <c r="F177" i="18"/>
  <c r="F176" i="18"/>
  <c r="F169" i="18"/>
  <c r="F239" i="18"/>
  <c r="F212" i="18"/>
  <c r="F196" i="18"/>
  <c r="F195" i="18"/>
  <c r="F240" i="18"/>
  <c r="F207" i="18"/>
  <c r="F179" i="18"/>
  <c r="F178" i="18"/>
  <c r="F171" i="18"/>
  <c r="F170" i="18"/>
  <c r="F163" i="18"/>
  <c r="F162" i="18"/>
  <c r="F147" i="18"/>
  <c r="F143" i="18"/>
  <c r="F139" i="18"/>
  <c r="F138" i="18"/>
  <c r="F230" i="18"/>
  <c r="F222" i="18"/>
  <c r="F218" i="18"/>
  <c r="F214" i="18"/>
  <c r="F213" i="18"/>
  <c r="F202" i="18"/>
  <c r="F186" i="18"/>
  <c r="F198" i="18"/>
  <c r="F190" i="18"/>
  <c r="F189" i="18"/>
  <c r="F182" i="18"/>
  <c r="F174" i="18"/>
  <c r="F173" i="18"/>
  <c r="F166" i="18"/>
  <c r="F165" i="18"/>
  <c r="F158" i="18"/>
  <c r="F154" i="18"/>
  <c r="F150" i="18"/>
  <c r="F149" i="18"/>
  <c r="F155" i="18"/>
  <c r="F125" i="18"/>
  <c r="F113" i="18"/>
  <c r="F103" i="18"/>
  <c r="F100" i="18"/>
  <c r="F97" i="18"/>
  <c r="F219" i="18"/>
  <c r="F161" i="18"/>
  <c r="F135" i="18"/>
  <c r="F131" i="18"/>
  <c r="F122" i="18"/>
  <c r="F119" i="18"/>
  <c r="F208" i="18"/>
  <c r="F153" i="18"/>
  <c r="F145" i="18"/>
  <c r="D135" i="18"/>
  <c r="F110" i="18"/>
  <c r="F94" i="18"/>
  <c r="F91" i="18"/>
  <c r="F90" i="18"/>
  <c r="F197" i="18"/>
  <c r="F181" i="18"/>
  <c r="F140" i="18"/>
  <c r="F107" i="18"/>
  <c r="F104" i="18"/>
  <c r="F101" i="18"/>
  <c r="F223" i="18"/>
  <c r="F187" i="18"/>
  <c r="F156" i="18"/>
  <c r="F137" i="18"/>
  <c r="F129" i="18"/>
  <c r="F117" i="18"/>
  <c r="F164" i="18"/>
  <c r="F151" i="18"/>
  <c r="F126" i="18"/>
  <c r="F123" i="18"/>
  <c r="F114" i="18"/>
  <c r="F98" i="18"/>
  <c r="F231" i="18"/>
  <c r="F203" i="18"/>
  <c r="F148" i="18"/>
  <c r="F111" i="18"/>
  <c r="F108" i="18"/>
  <c r="F105" i="18"/>
  <c r="F95" i="18"/>
  <c r="F92" i="18"/>
  <c r="F244" i="18"/>
  <c r="F159" i="18"/>
  <c r="F141" i="18"/>
  <c r="F133" i="18"/>
  <c r="F121" i="18"/>
  <c r="F102" i="18"/>
  <c r="F224" i="18"/>
  <c r="F188" i="18"/>
  <c r="F144" i="18"/>
  <c r="F106" i="18"/>
  <c r="F115" i="18"/>
  <c r="F172" i="18"/>
  <c r="F157" i="18"/>
  <c r="F93" i="18"/>
  <c r="F127" i="18"/>
  <c r="F215" i="18"/>
  <c r="F99" i="18"/>
  <c r="F112" i="18"/>
  <c r="F152" i="18"/>
  <c r="F118" i="18"/>
  <c r="L12" i="18"/>
  <c r="N12" i="18" s="1"/>
  <c r="F180" i="18"/>
  <c r="F130" i="18"/>
  <c r="F96" i="18"/>
  <c r="F160" i="18"/>
  <c r="F109" i="18"/>
  <c r="H242" i="18"/>
  <c r="F254" i="3"/>
  <c r="F252" i="3"/>
  <c r="F223" i="3"/>
  <c r="F195" i="3"/>
  <c r="F187" i="3"/>
  <c r="F186" i="3"/>
  <c r="F179" i="3"/>
  <c r="F146" i="3"/>
  <c r="F139" i="3"/>
  <c r="F135" i="3"/>
  <c r="F131" i="3"/>
  <c r="F127" i="3"/>
  <c r="F123" i="3"/>
  <c r="F119" i="3"/>
  <c r="F115" i="3"/>
  <c r="F111" i="3"/>
  <c r="F107" i="3"/>
  <c r="F103" i="3"/>
  <c r="F99" i="3"/>
  <c r="F181" i="3"/>
  <c r="F157" i="3"/>
  <c r="F255" i="3"/>
  <c r="F246" i="3"/>
  <c r="F245" i="3"/>
  <c r="F238" i="3"/>
  <c r="F234" i="3"/>
  <c r="F230" i="3"/>
  <c r="F218" i="3"/>
  <c r="F206" i="3"/>
  <c r="F205" i="3"/>
  <c r="F166" i="3"/>
  <c r="F162" i="3"/>
  <c r="D144" i="3"/>
  <c r="F189" i="3"/>
  <c r="F256" i="3"/>
  <c r="F257" i="3"/>
  <c r="F224" i="3"/>
  <c r="F220" i="3"/>
  <c r="F219" i="3"/>
  <c r="F208" i="3"/>
  <c r="F207" i="3"/>
  <c r="F196" i="3"/>
  <c r="F140" i="3"/>
  <c r="F136" i="3"/>
  <c r="F132" i="3"/>
  <c r="F128" i="3"/>
  <c r="F124" i="3"/>
  <c r="F120" i="3"/>
  <c r="F116" i="3"/>
  <c r="F112" i="3"/>
  <c r="F108" i="3"/>
  <c r="F104" i="3"/>
  <c r="F100" i="3"/>
  <c r="F216" i="3"/>
  <c r="F160" i="3"/>
  <c r="F258" i="3"/>
  <c r="F247" i="3"/>
  <c r="F239" i="3"/>
  <c r="F235" i="3"/>
  <c r="F231" i="3"/>
  <c r="F215" i="3"/>
  <c r="F214" i="3"/>
  <c r="F191" i="3"/>
  <c r="F190" i="3"/>
  <c r="F175" i="3"/>
  <c r="F174" i="3"/>
  <c r="F167" i="3"/>
  <c r="F163" i="3"/>
  <c r="F159" i="3"/>
  <c r="F158" i="3"/>
  <c r="F168" i="3"/>
  <c r="F259" i="3"/>
  <c r="F226" i="3"/>
  <c r="F225" i="3"/>
  <c r="F210" i="3"/>
  <c r="F209" i="3"/>
  <c r="F198" i="3"/>
  <c r="F197" i="3"/>
  <c r="F182" i="3"/>
  <c r="F154" i="3"/>
  <c r="F150" i="3"/>
  <c r="F232" i="3"/>
  <c r="F241" i="3"/>
  <c r="F240" i="3"/>
  <c r="F221" i="3"/>
  <c r="F177" i="3"/>
  <c r="F176" i="3"/>
  <c r="F141" i="3"/>
  <c r="F137" i="3"/>
  <c r="F133" i="3"/>
  <c r="F129" i="3"/>
  <c r="F125" i="3"/>
  <c r="F121" i="3"/>
  <c r="F117" i="3"/>
  <c r="F113" i="3"/>
  <c r="F109" i="3"/>
  <c r="F105" i="3"/>
  <c r="F101" i="3"/>
  <c r="F248" i="3"/>
  <c r="F199" i="3"/>
  <c r="F192" i="3"/>
  <c r="F184" i="3"/>
  <c r="F183" i="3"/>
  <c r="F236" i="3"/>
  <c r="F200" i="3"/>
  <c r="F164" i="3"/>
  <c r="F263" i="3"/>
  <c r="F227" i="3"/>
  <c r="F211" i="3"/>
  <c r="F155" i="3"/>
  <c r="F151" i="3"/>
  <c r="F250" i="3"/>
  <c r="F249" i="3"/>
  <c r="F242" i="3"/>
  <c r="F222" i="3"/>
  <c r="F202" i="3"/>
  <c r="F201" i="3"/>
  <c r="F194" i="3"/>
  <c r="F193" i="3"/>
  <c r="F178" i="3"/>
  <c r="F170" i="3"/>
  <c r="F169" i="3"/>
  <c r="F142" i="3"/>
  <c r="F138" i="3"/>
  <c r="F134" i="3"/>
  <c r="F130" i="3"/>
  <c r="F126" i="3"/>
  <c r="F122" i="3"/>
  <c r="F118" i="3"/>
  <c r="F114" i="3"/>
  <c r="F110" i="3"/>
  <c r="F106" i="3"/>
  <c r="F102" i="3"/>
  <c r="F98" i="3"/>
  <c r="F97" i="3"/>
  <c r="L12" i="3"/>
  <c r="N12" i="3" s="1"/>
  <c r="F268" i="3"/>
  <c r="F267" i="3"/>
  <c r="F253" i="3"/>
  <c r="F244" i="3"/>
  <c r="F243" i="3"/>
  <c r="F212" i="3"/>
  <c r="F204" i="3"/>
  <c r="F203" i="3"/>
  <c r="F172" i="3"/>
  <c r="F171" i="3"/>
  <c r="F156" i="3"/>
  <c r="F152" i="3"/>
  <c r="F148" i="3"/>
  <c r="F147" i="3"/>
  <c r="F213" i="3"/>
  <c r="F188" i="3"/>
  <c r="F180" i="3"/>
  <c r="F173" i="3"/>
  <c r="F153" i="3"/>
  <c r="F149" i="3"/>
  <c r="F233" i="3"/>
  <c r="F228" i="3"/>
  <c r="F161" i="3"/>
  <c r="F165" i="3"/>
  <c r="F229" i="3"/>
  <c r="F185" i="3"/>
  <c r="F237" i="3"/>
  <c r="F217" i="3"/>
  <c r="L18" i="53"/>
  <c r="D27" i="53"/>
  <c r="T27" i="44"/>
  <c r="Z18" i="44"/>
  <c r="L18" i="44"/>
  <c r="D27" i="44"/>
  <c r="Z18" i="41"/>
  <c r="T27" i="41"/>
  <c r="T27" i="37"/>
  <c r="Z18" i="37"/>
  <c r="H27" i="38"/>
  <c r="N18" i="38"/>
  <c r="T27" i="34"/>
  <c r="Z18" i="34"/>
  <c r="D27" i="38"/>
  <c r="L18" i="38"/>
  <c r="H27" i="26"/>
  <c r="N18" i="26"/>
  <c r="L18" i="26"/>
  <c r="D27" i="26"/>
  <c r="N18" i="22"/>
  <c r="H27" i="22"/>
  <c r="L18" i="13"/>
  <c r="D27" i="13"/>
  <c r="T27" i="13"/>
  <c r="Z18" i="13"/>
  <c r="P27" i="7"/>
  <c r="X18" i="7"/>
  <c r="Z81" i="33"/>
  <c r="T85" i="33"/>
  <c r="F214" i="12"/>
  <c r="F206" i="12"/>
  <c r="F202" i="12"/>
  <c r="F198" i="12"/>
  <c r="F197" i="12"/>
  <c r="F186" i="12"/>
  <c r="F126" i="12"/>
  <c r="F122" i="12"/>
  <c r="F227" i="12"/>
  <c r="F181" i="12"/>
  <c r="F173" i="12"/>
  <c r="F172" i="12"/>
  <c r="F165" i="12"/>
  <c r="F164" i="12"/>
  <c r="F149" i="12"/>
  <c r="F148" i="12"/>
  <c r="F113" i="12"/>
  <c r="F109" i="12"/>
  <c r="F105" i="12"/>
  <c r="F101" i="12"/>
  <c r="F97" i="12"/>
  <c r="F93" i="12"/>
  <c r="F89" i="12"/>
  <c r="F85" i="12"/>
  <c r="F81" i="12"/>
  <c r="F208" i="12"/>
  <c r="F207" i="12"/>
  <c r="F192" i="12"/>
  <c r="F156" i="12"/>
  <c r="F140" i="12"/>
  <c r="F136" i="12"/>
  <c r="F132" i="12"/>
  <c r="F182" i="12"/>
  <c r="F166" i="12"/>
  <c r="F158" i="12"/>
  <c r="F157" i="12"/>
  <c r="F150" i="12"/>
  <c r="F142" i="12"/>
  <c r="F141" i="12"/>
  <c r="F114" i="12"/>
  <c r="F110" i="12"/>
  <c r="F106" i="12"/>
  <c r="F102" i="12"/>
  <c r="F98" i="12"/>
  <c r="F94" i="12"/>
  <c r="F90" i="12"/>
  <c r="F86" i="12"/>
  <c r="F82" i="12"/>
  <c r="F217" i="12"/>
  <c r="F216" i="12"/>
  <c r="F209" i="12"/>
  <c r="F193" i="12"/>
  <c r="F189" i="12"/>
  <c r="F188" i="12"/>
  <c r="F177" i="12"/>
  <c r="F176" i="12"/>
  <c r="F137" i="12"/>
  <c r="F133" i="12"/>
  <c r="F204" i="12"/>
  <c r="F200" i="12"/>
  <c r="F184" i="12"/>
  <c r="F183" i="12"/>
  <c r="F160" i="12"/>
  <c r="F159" i="12"/>
  <c r="F152" i="12"/>
  <c r="F151" i="12"/>
  <c r="F144" i="12"/>
  <c r="F143" i="12"/>
  <c r="F128" i="12"/>
  <c r="F124" i="12"/>
  <c r="F120" i="12"/>
  <c r="F119" i="12"/>
  <c r="L12" i="12"/>
  <c r="N12" i="12" s="1"/>
  <c r="F220" i="12"/>
  <c r="F211" i="12"/>
  <c r="F210" i="12"/>
  <c r="F195" i="12"/>
  <c r="F194" i="12"/>
  <c r="F179" i="12"/>
  <c r="F178" i="12"/>
  <c r="F167" i="12"/>
  <c r="F118" i="12"/>
  <c r="F111" i="12"/>
  <c r="F107" i="12"/>
  <c r="F103" i="12"/>
  <c r="F99" i="12"/>
  <c r="F95" i="12"/>
  <c r="F91" i="12"/>
  <c r="F87" i="12"/>
  <c r="F83" i="12"/>
  <c r="F79" i="12"/>
  <c r="F78" i="12"/>
  <c r="F191" i="12"/>
  <c r="F171" i="12"/>
  <c r="F170" i="12"/>
  <c r="F163" i="12"/>
  <c r="F155" i="12"/>
  <c r="F154" i="12"/>
  <c r="F147" i="12"/>
  <c r="F146" i="12"/>
  <c r="F139" i="12"/>
  <c r="F135" i="12"/>
  <c r="F131" i="12"/>
  <c r="F130" i="12"/>
  <c r="F185" i="12"/>
  <c r="F92" i="12"/>
  <c r="F221" i="12"/>
  <c r="F199" i="12"/>
  <c r="F187" i="12"/>
  <c r="F112" i="12"/>
  <c r="F196" i="12"/>
  <c r="F212" i="12"/>
  <c r="F168" i="12"/>
  <c r="F153" i="12"/>
  <c r="F201" i="12"/>
  <c r="F175" i="12"/>
  <c r="F162" i="12"/>
  <c r="F108" i="12"/>
  <c r="F88" i="12"/>
  <c r="F203" i="12"/>
  <c r="F134" i="12"/>
  <c r="F121" i="12"/>
  <c r="F104" i="12"/>
  <c r="F174" i="12"/>
  <c r="F205" i="12"/>
  <c r="F138" i="12"/>
  <c r="F123" i="12"/>
  <c r="D116" i="12"/>
  <c r="F116" i="12" s="1"/>
  <c r="F84" i="12"/>
  <c r="F222" i="12"/>
  <c r="F215" i="12"/>
  <c r="F213" i="12"/>
  <c r="F190" i="12"/>
  <c r="F169" i="12"/>
  <c r="F127" i="12"/>
  <c r="F100" i="12"/>
  <c r="F180" i="12"/>
  <c r="F145" i="12"/>
  <c r="F125" i="12"/>
  <c r="F161" i="12"/>
  <c r="F129" i="12"/>
  <c r="F96" i="12"/>
  <c r="F80" i="12"/>
  <c r="F223" i="12"/>
  <c r="F219" i="12"/>
  <c r="F208" i="15"/>
  <c r="F196" i="15"/>
  <c r="F192" i="15"/>
  <c r="F180" i="15"/>
  <c r="F108" i="15"/>
  <c r="F104" i="15"/>
  <c r="F100" i="15"/>
  <c r="F96" i="15"/>
  <c r="F92" i="15"/>
  <c r="F88" i="15"/>
  <c r="F84" i="15"/>
  <c r="F80" i="15"/>
  <c r="L12" i="15"/>
  <c r="N12" i="15" s="1"/>
  <c r="F175" i="15"/>
  <c r="F167" i="15"/>
  <c r="F166" i="15"/>
  <c r="F159" i="15"/>
  <c r="F151" i="15"/>
  <c r="F150" i="15"/>
  <c r="F143" i="15"/>
  <c r="F142" i="15"/>
  <c r="F135" i="15"/>
  <c r="F131" i="15"/>
  <c r="F127" i="15"/>
  <c r="F126" i="15"/>
  <c r="F210" i="15"/>
  <c r="F209" i="15"/>
  <c r="F202" i="15"/>
  <c r="F186" i="15"/>
  <c r="F122" i="15"/>
  <c r="F118" i="15"/>
  <c r="F197" i="15"/>
  <c r="F193" i="15"/>
  <c r="F181" i="15"/>
  <c r="F169" i="15"/>
  <c r="F168" i="15"/>
  <c r="F161" i="15"/>
  <c r="F160" i="15"/>
  <c r="F145" i="15"/>
  <c r="F144" i="15"/>
  <c r="F109" i="15"/>
  <c r="F105" i="15"/>
  <c r="F101" i="15"/>
  <c r="F97" i="15"/>
  <c r="F93" i="15"/>
  <c r="F89" i="15"/>
  <c r="F85" i="15"/>
  <c r="F81" i="15"/>
  <c r="F77" i="15"/>
  <c r="F76" i="15"/>
  <c r="F213" i="15"/>
  <c r="F204" i="15"/>
  <c r="F203" i="15"/>
  <c r="F188" i="15"/>
  <c r="F187" i="15"/>
  <c r="F176" i="15"/>
  <c r="F152" i="15"/>
  <c r="F136" i="15"/>
  <c r="F132" i="15"/>
  <c r="F128" i="15"/>
  <c r="F214" i="15"/>
  <c r="F212" i="15"/>
  <c r="F183" i="15"/>
  <c r="F182" i="15"/>
  <c r="F171" i="15"/>
  <c r="F170" i="15"/>
  <c r="F123" i="15"/>
  <c r="F119" i="15"/>
  <c r="F215" i="15"/>
  <c r="F206" i="15"/>
  <c r="F205" i="15"/>
  <c r="F198" i="15"/>
  <c r="F194" i="15"/>
  <c r="F178" i="15"/>
  <c r="F177" i="15"/>
  <c r="F162" i="15"/>
  <c r="F154" i="15"/>
  <c r="F153" i="15"/>
  <c r="F146" i="15"/>
  <c r="F138" i="15"/>
  <c r="F137" i="15"/>
  <c r="F110" i="15"/>
  <c r="F106" i="15"/>
  <c r="F102" i="15"/>
  <c r="F98" i="15"/>
  <c r="F94" i="15"/>
  <c r="F90" i="15"/>
  <c r="F86" i="15"/>
  <c r="F82" i="15"/>
  <c r="F78" i="15"/>
  <c r="F216" i="15"/>
  <c r="F189" i="15"/>
  <c r="F173" i="15"/>
  <c r="F172" i="15"/>
  <c r="F133" i="15"/>
  <c r="F129" i="15"/>
  <c r="F184" i="15"/>
  <c r="F156" i="15"/>
  <c r="F155" i="15"/>
  <c r="F148" i="15"/>
  <c r="F147" i="15"/>
  <c r="F140" i="15"/>
  <c r="F139" i="15"/>
  <c r="F124" i="15"/>
  <c r="F120" i="15"/>
  <c r="F116" i="15"/>
  <c r="F115" i="15"/>
  <c r="F201" i="15"/>
  <c r="F200" i="15"/>
  <c r="F185" i="15"/>
  <c r="F165" i="15"/>
  <c r="F164" i="15"/>
  <c r="F149" i="15"/>
  <c r="F141" i="15"/>
  <c r="F125" i="15"/>
  <c r="F121" i="15"/>
  <c r="F117" i="15"/>
  <c r="F158" i="15"/>
  <c r="F220" i="15"/>
  <c r="F199" i="15"/>
  <c r="F191" i="15"/>
  <c r="F179" i="15"/>
  <c r="F130" i="15"/>
  <c r="F114" i="15"/>
  <c r="F99" i="15"/>
  <c r="F95" i="15"/>
  <c r="F91" i="15"/>
  <c r="F87" i="15"/>
  <c r="F83" i="15"/>
  <c r="F79" i="15"/>
  <c r="F103" i="15"/>
  <c r="F157" i="15"/>
  <c r="F107" i="15"/>
  <c r="F134" i="15"/>
  <c r="F207" i="15"/>
  <c r="D112" i="15"/>
  <c r="F112" i="15" s="1"/>
  <c r="F195" i="15"/>
  <c r="F190" i="15"/>
  <c r="F174" i="15"/>
  <c r="F163" i="15"/>
  <c r="T27" i="112"/>
  <c r="Z18" i="112"/>
  <c r="T27" i="49"/>
  <c r="Z18" i="49"/>
  <c r="H71" i="109"/>
  <c r="N17" i="109"/>
  <c r="Z16" i="99"/>
  <c r="T56" i="99"/>
  <c r="X23" i="103"/>
  <c r="Z23" i="103" s="1"/>
  <c r="P91" i="103"/>
  <c r="H103" i="95"/>
  <c r="L18" i="92"/>
  <c r="D78" i="92"/>
  <c r="V23" i="95"/>
  <c r="H126" i="84"/>
  <c r="L20" i="85"/>
  <c r="N20" i="85" s="1"/>
  <c r="D28" i="85"/>
  <c r="D78" i="79"/>
  <c r="L21" i="79"/>
  <c r="N21" i="79" s="1"/>
  <c r="H78" i="79"/>
  <c r="R21" i="79"/>
  <c r="X16" i="63"/>
  <c r="P100" i="63"/>
  <c r="R79" i="68"/>
  <c r="R78" i="68"/>
  <c r="R71" i="68"/>
  <c r="R70" i="68"/>
  <c r="R54" i="68"/>
  <c r="R50" i="68"/>
  <c r="R85" i="68"/>
  <c r="R62" i="68"/>
  <c r="R61" i="68"/>
  <c r="R45" i="68"/>
  <c r="R41" i="68"/>
  <c r="R80" i="68"/>
  <c r="R73" i="68"/>
  <c r="R72" i="68"/>
  <c r="R32" i="68"/>
  <c r="R28" i="68"/>
  <c r="R87" i="68"/>
  <c r="R86" i="68"/>
  <c r="R74" i="68"/>
  <c r="R47" i="68"/>
  <c r="R46" i="68"/>
  <c r="R42" i="68"/>
  <c r="R81" i="68"/>
  <c r="R88" i="68"/>
  <c r="R56" i="68"/>
  <c r="R52" i="68"/>
  <c r="R48" i="68"/>
  <c r="R37" i="68"/>
  <c r="R35" i="68"/>
  <c r="R25" i="68"/>
  <c r="R90" i="68"/>
  <c r="R76" i="68"/>
  <c r="R75" i="68"/>
  <c r="R43" i="68"/>
  <c r="R39" i="68"/>
  <c r="P35" i="68"/>
  <c r="R82" i="68"/>
  <c r="R67" i="68"/>
  <c r="R66" i="68"/>
  <c r="R30" i="68"/>
  <c r="R26" i="68"/>
  <c r="X12" i="68"/>
  <c r="Z12" i="68" s="1"/>
  <c r="R84" i="68"/>
  <c r="R83" i="68"/>
  <c r="R60" i="68"/>
  <c r="R59" i="68"/>
  <c r="R31" i="68"/>
  <c r="R27" i="68"/>
  <c r="R58" i="68"/>
  <c r="R63" i="68"/>
  <c r="R40" i="68"/>
  <c r="R94" i="68"/>
  <c r="R64" i="68"/>
  <c r="R44" i="68"/>
  <c r="R68" i="68"/>
  <c r="R33" i="68"/>
  <c r="R29" i="68"/>
  <c r="R57" i="68"/>
  <c r="R77" i="68"/>
  <c r="R69" i="68"/>
  <c r="R55" i="68"/>
  <c r="R51" i="68"/>
  <c r="R38" i="68"/>
  <c r="R49" i="68"/>
  <c r="R53" i="68"/>
  <c r="R65" i="68"/>
  <c r="X19" i="72"/>
  <c r="Z19" i="72" s="1"/>
  <c r="P70" i="72"/>
  <c r="T101" i="51"/>
  <c r="X17" i="57"/>
  <c r="N22" i="54"/>
  <c r="H26" i="54"/>
  <c r="F92" i="45"/>
  <c r="F91" i="45"/>
  <c r="F76" i="45"/>
  <c r="F44" i="45"/>
  <c r="F40" i="45"/>
  <c r="F87" i="45"/>
  <c r="F83" i="45"/>
  <c r="F71" i="45"/>
  <c r="F63" i="45"/>
  <c r="F62" i="45"/>
  <c r="F51" i="45"/>
  <c r="F50" i="45"/>
  <c r="F35" i="45"/>
  <c r="F31" i="45"/>
  <c r="F27" i="45"/>
  <c r="F26" i="45"/>
  <c r="F25" i="45"/>
  <c r="F93" i="45"/>
  <c r="F77" i="45"/>
  <c r="F65" i="45"/>
  <c r="F64" i="45"/>
  <c r="F53" i="45"/>
  <c r="F52" i="45"/>
  <c r="F45" i="45"/>
  <c r="F41" i="45"/>
  <c r="D23" i="45"/>
  <c r="F23" i="45" s="1"/>
  <c r="F88" i="45"/>
  <c r="F84" i="45"/>
  <c r="F72" i="45"/>
  <c r="F36" i="45"/>
  <c r="F32" i="45"/>
  <c r="F28" i="45"/>
  <c r="L12" i="45"/>
  <c r="N12" i="45" s="1"/>
  <c r="F95" i="45"/>
  <c r="F94" i="45"/>
  <c r="F79" i="45"/>
  <c r="F78" i="45"/>
  <c r="F67" i="45"/>
  <c r="F66" i="45"/>
  <c r="F55" i="45"/>
  <c r="F54" i="45"/>
  <c r="F19" i="45"/>
  <c r="F18" i="45"/>
  <c r="F74" i="45"/>
  <c r="F73" i="45"/>
  <c r="F46" i="45"/>
  <c r="F42" i="45"/>
  <c r="F38" i="45"/>
  <c r="F37" i="45"/>
  <c r="F97" i="45"/>
  <c r="F96" i="45"/>
  <c r="F89" i="45"/>
  <c r="F85" i="45"/>
  <c r="F81" i="45"/>
  <c r="F80" i="45"/>
  <c r="F69" i="45"/>
  <c r="F68" i="45"/>
  <c r="F57" i="45"/>
  <c r="F56" i="45"/>
  <c r="F33" i="45"/>
  <c r="F29" i="45"/>
  <c r="F20" i="45"/>
  <c r="F103" i="45"/>
  <c r="F61" i="45"/>
  <c r="F60" i="45"/>
  <c r="F49" i="45"/>
  <c r="F48" i="45"/>
  <c r="F21" i="45"/>
  <c r="F75" i="45"/>
  <c r="F47" i="45"/>
  <c r="F82" i="45"/>
  <c r="F39" i="45"/>
  <c r="F86" i="45"/>
  <c r="F90" i="45"/>
  <c r="F59" i="45"/>
  <c r="F70" i="45"/>
  <c r="F43" i="45"/>
  <c r="F99" i="45"/>
  <c r="F30" i="45"/>
  <c r="F34" i="45"/>
  <c r="F58" i="45"/>
  <c r="H131" i="39"/>
  <c r="J27" i="33"/>
  <c r="D106" i="21"/>
  <c r="L24" i="21"/>
  <c r="N24" i="21" s="1"/>
  <c r="N17" i="9"/>
  <c r="H102" i="9"/>
  <c r="N16" i="6"/>
  <c r="H22" i="6"/>
  <c r="T27" i="43"/>
  <c r="Z18" i="43"/>
  <c r="H27" i="40"/>
  <c r="N18" i="40"/>
  <c r="X18" i="32"/>
  <c r="P27" i="32"/>
  <c r="L18" i="32"/>
  <c r="D27" i="32"/>
  <c r="H27" i="28"/>
  <c r="N18" i="28"/>
  <c r="P27" i="23"/>
  <c r="X18" i="23"/>
  <c r="P27" i="22"/>
  <c r="X18" i="22"/>
  <c r="T27" i="16"/>
  <c r="Z18" i="16"/>
  <c r="H27" i="8"/>
  <c r="N18" i="8"/>
  <c r="T27" i="11"/>
  <c r="Z18" i="11"/>
  <c r="H27" i="7"/>
  <c r="N18" i="7"/>
  <c r="D90" i="107" l="1"/>
  <c r="L86" i="107"/>
  <c r="T85" i="94"/>
  <c r="L27" i="37"/>
  <c r="D31" i="37"/>
  <c r="T88" i="33"/>
  <c r="V85" i="33"/>
  <c r="Z27" i="16"/>
  <c r="T31" i="16"/>
  <c r="T31" i="43"/>
  <c r="Z27" i="43"/>
  <c r="H82" i="79"/>
  <c r="J78" i="79"/>
  <c r="H26" i="6"/>
  <c r="N22" i="6"/>
  <c r="H31" i="38"/>
  <c r="N27" i="38"/>
  <c r="H60" i="99"/>
  <c r="N27" i="23"/>
  <c r="H31" i="23"/>
  <c r="N27" i="43"/>
  <c r="H31" i="43"/>
  <c r="D105" i="76"/>
  <c r="L101" i="76"/>
  <c r="F101" i="76"/>
  <c r="P31" i="10"/>
  <c r="X27" i="10"/>
  <c r="D127" i="36"/>
  <c r="L27" i="36"/>
  <c r="N27" i="36" s="1"/>
  <c r="L70" i="72"/>
  <c r="D74" i="72"/>
  <c r="N27" i="37"/>
  <c r="H31" i="37"/>
  <c r="N32" i="88"/>
  <c r="H36" i="88"/>
  <c r="L36" i="88" s="1"/>
  <c r="N27" i="46"/>
  <c r="H31" i="46"/>
  <c r="L120" i="42"/>
  <c r="D124" i="42"/>
  <c r="F120" i="42"/>
  <c r="X27" i="19"/>
  <c r="P31" i="19"/>
  <c r="X24" i="21"/>
  <c r="Z24" i="21" s="1"/>
  <c r="P106" i="21"/>
  <c r="Z27" i="19"/>
  <c r="T31" i="19"/>
  <c r="N27" i="47"/>
  <c r="H31" i="47"/>
  <c r="X73" i="57"/>
  <c r="P77" i="57"/>
  <c r="T92" i="97"/>
  <c r="D261" i="3"/>
  <c r="L144" i="3"/>
  <c r="N144" i="3" s="1"/>
  <c r="J149" i="74"/>
  <c r="H153" i="74"/>
  <c r="H94" i="83"/>
  <c r="J90" i="83"/>
  <c r="P101" i="51"/>
  <c r="X46" i="51"/>
  <c r="Z46" i="51" s="1"/>
  <c r="T106" i="9"/>
  <c r="X27" i="50"/>
  <c r="P31" i="50"/>
  <c r="X27" i="20"/>
  <c r="P31" i="20"/>
  <c r="L52" i="27"/>
  <c r="N52" i="27" s="1"/>
  <c r="D115" i="27"/>
  <c r="T105" i="51"/>
  <c r="V101" i="51"/>
  <c r="P95" i="103"/>
  <c r="X91" i="103"/>
  <c r="Z91" i="103" s="1"/>
  <c r="R91" i="103"/>
  <c r="T31" i="37"/>
  <c r="Z27" i="37"/>
  <c r="F144" i="3"/>
  <c r="P165" i="30"/>
  <c r="X76" i="30"/>
  <c r="Z76" i="30" s="1"/>
  <c r="P31" i="46"/>
  <c r="X27" i="46"/>
  <c r="D31" i="4"/>
  <c r="L27" i="4"/>
  <c r="L27" i="43"/>
  <c r="D31" i="43"/>
  <c r="T97" i="87"/>
  <c r="H31" i="19"/>
  <c r="N27" i="19"/>
  <c r="Z27" i="28"/>
  <c r="T31" i="28"/>
  <c r="Z27" i="53"/>
  <c r="T31" i="53"/>
  <c r="H229" i="12"/>
  <c r="J225" i="12"/>
  <c r="T31" i="54"/>
  <c r="Z26" i="54"/>
  <c r="Z27" i="29"/>
  <c r="T31" i="29"/>
  <c r="Z27" i="110"/>
  <c r="T31" i="110"/>
  <c r="Z27" i="17"/>
  <c r="T31" i="17"/>
  <c r="T31" i="32"/>
  <c r="Z27" i="32"/>
  <c r="D104" i="63"/>
  <c r="L100" i="63"/>
  <c r="X27" i="4"/>
  <c r="P31" i="4"/>
  <c r="D67" i="61"/>
  <c r="T74" i="80"/>
  <c r="P75" i="59"/>
  <c r="X71" i="59"/>
  <c r="X33" i="55"/>
  <c r="Z33" i="55" s="1"/>
  <c r="P37" i="55"/>
  <c r="L17" i="56"/>
  <c r="D78" i="56"/>
  <c r="T75" i="109"/>
  <c r="V71" i="109"/>
  <c r="L24" i="108"/>
  <c r="D28" i="108"/>
  <c r="L27" i="52"/>
  <c r="D31" i="52"/>
  <c r="T31" i="108"/>
  <c r="Z31" i="108" s="1"/>
  <c r="Z28" i="108"/>
  <c r="N27" i="7"/>
  <c r="H31" i="7"/>
  <c r="L27" i="26"/>
  <c r="D31" i="26"/>
  <c r="Z27" i="41"/>
  <c r="T31" i="41"/>
  <c r="R76" i="30"/>
  <c r="N27" i="41"/>
  <c r="H31" i="41"/>
  <c r="X35" i="24"/>
  <c r="Z35" i="24" s="1"/>
  <c r="P92" i="24"/>
  <c r="R35" i="24"/>
  <c r="H70" i="69"/>
  <c r="N66" i="69"/>
  <c r="V98" i="103"/>
  <c r="D70" i="69"/>
  <c r="L66" i="69"/>
  <c r="V93" i="107"/>
  <c r="L27" i="110"/>
  <c r="D31" i="110"/>
  <c r="T37" i="55"/>
  <c r="H122" i="27"/>
  <c r="J119" i="27"/>
  <c r="P115" i="27"/>
  <c r="X52" i="27"/>
  <c r="Z52" i="27" s="1"/>
  <c r="H74" i="80"/>
  <c r="H31" i="29"/>
  <c r="N27" i="29"/>
  <c r="Z27" i="52"/>
  <c r="T31" i="52"/>
  <c r="T113" i="21"/>
  <c r="V110" i="21"/>
  <c r="H105" i="51"/>
  <c r="J101" i="51"/>
  <c r="N22" i="62"/>
  <c r="H26" i="62"/>
  <c r="P82" i="92"/>
  <c r="X78" i="92"/>
  <c r="Z78" i="92" s="1"/>
  <c r="D62" i="102"/>
  <c r="L58" i="102"/>
  <c r="Z27" i="23"/>
  <c r="T31" i="23"/>
  <c r="D31" i="34"/>
  <c r="L27" i="34"/>
  <c r="X27" i="111"/>
  <c r="P31" i="111"/>
  <c r="T222" i="15"/>
  <c r="V218" i="15"/>
  <c r="T35" i="85"/>
  <c r="V32" i="85"/>
  <c r="H88" i="91"/>
  <c r="T31" i="22"/>
  <c r="Z27" i="22"/>
  <c r="T77" i="57"/>
  <c r="Z73" i="57"/>
  <c r="P29" i="98"/>
  <c r="X25" i="98"/>
  <c r="R25" i="98"/>
  <c r="X27" i="23"/>
  <c r="P31" i="23"/>
  <c r="T119" i="27"/>
  <c r="V115" i="27"/>
  <c r="D26" i="54"/>
  <c r="L22" i="54"/>
  <c r="H77" i="57"/>
  <c r="Z27" i="25"/>
  <c r="T31" i="25"/>
  <c r="X64" i="61"/>
  <c r="Z64" i="61" s="1"/>
  <c r="P67" i="61"/>
  <c r="X67" i="61" s="1"/>
  <c r="Z67" i="61" s="1"/>
  <c r="T37" i="100"/>
  <c r="X27" i="28"/>
  <c r="P31" i="28"/>
  <c r="T31" i="26"/>
  <c r="Z27" i="26"/>
  <c r="T56" i="82"/>
  <c r="V53" i="82"/>
  <c r="H106" i="9"/>
  <c r="N27" i="28"/>
  <c r="H31" i="28"/>
  <c r="D31" i="32"/>
  <c r="L27" i="32"/>
  <c r="D82" i="79"/>
  <c r="L78" i="79"/>
  <c r="N78" i="79" s="1"/>
  <c r="T60" i="99"/>
  <c r="T85" i="75"/>
  <c r="V81" i="75"/>
  <c r="D75" i="59"/>
  <c r="L71" i="59"/>
  <c r="T105" i="76"/>
  <c r="V101" i="76"/>
  <c r="D31" i="11"/>
  <c r="L27" i="11"/>
  <c r="N27" i="35"/>
  <c r="H31" i="35"/>
  <c r="X27" i="110"/>
  <c r="P31" i="110"/>
  <c r="P225" i="12"/>
  <c r="X116" i="12"/>
  <c r="Z116" i="12" s="1"/>
  <c r="N120" i="42"/>
  <c r="H124" i="42"/>
  <c r="J120" i="42"/>
  <c r="T87" i="93"/>
  <c r="L27" i="23"/>
  <c r="D31" i="23"/>
  <c r="P80" i="58"/>
  <c r="X76" i="58"/>
  <c r="X27" i="14"/>
  <c r="P31" i="14"/>
  <c r="N27" i="14"/>
  <c r="H31" i="14"/>
  <c r="N27" i="52"/>
  <c r="H31" i="52"/>
  <c r="P101" i="76"/>
  <c r="X46" i="76"/>
  <c r="Z46" i="76" s="1"/>
  <c r="Z27" i="5"/>
  <c r="T31" i="5"/>
  <c r="Z27" i="46"/>
  <c r="T31" i="46"/>
  <c r="H92" i="97"/>
  <c r="X27" i="53"/>
  <c r="P31" i="53"/>
  <c r="D73" i="57"/>
  <c r="L17" i="57"/>
  <c r="H62" i="102"/>
  <c r="N58" i="102"/>
  <c r="Z27" i="4"/>
  <c r="T31" i="4"/>
  <c r="J92" i="24"/>
  <c r="H96" i="24"/>
  <c r="P94" i="87"/>
  <c r="X90" i="87"/>
  <c r="Z90" i="87" s="1"/>
  <c r="Z27" i="111"/>
  <c r="T31" i="111"/>
  <c r="H85" i="56"/>
  <c r="T123" i="84"/>
  <c r="V119" i="84"/>
  <c r="P31" i="38"/>
  <c r="X27" i="38"/>
  <c r="Z71" i="59"/>
  <c r="T75" i="59"/>
  <c r="D31" i="5"/>
  <c r="L27" i="5"/>
  <c r="D92" i="24"/>
  <c r="L35" i="24"/>
  <c r="N35" i="24" s="1"/>
  <c r="T96" i="68"/>
  <c r="V92" i="68"/>
  <c r="L25" i="98"/>
  <c r="D29" i="98"/>
  <c r="F25" i="98"/>
  <c r="X71" i="109"/>
  <c r="Z71" i="109" s="1"/>
  <c r="P75" i="109"/>
  <c r="R71" i="109"/>
  <c r="D31" i="111"/>
  <c r="L27" i="111"/>
  <c r="L27" i="33"/>
  <c r="N27" i="33" s="1"/>
  <c r="D81" i="33"/>
  <c r="H85" i="75"/>
  <c r="J81" i="75"/>
  <c r="H28" i="108"/>
  <c r="N24" i="108"/>
  <c r="L27" i="28"/>
  <c r="D31" i="28"/>
  <c r="L27" i="7"/>
  <c r="D31" i="7"/>
  <c r="H31" i="32"/>
  <c r="N27" i="32"/>
  <c r="P31" i="26"/>
  <c r="X27" i="26"/>
  <c r="X78" i="79"/>
  <c r="Z78" i="79" s="1"/>
  <c r="P82" i="79"/>
  <c r="R78" i="79"/>
  <c r="H82" i="92"/>
  <c r="H31" i="34"/>
  <c r="N27" i="34"/>
  <c r="X27" i="112"/>
  <c r="P31" i="112"/>
  <c r="T104" i="63"/>
  <c r="T36" i="88"/>
  <c r="X36" i="88" s="1"/>
  <c r="P101" i="45"/>
  <c r="X23" i="45"/>
  <c r="Z23" i="45" s="1"/>
  <c r="X82" i="56"/>
  <c r="Z82" i="56" s="1"/>
  <c r="P85" i="56"/>
  <c r="X85" i="56" s="1"/>
  <c r="Z85" i="56" s="1"/>
  <c r="D31" i="41"/>
  <c r="L27" i="41"/>
  <c r="L58" i="60"/>
  <c r="N58" i="60" s="1"/>
  <c r="D62" i="60"/>
  <c r="T31" i="11"/>
  <c r="Z27" i="11"/>
  <c r="X70" i="72"/>
  <c r="Z70" i="72" s="1"/>
  <c r="P74" i="72"/>
  <c r="D32" i="85"/>
  <c r="L28" i="85"/>
  <c r="X27" i="52"/>
  <c r="P31" i="52"/>
  <c r="X27" i="32"/>
  <c r="P31" i="32"/>
  <c r="N27" i="26"/>
  <c r="H31" i="26"/>
  <c r="H43" i="101"/>
  <c r="N101" i="76"/>
  <c r="H105" i="76"/>
  <c r="J101" i="76"/>
  <c r="P70" i="80"/>
  <c r="X19" i="80"/>
  <c r="H56" i="82"/>
  <c r="J53" i="82"/>
  <c r="X23" i="105"/>
  <c r="Z23" i="105" s="1"/>
  <c r="P96" i="105"/>
  <c r="N27" i="11"/>
  <c r="H31" i="11"/>
  <c r="Z27" i="35"/>
  <c r="T31" i="35"/>
  <c r="R116" i="12"/>
  <c r="H108" i="45"/>
  <c r="J105" i="45"/>
  <c r="T62" i="60"/>
  <c r="X42" i="84"/>
  <c r="Z42" i="84" s="1"/>
  <c r="P119" i="84"/>
  <c r="Z27" i="8"/>
  <c r="T31" i="8"/>
  <c r="N27" i="110"/>
  <c r="H31" i="110"/>
  <c r="T26" i="62"/>
  <c r="Z22" i="62"/>
  <c r="D91" i="103"/>
  <c r="L23" i="103"/>
  <c r="N23" i="103" s="1"/>
  <c r="H103" i="105"/>
  <c r="J100" i="105"/>
  <c r="N27" i="4"/>
  <c r="H31" i="4"/>
  <c r="T31" i="31"/>
  <c r="Z27" i="31"/>
  <c r="H31" i="53"/>
  <c r="N27" i="53"/>
  <c r="T131" i="39"/>
  <c r="V128" i="39"/>
  <c r="L76" i="74"/>
  <c r="N76" i="74" s="1"/>
  <c r="D149" i="74"/>
  <c r="H31" i="50"/>
  <c r="N27" i="50"/>
  <c r="Z62" i="102"/>
  <c r="T65" i="102"/>
  <c r="X65" i="102" s="1"/>
  <c r="X27" i="49"/>
  <c r="P31" i="49"/>
  <c r="P31" i="34"/>
  <c r="X27" i="34"/>
  <c r="L76" i="58"/>
  <c r="N76" i="58" s="1"/>
  <c r="D80" i="58"/>
  <c r="P31" i="13"/>
  <c r="X27" i="13"/>
  <c r="H31" i="31"/>
  <c r="N27" i="31"/>
  <c r="H113" i="21"/>
  <c r="J110" i="21"/>
  <c r="H169" i="30"/>
  <c r="J165" i="30"/>
  <c r="X32" i="88"/>
  <c r="Z32" i="88" s="1"/>
  <c r="H82" i="94"/>
  <c r="H31" i="17"/>
  <c r="N27" i="17"/>
  <c r="X27" i="40"/>
  <c r="P31" i="40"/>
  <c r="T229" i="12"/>
  <c r="V225" i="12"/>
  <c r="F52" i="27"/>
  <c r="H31" i="22"/>
  <c r="N27" i="22"/>
  <c r="H28" i="104"/>
  <c r="N24" i="104"/>
  <c r="L106" i="21"/>
  <c r="N106" i="21" s="1"/>
  <c r="D110" i="21"/>
  <c r="P92" i="68"/>
  <c r="X35" i="68"/>
  <c r="Z35" i="68" s="1"/>
  <c r="D225" i="12"/>
  <c r="L116" i="12"/>
  <c r="N116" i="12" s="1"/>
  <c r="N27" i="8"/>
  <c r="H31" i="8"/>
  <c r="J126" i="84"/>
  <c r="H75" i="109"/>
  <c r="J71" i="109"/>
  <c r="P127" i="36"/>
  <c r="X27" i="36"/>
  <c r="Z27" i="36" s="1"/>
  <c r="R27" i="36"/>
  <c r="L17" i="48"/>
  <c r="N17" i="48" s="1"/>
  <c r="D71" i="48"/>
  <c r="X27" i="8"/>
  <c r="P31" i="8"/>
  <c r="X27" i="47"/>
  <c r="P31" i="47"/>
  <c r="D75" i="109"/>
  <c r="L71" i="109"/>
  <c r="N71" i="109" s="1"/>
  <c r="F71" i="109"/>
  <c r="H31" i="16"/>
  <c r="N27" i="16"/>
  <c r="T31" i="50"/>
  <c r="Z27" i="50"/>
  <c r="D74" i="80"/>
  <c r="L70" i="80"/>
  <c r="N70" i="80" s="1"/>
  <c r="X27" i="16"/>
  <c r="P31" i="16"/>
  <c r="X25" i="42"/>
  <c r="Z25" i="42" s="1"/>
  <c r="P120" i="42"/>
  <c r="X56" i="99"/>
  <c r="Z56" i="99" s="1"/>
  <c r="P60" i="99"/>
  <c r="D31" i="40"/>
  <c r="L27" i="40"/>
  <c r="P99" i="95"/>
  <c r="X23" i="95"/>
  <c r="Z23" i="95" s="1"/>
  <c r="D31" i="22"/>
  <c r="L27" i="22"/>
  <c r="D31" i="112"/>
  <c r="L27" i="112"/>
  <c r="L27" i="8"/>
  <c r="D31" i="8"/>
  <c r="X102" i="9"/>
  <c r="Z102" i="9" s="1"/>
  <c r="P106" i="9"/>
  <c r="H94" i="87"/>
  <c r="L27" i="49"/>
  <c r="D31" i="49"/>
  <c r="H64" i="61"/>
  <c r="L64" i="61" s="1"/>
  <c r="N60" i="61"/>
  <c r="L19" i="97"/>
  <c r="D85" i="97"/>
  <c r="D100" i="105"/>
  <c r="L96" i="105"/>
  <c r="N96" i="105" s="1"/>
  <c r="F96" i="105"/>
  <c r="P31" i="41"/>
  <c r="X27" i="41"/>
  <c r="X27" i="35"/>
  <c r="P31" i="35"/>
  <c r="P39" i="88"/>
  <c r="P31" i="11"/>
  <c r="X27" i="11"/>
  <c r="X27" i="37"/>
  <c r="P31" i="37"/>
  <c r="N28" i="85"/>
  <c r="H32" i="85"/>
  <c r="J28" i="85"/>
  <c r="L24" i="104"/>
  <c r="D28" i="104"/>
  <c r="T131" i="36"/>
  <c r="V127" i="36"/>
  <c r="H96" i="68"/>
  <c r="J92" i="68"/>
  <c r="P86" i="107"/>
  <c r="X19" i="107"/>
  <c r="Z19" i="107" s="1"/>
  <c r="P104" i="63"/>
  <c r="X100" i="63"/>
  <c r="Z100" i="63" s="1"/>
  <c r="P31" i="7"/>
  <c r="X27" i="7"/>
  <c r="L27" i="38"/>
  <c r="D31" i="38"/>
  <c r="T31" i="44"/>
  <c r="Z27" i="44"/>
  <c r="D37" i="55"/>
  <c r="L33" i="55"/>
  <c r="N33" i="55" s="1"/>
  <c r="P88" i="91"/>
  <c r="X84" i="91"/>
  <c r="Z84" i="91" s="1"/>
  <c r="X218" i="15"/>
  <c r="Z218" i="15" s="1"/>
  <c r="P222" i="15"/>
  <c r="R218" i="15"/>
  <c r="D43" i="101"/>
  <c r="L39" i="101"/>
  <c r="N39" i="101" s="1"/>
  <c r="P26" i="54"/>
  <c r="X22" i="54"/>
  <c r="D31" i="29"/>
  <c r="L27" i="29"/>
  <c r="H75" i="59"/>
  <c r="N71" i="59"/>
  <c r="T156" i="74"/>
  <c r="V153" i="74"/>
  <c r="P43" i="101"/>
  <c r="X39" i="101"/>
  <c r="Z39" i="101" s="1"/>
  <c r="Z27" i="14"/>
  <c r="T31" i="14"/>
  <c r="Z27" i="40"/>
  <c r="T31" i="40"/>
  <c r="T265" i="3"/>
  <c r="V261" i="3"/>
  <c r="T99" i="24"/>
  <c r="V96" i="24"/>
  <c r="T88" i="91"/>
  <c r="T100" i="105"/>
  <c r="V96" i="105"/>
  <c r="H31" i="5"/>
  <c r="N27" i="5"/>
  <c r="P26" i="62"/>
  <c r="X22" i="62"/>
  <c r="D128" i="39"/>
  <c r="L124" i="39"/>
  <c r="N124" i="39" s="1"/>
  <c r="F124" i="39"/>
  <c r="R46" i="51"/>
  <c r="P114" i="70"/>
  <c r="X51" i="70"/>
  <c r="Z51" i="70" s="1"/>
  <c r="L27" i="50"/>
  <c r="D31" i="50"/>
  <c r="D63" i="99"/>
  <c r="T31" i="10"/>
  <c r="Z27" i="10"/>
  <c r="H265" i="3"/>
  <c r="J261" i="3"/>
  <c r="H40" i="55"/>
  <c r="P85" i="75"/>
  <c r="X81" i="75"/>
  <c r="Z81" i="75" s="1"/>
  <c r="R81" i="75"/>
  <c r="D26" i="6"/>
  <c r="L22" i="6"/>
  <c r="H131" i="36"/>
  <c r="J127" i="36"/>
  <c r="X24" i="108"/>
  <c r="P28" i="108"/>
  <c r="H106" i="95"/>
  <c r="J103" i="95"/>
  <c r="X89" i="97"/>
  <c r="Z89" i="97" s="1"/>
  <c r="P92" i="97"/>
  <c r="X92" i="97" s="1"/>
  <c r="H31" i="40"/>
  <c r="N27" i="40"/>
  <c r="Z27" i="49"/>
  <c r="T31" i="49"/>
  <c r="L27" i="53"/>
  <c r="D31" i="53"/>
  <c r="H74" i="72"/>
  <c r="N70" i="72"/>
  <c r="J70" i="72"/>
  <c r="T97" i="83"/>
  <c r="V94" i="83"/>
  <c r="N27" i="49"/>
  <c r="H31" i="49"/>
  <c r="Z27" i="20"/>
  <c r="T31" i="20"/>
  <c r="P28" i="85"/>
  <c r="X20" i="85"/>
  <c r="Z20" i="85" s="1"/>
  <c r="L27" i="25"/>
  <c r="D31" i="25"/>
  <c r="H85" i="33"/>
  <c r="J81" i="33"/>
  <c r="H31" i="10"/>
  <c r="N27" i="10"/>
  <c r="X27" i="43"/>
  <c r="P31" i="43"/>
  <c r="D78" i="94"/>
  <c r="L20" i="94"/>
  <c r="X27" i="5"/>
  <c r="P31" i="5"/>
  <c r="P31" i="25"/>
  <c r="X27" i="25"/>
  <c r="D106" i="9"/>
  <c r="L102" i="9"/>
  <c r="N102" i="9" s="1"/>
  <c r="V121" i="70"/>
  <c r="L90" i="87"/>
  <c r="N90" i="87" s="1"/>
  <c r="D94" i="87"/>
  <c r="L30" i="100"/>
  <c r="D34" i="100"/>
  <c r="D39" i="88"/>
  <c r="T31" i="38"/>
  <c r="Z27" i="38"/>
  <c r="L56" i="99"/>
  <c r="N56" i="99" s="1"/>
  <c r="T31" i="7"/>
  <c r="Z27" i="7"/>
  <c r="H80" i="58"/>
  <c r="L27" i="14"/>
  <c r="D31" i="14"/>
  <c r="H118" i="70"/>
  <c r="J114" i="70"/>
  <c r="D84" i="93"/>
  <c r="L80" i="93"/>
  <c r="N80" i="93" s="1"/>
  <c r="X30" i="100"/>
  <c r="Z30" i="100" s="1"/>
  <c r="P34" i="100"/>
  <c r="D31" i="16"/>
  <c r="L27" i="16"/>
  <c r="H95" i="103"/>
  <c r="J91" i="103"/>
  <c r="D88" i="91"/>
  <c r="L84" i="91"/>
  <c r="N84" i="91" s="1"/>
  <c r="N30" i="100"/>
  <c r="H34" i="100"/>
  <c r="L27" i="44"/>
  <c r="D31" i="44"/>
  <c r="H31" i="54"/>
  <c r="N26" i="54"/>
  <c r="D82" i="92"/>
  <c r="L78" i="92"/>
  <c r="N78" i="92" s="1"/>
  <c r="Z27" i="13"/>
  <c r="T31" i="13"/>
  <c r="Z27" i="34"/>
  <c r="T31" i="34"/>
  <c r="D242" i="18"/>
  <c r="L135" i="18"/>
  <c r="N135" i="18" s="1"/>
  <c r="T105" i="45"/>
  <c r="V101" i="45"/>
  <c r="N27" i="13"/>
  <c r="H31" i="13"/>
  <c r="N27" i="112"/>
  <c r="H31" i="112"/>
  <c r="P261" i="3"/>
  <c r="X144" i="3"/>
  <c r="Z144" i="3" s="1"/>
  <c r="P90" i="83"/>
  <c r="X21" i="83"/>
  <c r="Z21" i="83" s="1"/>
  <c r="L22" i="62"/>
  <c r="D26" i="62"/>
  <c r="H65" i="60"/>
  <c r="D92" i="68"/>
  <c r="L35" i="68"/>
  <c r="N35" i="68" s="1"/>
  <c r="D31" i="35"/>
  <c r="L27" i="35"/>
  <c r="P153" i="74"/>
  <c r="X149" i="74"/>
  <c r="Z149" i="74" s="1"/>
  <c r="R149" i="74"/>
  <c r="L90" i="83"/>
  <c r="N90" i="83" s="1"/>
  <c r="D94" i="83"/>
  <c r="P84" i="93"/>
  <c r="X80" i="93"/>
  <c r="Z80" i="93" s="1"/>
  <c r="T43" i="101"/>
  <c r="L81" i="75"/>
  <c r="N81" i="75" s="1"/>
  <c r="D85" i="75"/>
  <c r="F81" i="75"/>
  <c r="N27" i="25"/>
  <c r="H31" i="25"/>
  <c r="X82" i="94"/>
  <c r="Z82" i="94" s="1"/>
  <c r="P85" i="94"/>
  <c r="R82" i="94"/>
  <c r="D31" i="19"/>
  <c r="L27" i="19"/>
  <c r="T29" i="98"/>
  <c r="Z25" i="98"/>
  <c r="L27" i="46"/>
  <c r="D31" i="46"/>
  <c r="P124" i="39"/>
  <c r="X28" i="39"/>
  <c r="Z28" i="39" s="1"/>
  <c r="P62" i="60"/>
  <c r="X58" i="60"/>
  <c r="Z58" i="60" s="1"/>
  <c r="N25" i="98"/>
  <c r="H29" i="98"/>
  <c r="Z27" i="47"/>
  <c r="T31" i="47"/>
  <c r="D165" i="30"/>
  <c r="L76" i="30"/>
  <c r="N76" i="30" s="1"/>
  <c r="P75" i="48"/>
  <c r="X71" i="48"/>
  <c r="Z71" i="48" s="1"/>
  <c r="R71" i="48"/>
  <c r="T103" i="95"/>
  <c r="V99" i="95"/>
  <c r="D31" i="17"/>
  <c r="L27" i="17"/>
  <c r="N27" i="44"/>
  <c r="H31" i="44"/>
  <c r="H75" i="48"/>
  <c r="J71" i="48"/>
  <c r="D103" i="95"/>
  <c r="L99" i="95"/>
  <c r="N99" i="95" s="1"/>
  <c r="Z28" i="104"/>
  <c r="T31" i="104"/>
  <c r="Z31" i="104" s="1"/>
  <c r="D101" i="45"/>
  <c r="L23" i="45"/>
  <c r="N23" i="45" s="1"/>
  <c r="L112" i="15"/>
  <c r="N112" i="15" s="1"/>
  <c r="D218" i="15"/>
  <c r="J131" i="39"/>
  <c r="P31" i="22"/>
  <c r="X27" i="22"/>
  <c r="Z27" i="112"/>
  <c r="T31" i="112"/>
  <c r="L27" i="13"/>
  <c r="D31" i="13"/>
  <c r="H246" i="18"/>
  <c r="J242" i="18"/>
  <c r="D101" i="51"/>
  <c r="L46" i="51"/>
  <c r="N46" i="51" s="1"/>
  <c r="V77" i="72"/>
  <c r="X27" i="29"/>
  <c r="P31" i="29"/>
  <c r="P31" i="6"/>
  <c r="T75" i="48"/>
  <c r="V71" i="48"/>
  <c r="X27" i="31"/>
  <c r="P31" i="31"/>
  <c r="H225" i="15"/>
  <c r="J222" i="15"/>
  <c r="T80" i="58"/>
  <c r="Z76" i="58"/>
  <c r="R20" i="85"/>
  <c r="P28" i="104"/>
  <c r="X24" i="104"/>
  <c r="D31" i="10"/>
  <c r="L27" i="10"/>
  <c r="T124" i="42"/>
  <c r="V120" i="42"/>
  <c r="T82" i="79"/>
  <c r="V78" i="79"/>
  <c r="L27" i="47"/>
  <c r="D31" i="47"/>
  <c r="P242" i="18"/>
  <c r="X135" i="18"/>
  <c r="Z135" i="18" s="1"/>
  <c r="R135" i="18"/>
  <c r="T169" i="30"/>
  <c r="V165" i="30"/>
  <c r="P49" i="82"/>
  <c r="X23" i="82"/>
  <c r="Z23" i="82" s="1"/>
  <c r="R23" i="82"/>
  <c r="N86" i="107"/>
  <c r="H90" i="107"/>
  <c r="J86" i="107"/>
  <c r="X27" i="17"/>
  <c r="P31" i="17"/>
  <c r="L27" i="31"/>
  <c r="D31" i="31"/>
  <c r="Z22" i="6"/>
  <c r="T26" i="6"/>
  <c r="X85" i="33"/>
  <c r="Z85" i="33" s="1"/>
  <c r="P88" i="33"/>
  <c r="R85" i="33"/>
  <c r="H31" i="111"/>
  <c r="N27" i="111"/>
  <c r="N100" i="63"/>
  <c r="H104" i="63"/>
  <c r="L51" i="70"/>
  <c r="N51" i="70" s="1"/>
  <c r="D114" i="70"/>
  <c r="L23" i="82"/>
  <c r="N23" i="82" s="1"/>
  <c r="D49" i="82"/>
  <c r="L42" i="84"/>
  <c r="N42" i="84" s="1"/>
  <c r="D119" i="84"/>
  <c r="H31" i="20"/>
  <c r="N27" i="20"/>
  <c r="Z66" i="69"/>
  <c r="V66" i="69"/>
  <c r="T70" i="69"/>
  <c r="X70" i="69" s="1"/>
  <c r="D31" i="20"/>
  <c r="L27" i="20"/>
  <c r="P31" i="44"/>
  <c r="X27" i="44"/>
  <c r="F76" i="30"/>
  <c r="P73" i="69"/>
  <c r="H84" i="93"/>
  <c r="N31" i="13" l="1"/>
  <c r="H36" i="13"/>
  <c r="N36" i="13" s="1"/>
  <c r="H35" i="85"/>
  <c r="J32" i="85"/>
  <c r="L80" i="58"/>
  <c r="D83" i="58"/>
  <c r="X31" i="31"/>
  <c r="P36" i="31"/>
  <c r="V131" i="39"/>
  <c r="T108" i="76"/>
  <c r="V105" i="76"/>
  <c r="H108" i="51"/>
  <c r="J105" i="51"/>
  <c r="D36" i="20"/>
  <c r="L31" i="20"/>
  <c r="D36" i="47"/>
  <c r="L31" i="47"/>
  <c r="X31" i="29"/>
  <c r="P36" i="29"/>
  <c r="H36" i="111"/>
  <c r="N36" i="111" s="1"/>
  <c r="N31" i="111"/>
  <c r="X124" i="39"/>
  <c r="Z124" i="39" s="1"/>
  <c r="P128" i="39"/>
  <c r="R124" i="39"/>
  <c r="H87" i="93"/>
  <c r="T85" i="79"/>
  <c r="V82" i="79"/>
  <c r="P36" i="22"/>
  <c r="X31" i="22"/>
  <c r="H78" i="48"/>
  <c r="J75" i="48"/>
  <c r="D36" i="46"/>
  <c r="L31" i="46"/>
  <c r="D36" i="35"/>
  <c r="L31" i="35"/>
  <c r="H36" i="20"/>
  <c r="N36" i="20" s="1"/>
  <c r="N31" i="20"/>
  <c r="X88" i="33"/>
  <c r="R88" i="33"/>
  <c r="L165" i="30"/>
  <c r="N165" i="30" s="1"/>
  <c r="D169" i="30"/>
  <c r="F165" i="30"/>
  <c r="Z31" i="13"/>
  <c r="T36" i="13"/>
  <c r="Z36" i="13" s="1"/>
  <c r="T36" i="38"/>
  <c r="Z36" i="38" s="1"/>
  <c r="Z31" i="38"/>
  <c r="P36" i="25"/>
  <c r="X31" i="25"/>
  <c r="H88" i="33"/>
  <c r="J85" i="33"/>
  <c r="X114" i="70"/>
  <c r="Z114" i="70" s="1"/>
  <c r="P118" i="70"/>
  <c r="R114" i="70"/>
  <c r="P31" i="54"/>
  <c r="X31" i="54" s="1"/>
  <c r="X26" i="54"/>
  <c r="P36" i="41"/>
  <c r="X31" i="41"/>
  <c r="H97" i="87"/>
  <c r="T36" i="50"/>
  <c r="Z36" i="50" s="1"/>
  <c r="Z31" i="50"/>
  <c r="L71" i="48"/>
  <c r="N71" i="48" s="1"/>
  <c r="D75" i="48"/>
  <c r="F71" i="48"/>
  <c r="N31" i="8"/>
  <c r="H36" i="8"/>
  <c r="N36" i="8" s="1"/>
  <c r="P36" i="13"/>
  <c r="X31" i="13"/>
  <c r="X101" i="45"/>
  <c r="Z101" i="45" s="1"/>
  <c r="P105" i="45"/>
  <c r="R101" i="45"/>
  <c r="X82" i="79"/>
  <c r="Z82" i="79" s="1"/>
  <c r="P85" i="79"/>
  <c r="R82" i="79"/>
  <c r="D36" i="5"/>
  <c r="L31" i="5"/>
  <c r="H99" i="24"/>
  <c r="J96" i="24"/>
  <c r="H127" i="42"/>
  <c r="J124" i="42"/>
  <c r="T63" i="99"/>
  <c r="H80" i="57"/>
  <c r="X31" i="111"/>
  <c r="P36" i="111"/>
  <c r="H77" i="80"/>
  <c r="N31" i="41"/>
  <c r="H36" i="41"/>
  <c r="N36" i="41" s="1"/>
  <c r="T77" i="80"/>
  <c r="Z31" i="17"/>
  <c r="T36" i="17"/>
  <c r="Z36" i="17" s="1"/>
  <c r="X31" i="50"/>
  <c r="P36" i="50"/>
  <c r="H36" i="46"/>
  <c r="N36" i="46" s="1"/>
  <c r="N31" i="46"/>
  <c r="T36" i="43"/>
  <c r="Z36" i="43" s="1"/>
  <c r="Z31" i="43"/>
  <c r="H270" i="3"/>
  <c r="J265" i="3"/>
  <c r="P109" i="9"/>
  <c r="X106" i="9"/>
  <c r="N31" i="14"/>
  <c r="H36" i="14"/>
  <c r="N36" i="14" s="1"/>
  <c r="J56" i="82"/>
  <c r="N36" i="88"/>
  <c r="H39" i="88"/>
  <c r="L49" i="82"/>
  <c r="N49" i="82" s="1"/>
  <c r="D53" i="82"/>
  <c r="F49" i="82"/>
  <c r="N29" i="98"/>
  <c r="H32" i="98"/>
  <c r="N32" i="98" s="1"/>
  <c r="D85" i="92"/>
  <c r="L82" i="92"/>
  <c r="N82" i="92" s="1"/>
  <c r="L34" i="100"/>
  <c r="N34" i="100" s="1"/>
  <c r="D37" i="100"/>
  <c r="V97" i="83"/>
  <c r="H134" i="36"/>
  <c r="J131" i="36"/>
  <c r="D40" i="55"/>
  <c r="L40" i="55" s="1"/>
  <c r="N40" i="55" s="1"/>
  <c r="L37" i="55"/>
  <c r="N37" i="55" s="1"/>
  <c r="P90" i="107"/>
  <c r="X86" i="107"/>
  <c r="Z86" i="107" s="1"/>
  <c r="X31" i="37"/>
  <c r="P36" i="37"/>
  <c r="D103" i="105"/>
  <c r="L100" i="105"/>
  <c r="N100" i="105" s="1"/>
  <c r="F100" i="105"/>
  <c r="L31" i="8"/>
  <c r="D36" i="8"/>
  <c r="X60" i="99"/>
  <c r="Z60" i="99" s="1"/>
  <c r="P63" i="99"/>
  <c r="D229" i="12"/>
  <c r="L225" i="12"/>
  <c r="N225" i="12" s="1"/>
  <c r="F225" i="12"/>
  <c r="L62" i="60"/>
  <c r="N62" i="60" s="1"/>
  <c r="D65" i="60"/>
  <c r="L65" i="60" s="1"/>
  <c r="N65" i="60" s="1"/>
  <c r="P36" i="26"/>
  <c r="X31" i="26"/>
  <c r="T78" i="59"/>
  <c r="T126" i="84"/>
  <c r="V123" i="84"/>
  <c r="Z31" i="4"/>
  <c r="T36" i="4"/>
  <c r="Z36" i="4" s="1"/>
  <c r="X31" i="14"/>
  <c r="P36" i="14"/>
  <c r="P229" i="12"/>
  <c r="X225" i="12"/>
  <c r="Z225" i="12" s="1"/>
  <c r="R225" i="12"/>
  <c r="T36" i="26"/>
  <c r="Z36" i="26" s="1"/>
  <c r="Z31" i="26"/>
  <c r="D31" i="54"/>
  <c r="L31" i="54" s="1"/>
  <c r="N31" i="54" s="1"/>
  <c r="L26" i="54"/>
  <c r="Z31" i="22"/>
  <c r="T36" i="22"/>
  <c r="Z36" i="22" s="1"/>
  <c r="D36" i="34"/>
  <c r="L31" i="34"/>
  <c r="X115" i="27"/>
  <c r="Z115" i="27" s="1"/>
  <c r="P119" i="27"/>
  <c r="R115" i="27"/>
  <c r="Z31" i="41"/>
  <c r="T36" i="41"/>
  <c r="Z36" i="41" s="1"/>
  <c r="Z31" i="53"/>
  <c r="T36" i="53"/>
  <c r="Z36" i="53" s="1"/>
  <c r="D265" i="3"/>
  <c r="L261" i="3"/>
  <c r="N261" i="3" s="1"/>
  <c r="F261" i="3"/>
  <c r="H98" i="103"/>
  <c r="J95" i="103"/>
  <c r="T65" i="60"/>
  <c r="X75" i="109"/>
  <c r="Z75" i="109" s="1"/>
  <c r="P78" i="109"/>
  <c r="R75" i="109"/>
  <c r="L28" i="108"/>
  <c r="D31" i="108"/>
  <c r="P36" i="10"/>
  <c r="X31" i="10"/>
  <c r="Z29" i="98"/>
  <c r="T32" i="98"/>
  <c r="Z32" i="98" s="1"/>
  <c r="L43" i="101"/>
  <c r="N43" i="101" s="1"/>
  <c r="D46" i="101"/>
  <c r="Z31" i="11"/>
  <c r="T36" i="11"/>
  <c r="Z36" i="11" s="1"/>
  <c r="L70" i="69"/>
  <c r="D73" i="69"/>
  <c r="H63" i="99"/>
  <c r="L31" i="31"/>
  <c r="D36" i="31"/>
  <c r="T172" i="30"/>
  <c r="V169" i="30"/>
  <c r="H249" i="18"/>
  <c r="J246" i="18"/>
  <c r="D36" i="17"/>
  <c r="L31" i="17"/>
  <c r="D36" i="19"/>
  <c r="L31" i="19"/>
  <c r="X84" i="93"/>
  <c r="Z84" i="93" s="1"/>
  <c r="P87" i="93"/>
  <c r="X87" i="93" s="1"/>
  <c r="N80" i="58"/>
  <c r="H83" i="58"/>
  <c r="D82" i="94"/>
  <c r="L78" i="94"/>
  <c r="N78" i="94" s="1"/>
  <c r="T36" i="10"/>
  <c r="Z36" i="10" s="1"/>
  <c r="Z31" i="10"/>
  <c r="D131" i="39"/>
  <c r="L128" i="39"/>
  <c r="N128" i="39" s="1"/>
  <c r="F128" i="39"/>
  <c r="V99" i="24"/>
  <c r="X222" i="15"/>
  <c r="P225" i="15"/>
  <c r="R222" i="15"/>
  <c r="P131" i="36"/>
  <c r="X127" i="36"/>
  <c r="Z127" i="36" s="1"/>
  <c r="R127" i="36"/>
  <c r="P36" i="34"/>
  <c r="X31" i="34"/>
  <c r="T29" i="62"/>
  <c r="Z29" i="62" s="1"/>
  <c r="Z26" i="62"/>
  <c r="T107" i="63"/>
  <c r="L29" i="98"/>
  <c r="D32" i="98"/>
  <c r="F29" i="98"/>
  <c r="X31" i="110"/>
  <c r="P36" i="110"/>
  <c r="L75" i="59"/>
  <c r="N75" i="59" s="1"/>
  <c r="D78" i="59"/>
  <c r="X31" i="28"/>
  <c r="P36" i="28"/>
  <c r="H91" i="91"/>
  <c r="Z31" i="23"/>
  <c r="T36" i="23"/>
  <c r="Z36" i="23" s="1"/>
  <c r="V113" i="21"/>
  <c r="T78" i="109"/>
  <c r="V75" i="109"/>
  <c r="Z31" i="110"/>
  <c r="T36" i="110"/>
  <c r="Z36" i="110" s="1"/>
  <c r="P98" i="103"/>
  <c r="X95" i="103"/>
  <c r="Z95" i="103" s="1"/>
  <c r="R95" i="103"/>
  <c r="N31" i="37"/>
  <c r="H36" i="37"/>
  <c r="N36" i="37" s="1"/>
  <c r="D108" i="76"/>
  <c r="L105" i="76"/>
  <c r="F105" i="76"/>
  <c r="Z88" i="33"/>
  <c r="V88" i="33"/>
  <c r="T127" i="42"/>
  <c r="V124" i="42"/>
  <c r="L94" i="87"/>
  <c r="N94" i="87" s="1"/>
  <c r="D97" i="87"/>
  <c r="L60" i="99"/>
  <c r="N60" i="99" s="1"/>
  <c r="V156" i="74"/>
  <c r="T36" i="44"/>
  <c r="Z36" i="44" s="1"/>
  <c r="Z31" i="44"/>
  <c r="L85" i="97"/>
  <c r="N85" i="97" s="1"/>
  <c r="D89" i="97"/>
  <c r="P124" i="42"/>
  <c r="X120" i="42"/>
  <c r="Z120" i="42" s="1"/>
  <c r="R120" i="42"/>
  <c r="L75" i="109"/>
  <c r="N75" i="109" s="1"/>
  <c r="D78" i="109"/>
  <c r="F75" i="109"/>
  <c r="P96" i="68"/>
  <c r="X92" i="68"/>
  <c r="Z92" i="68" s="1"/>
  <c r="R92" i="68"/>
  <c r="H172" i="30"/>
  <c r="J169" i="30"/>
  <c r="X31" i="49"/>
  <c r="P36" i="49"/>
  <c r="H36" i="53"/>
  <c r="N36" i="53" s="1"/>
  <c r="N31" i="53"/>
  <c r="N31" i="110"/>
  <c r="H36" i="110"/>
  <c r="N36" i="110" s="1"/>
  <c r="J108" i="45"/>
  <c r="P74" i="80"/>
  <c r="X70" i="80"/>
  <c r="Z70" i="80" s="1"/>
  <c r="X31" i="32"/>
  <c r="P36" i="32"/>
  <c r="X31" i="112"/>
  <c r="P36" i="112"/>
  <c r="H36" i="32"/>
  <c r="N36" i="32" s="1"/>
  <c r="N31" i="32"/>
  <c r="Z31" i="46"/>
  <c r="T36" i="46"/>
  <c r="Z36" i="46" s="1"/>
  <c r="T122" i="27"/>
  <c r="V119" i="27"/>
  <c r="L31" i="26"/>
  <c r="D36" i="26"/>
  <c r="Z31" i="28"/>
  <c r="T36" i="28"/>
  <c r="Z36" i="28" s="1"/>
  <c r="X101" i="51"/>
  <c r="Z101" i="51" s="1"/>
  <c r="P105" i="51"/>
  <c r="R101" i="51"/>
  <c r="Z92" i="97"/>
  <c r="X106" i="21"/>
  <c r="Z106" i="21" s="1"/>
  <c r="P110" i="21"/>
  <c r="R106" i="21"/>
  <c r="H36" i="38"/>
  <c r="N36" i="38" s="1"/>
  <c r="N31" i="38"/>
  <c r="N31" i="44"/>
  <c r="H36" i="44"/>
  <c r="N36" i="44" s="1"/>
  <c r="X31" i="5"/>
  <c r="P36" i="5"/>
  <c r="V56" i="82"/>
  <c r="N28" i="108"/>
  <c r="H31" i="108"/>
  <c r="N31" i="108" s="1"/>
  <c r="P36" i="44"/>
  <c r="X31" i="44"/>
  <c r="D118" i="70"/>
  <c r="L114" i="70"/>
  <c r="N114" i="70" s="1"/>
  <c r="F114" i="70"/>
  <c r="D36" i="10"/>
  <c r="L31" i="10"/>
  <c r="D105" i="45"/>
  <c r="L101" i="45"/>
  <c r="N101" i="45" s="1"/>
  <c r="F101" i="45"/>
  <c r="L94" i="83"/>
  <c r="D97" i="83"/>
  <c r="L26" i="62"/>
  <c r="D29" i="62"/>
  <c r="X31" i="17"/>
  <c r="P36" i="17"/>
  <c r="T78" i="48"/>
  <c r="V75" i="48"/>
  <c r="L31" i="13"/>
  <c r="D36" i="13"/>
  <c r="X85" i="94"/>
  <c r="R85" i="94"/>
  <c r="T108" i="45"/>
  <c r="V105" i="45"/>
  <c r="L31" i="44"/>
  <c r="D36" i="44"/>
  <c r="D36" i="16"/>
  <c r="L31" i="16"/>
  <c r="L26" i="6"/>
  <c r="D31" i="6"/>
  <c r="L63" i="99"/>
  <c r="P29" i="62"/>
  <c r="X26" i="62"/>
  <c r="L31" i="38"/>
  <c r="D36" i="38"/>
  <c r="H99" i="68"/>
  <c r="J96" i="68"/>
  <c r="X31" i="11"/>
  <c r="P36" i="11"/>
  <c r="D36" i="112"/>
  <c r="L31" i="112"/>
  <c r="D113" i="21"/>
  <c r="L113" i="21" s="1"/>
  <c r="N113" i="21" s="1"/>
  <c r="L110" i="21"/>
  <c r="N110" i="21" s="1"/>
  <c r="T232" i="12"/>
  <c r="V229" i="12"/>
  <c r="D36" i="41"/>
  <c r="L31" i="41"/>
  <c r="L31" i="7"/>
  <c r="D36" i="7"/>
  <c r="H88" i="75"/>
  <c r="J85" i="75"/>
  <c r="P36" i="38"/>
  <c r="X31" i="38"/>
  <c r="Z31" i="111"/>
  <c r="T36" i="111"/>
  <c r="Z36" i="111" s="1"/>
  <c r="H65" i="102"/>
  <c r="P83" i="58"/>
  <c r="X80" i="58"/>
  <c r="N31" i="35"/>
  <c r="H36" i="35"/>
  <c r="N36" i="35" s="1"/>
  <c r="D36" i="32"/>
  <c r="L31" i="32"/>
  <c r="Z31" i="52"/>
  <c r="T36" i="52"/>
  <c r="Z36" i="52" s="1"/>
  <c r="J122" i="27"/>
  <c r="D82" i="56"/>
  <c r="L78" i="56"/>
  <c r="N78" i="56" s="1"/>
  <c r="X31" i="4"/>
  <c r="P36" i="4"/>
  <c r="T36" i="29"/>
  <c r="Z36" i="29" s="1"/>
  <c r="Z31" i="29"/>
  <c r="P36" i="46"/>
  <c r="X31" i="46"/>
  <c r="T108" i="51"/>
  <c r="V105" i="51"/>
  <c r="X77" i="57"/>
  <c r="P80" i="57"/>
  <c r="L74" i="72"/>
  <c r="N74" i="72" s="1"/>
  <c r="D77" i="72"/>
  <c r="D36" i="37"/>
  <c r="L31" i="37"/>
  <c r="D222" i="15"/>
  <c r="L218" i="15"/>
  <c r="N218" i="15" s="1"/>
  <c r="F218" i="15"/>
  <c r="X31" i="6"/>
  <c r="T106" i="95"/>
  <c r="V103" i="95"/>
  <c r="X34" i="100"/>
  <c r="Z34" i="100" s="1"/>
  <c r="P37" i="100"/>
  <c r="X37" i="100" s="1"/>
  <c r="Z37" i="100" s="1"/>
  <c r="Z31" i="7"/>
  <c r="T36" i="7"/>
  <c r="Z36" i="7" s="1"/>
  <c r="X31" i="43"/>
  <c r="P36" i="43"/>
  <c r="J106" i="95"/>
  <c r="T270" i="3"/>
  <c r="V265" i="3"/>
  <c r="X88" i="91"/>
  <c r="Z88" i="91" s="1"/>
  <c r="P91" i="91"/>
  <c r="X31" i="16"/>
  <c r="P36" i="16"/>
  <c r="H78" i="109"/>
  <c r="J75" i="109"/>
  <c r="J113" i="21"/>
  <c r="Z65" i="102"/>
  <c r="T36" i="31"/>
  <c r="Z36" i="31" s="1"/>
  <c r="Z31" i="31"/>
  <c r="Z31" i="8"/>
  <c r="T36" i="8"/>
  <c r="Z36" i="8" s="1"/>
  <c r="Z31" i="35"/>
  <c r="T36" i="35"/>
  <c r="Z36" i="35" s="1"/>
  <c r="H108" i="76"/>
  <c r="N105" i="76"/>
  <c r="J105" i="76"/>
  <c r="X31" i="52"/>
  <c r="P36" i="52"/>
  <c r="Z31" i="5"/>
  <c r="T36" i="5"/>
  <c r="Z36" i="5" s="1"/>
  <c r="L31" i="23"/>
  <c r="D36" i="23"/>
  <c r="H36" i="28"/>
  <c r="N36" i="28" s="1"/>
  <c r="N31" i="28"/>
  <c r="P36" i="23"/>
  <c r="X31" i="23"/>
  <c r="V35" i="85"/>
  <c r="L62" i="102"/>
  <c r="N62" i="102" s="1"/>
  <c r="D65" i="102"/>
  <c r="N31" i="7"/>
  <c r="H36" i="7"/>
  <c r="N36" i="7" s="1"/>
  <c r="X31" i="19"/>
  <c r="P36" i="19"/>
  <c r="N31" i="43"/>
  <c r="H36" i="43"/>
  <c r="N36" i="43" s="1"/>
  <c r="N26" i="6"/>
  <c r="H31" i="6"/>
  <c r="D123" i="84"/>
  <c r="L119" i="84"/>
  <c r="N119" i="84" s="1"/>
  <c r="F119" i="84"/>
  <c r="H85" i="94"/>
  <c r="Z31" i="16"/>
  <c r="T36" i="16"/>
  <c r="Z36" i="16" s="1"/>
  <c r="D105" i="51"/>
  <c r="L101" i="51"/>
  <c r="N101" i="51" s="1"/>
  <c r="F101" i="51"/>
  <c r="L31" i="14"/>
  <c r="D36" i="14"/>
  <c r="D36" i="40"/>
  <c r="L31" i="40"/>
  <c r="L91" i="103"/>
  <c r="N91" i="103" s="1"/>
  <c r="D95" i="103"/>
  <c r="F91" i="103"/>
  <c r="L82" i="79"/>
  <c r="D85" i="79"/>
  <c r="H107" i="63"/>
  <c r="Z70" i="69"/>
  <c r="T73" i="69"/>
  <c r="V70" i="69"/>
  <c r="Z31" i="112"/>
  <c r="T36" i="112"/>
  <c r="Z36" i="112" s="1"/>
  <c r="P65" i="60"/>
  <c r="X65" i="60" s="1"/>
  <c r="X62" i="60"/>
  <c r="Z62" i="60" s="1"/>
  <c r="N31" i="25"/>
  <c r="H36" i="25"/>
  <c r="N36" i="25" s="1"/>
  <c r="X90" i="83"/>
  <c r="Z90" i="83" s="1"/>
  <c r="P94" i="83"/>
  <c r="H37" i="100"/>
  <c r="P32" i="85"/>
  <c r="X28" i="85"/>
  <c r="Z28" i="85" s="1"/>
  <c r="R28" i="85"/>
  <c r="H77" i="72"/>
  <c r="J74" i="72"/>
  <c r="H36" i="5"/>
  <c r="N36" i="5" s="1"/>
  <c r="N31" i="5"/>
  <c r="Z31" i="40"/>
  <c r="T36" i="40"/>
  <c r="Z36" i="40" s="1"/>
  <c r="H78" i="59"/>
  <c r="H67" i="61"/>
  <c r="N64" i="61"/>
  <c r="D36" i="22"/>
  <c r="L31" i="22"/>
  <c r="X31" i="47"/>
  <c r="P36" i="47"/>
  <c r="P36" i="40"/>
  <c r="X31" i="40"/>
  <c r="N31" i="4"/>
  <c r="H36" i="4"/>
  <c r="N36" i="4" s="1"/>
  <c r="H36" i="34"/>
  <c r="N36" i="34" s="1"/>
  <c r="N31" i="34"/>
  <c r="D85" i="33"/>
  <c r="L81" i="33"/>
  <c r="N81" i="33" s="1"/>
  <c r="F81" i="33"/>
  <c r="T99" i="68"/>
  <c r="V96" i="68"/>
  <c r="T88" i="75"/>
  <c r="V85" i="75"/>
  <c r="T40" i="55"/>
  <c r="N70" i="69"/>
  <c r="H73" i="69"/>
  <c r="N73" i="69" s="1"/>
  <c r="X37" i="55"/>
  <c r="Z37" i="55" s="1"/>
  <c r="P40" i="55"/>
  <c r="X40" i="55" s="1"/>
  <c r="H36" i="19"/>
  <c r="N36" i="19" s="1"/>
  <c r="N31" i="19"/>
  <c r="D119" i="27"/>
  <c r="L115" i="27"/>
  <c r="N115" i="27" s="1"/>
  <c r="F115" i="27"/>
  <c r="N31" i="47"/>
  <c r="H36" i="47"/>
  <c r="N36" i="47" s="1"/>
  <c r="Z85" i="94"/>
  <c r="P53" i="82"/>
  <c r="X49" i="82"/>
  <c r="Z49" i="82" s="1"/>
  <c r="R49" i="82"/>
  <c r="H121" i="70"/>
  <c r="J118" i="70"/>
  <c r="T91" i="91"/>
  <c r="T80" i="57"/>
  <c r="Z77" i="57"/>
  <c r="T36" i="37"/>
  <c r="Z36" i="37" s="1"/>
  <c r="Z31" i="37"/>
  <c r="X73" i="69"/>
  <c r="L39" i="88"/>
  <c r="Z106" i="9"/>
  <c r="T109" i="9"/>
  <c r="J90" i="107"/>
  <c r="H93" i="107"/>
  <c r="X153" i="74"/>
  <c r="Z153" i="74" s="1"/>
  <c r="P156" i="74"/>
  <c r="R153" i="74"/>
  <c r="D246" i="18"/>
  <c r="L242" i="18"/>
  <c r="N242" i="18" s="1"/>
  <c r="F242" i="18"/>
  <c r="Z31" i="20"/>
  <c r="T36" i="20"/>
  <c r="Z36" i="20" s="1"/>
  <c r="L31" i="53"/>
  <c r="D36" i="53"/>
  <c r="X85" i="75"/>
  <c r="Z85" i="75" s="1"/>
  <c r="P88" i="75"/>
  <c r="R85" i="75"/>
  <c r="L31" i="50"/>
  <c r="D36" i="50"/>
  <c r="P36" i="7"/>
  <c r="X31" i="7"/>
  <c r="T134" i="36"/>
  <c r="V131" i="36"/>
  <c r="X31" i="35"/>
  <c r="P36" i="35"/>
  <c r="L31" i="49"/>
  <c r="D36" i="49"/>
  <c r="N28" i="104"/>
  <c r="H31" i="104"/>
  <c r="N31" i="104" s="1"/>
  <c r="N31" i="11"/>
  <c r="H36" i="11"/>
  <c r="N36" i="11" s="1"/>
  <c r="H85" i="92"/>
  <c r="Z87" i="93"/>
  <c r="D36" i="11"/>
  <c r="L31" i="11"/>
  <c r="X82" i="92"/>
  <c r="Z82" i="92" s="1"/>
  <c r="P85" i="92"/>
  <c r="X85" i="92" s="1"/>
  <c r="Z85" i="92" s="1"/>
  <c r="H36" i="29"/>
  <c r="N36" i="29" s="1"/>
  <c r="N31" i="29"/>
  <c r="L31" i="110"/>
  <c r="D36" i="110"/>
  <c r="D107" i="63"/>
  <c r="L104" i="63"/>
  <c r="N104" i="63" s="1"/>
  <c r="N31" i="23"/>
  <c r="H36" i="23"/>
  <c r="N36" i="23" s="1"/>
  <c r="Z31" i="47"/>
  <c r="T36" i="47"/>
  <c r="Z36" i="47" s="1"/>
  <c r="P46" i="101"/>
  <c r="X43" i="101"/>
  <c r="L31" i="25"/>
  <c r="D36" i="25"/>
  <c r="H36" i="16"/>
  <c r="N36" i="16" s="1"/>
  <c r="N31" i="16"/>
  <c r="P31" i="104"/>
  <c r="X31" i="104" s="1"/>
  <c r="X28" i="104"/>
  <c r="X75" i="48"/>
  <c r="Z75" i="48" s="1"/>
  <c r="P78" i="48"/>
  <c r="R75" i="48"/>
  <c r="P265" i="3"/>
  <c r="X261" i="3"/>
  <c r="Z261" i="3" s="1"/>
  <c r="R261" i="3"/>
  <c r="D87" i="93"/>
  <c r="L87" i="93" s="1"/>
  <c r="L84" i="93"/>
  <c r="N84" i="93" s="1"/>
  <c r="D109" i="9"/>
  <c r="L106" i="9"/>
  <c r="H36" i="10"/>
  <c r="N36" i="10" s="1"/>
  <c r="N31" i="10"/>
  <c r="X28" i="108"/>
  <c r="P31" i="108"/>
  <c r="X31" i="108" s="1"/>
  <c r="T103" i="105"/>
  <c r="V100" i="105"/>
  <c r="Z31" i="14"/>
  <c r="T36" i="14"/>
  <c r="Z36" i="14" s="1"/>
  <c r="D36" i="29"/>
  <c r="L36" i="29" s="1"/>
  <c r="L31" i="29"/>
  <c r="L28" i="104"/>
  <c r="D31" i="104"/>
  <c r="L31" i="104" s="1"/>
  <c r="P103" i="95"/>
  <c r="X99" i="95"/>
  <c r="Z99" i="95" s="1"/>
  <c r="R99" i="95"/>
  <c r="D77" i="80"/>
  <c r="L77" i="80" s="1"/>
  <c r="L74" i="80"/>
  <c r="N74" i="80" s="1"/>
  <c r="X31" i="8"/>
  <c r="P36" i="8"/>
  <c r="H36" i="31"/>
  <c r="N36" i="31" s="1"/>
  <c r="N31" i="31"/>
  <c r="H36" i="50"/>
  <c r="N36" i="50" s="1"/>
  <c r="N31" i="50"/>
  <c r="H46" i="101"/>
  <c r="D35" i="85"/>
  <c r="L35" i="85" s="1"/>
  <c r="L32" i="85"/>
  <c r="N32" i="85" s="1"/>
  <c r="D96" i="24"/>
  <c r="L92" i="24"/>
  <c r="N92" i="24" s="1"/>
  <c r="L73" i="57"/>
  <c r="N73" i="57" s="1"/>
  <c r="D77" i="57"/>
  <c r="P105" i="76"/>
  <c r="X101" i="76"/>
  <c r="Z101" i="76" s="1"/>
  <c r="R101" i="76"/>
  <c r="H109" i="9"/>
  <c r="N106" i="9"/>
  <c r="Z31" i="25"/>
  <c r="T36" i="25"/>
  <c r="Z36" i="25" s="1"/>
  <c r="N26" i="62"/>
  <c r="H29" i="62"/>
  <c r="N29" i="62" s="1"/>
  <c r="P96" i="24"/>
  <c r="X92" i="24"/>
  <c r="Z92" i="24" s="1"/>
  <c r="R92" i="24"/>
  <c r="X165" i="30"/>
  <c r="Z165" i="30" s="1"/>
  <c r="P169" i="30"/>
  <c r="R165" i="30"/>
  <c r="X31" i="20"/>
  <c r="P36" i="20"/>
  <c r="H97" i="83"/>
  <c r="N94" i="83"/>
  <c r="J94" i="83"/>
  <c r="Z31" i="19"/>
  <c r="T36" i="19"/>
  <c r="Z36" i="19" s="1"/>
  <c r="L124" i="42"/>
  <c r="N124" i="42" s="1"/>
  <c r="D127" i="42"/>
  <c r="F124" i="42"/>
  <c r="N82" i="79"/>
  <c r="H85" i="79"/>
  <c r="J82" i="79"/>
  <c r="J225" i="15"/>
  <c r="Z43" i="101"/>
  <c r="T46" i="101"/>
  <c r="N31" i="26"/>
  <c r="H36" i="26"/>
  <c r="N36" i="26" s="1"/>
  <c r="H232" i="12"/>
  <c r="J229" i="12"/>
  <c r="Z26" i="6"/>
  <c r="T31" i="6"/>
  <c r="D96" i="68"/>
  <c r="L92" i="68"/>
  <c r="N92" i="68" s="1"/>
  <c r="H36" i="40"/>
  <c r="N36" i="40" s="1"/>
  <c r="N31" i="40"/>
  <c r="Z36" i="88"/>
  <c r="T39" i="88"/>
  <c r="D36" i="4"/>
  <c r="L31" i="4"/>
  <c r="P246" i="18"/>
  <c r="X242" i="18"/>
  <c r="Z242" i="18" s="1"/>
  <c r="R242" i="18"/>
  <c r="X26" i="6"/>
  <c r="D106" i="95"/>
  <c r="L106" i="95" s="1"/>
  <c r="N106" i="95" s="1"/>
  <c r="L103" i="95"/>
  <c r="N103" i="95" s="1"/>
  <c r="T83" i="58"/>
  <c r="Z80" i="58"/>
  <c r="Z31" i="34"/>
  <c r="T36" i="34"/>
  <c r="Z36" i="34" s="1"/>
  <c r="L85" i="75"/>
  <c r="N85" i="75" s="1"/>
  <c r="D88" i="75"/>
  <c r="F85" i="75"/>
  <c r="N31" i="112"/>
  <c r="H36" i="112"/>
  <c r="N36" i="112" s="1"/>
  <c r="D91" i="91"/>
  <c r="L88" i="91"/>
  <c r="N88" i="91" s="1"/>
  <c r="N31" i="49"/>
  <c r="H36" i="49"/>
  <c r="N36" i="49" s="1"/>
  <c r="Z31" i="49"/>
  <c r="T36" i="49"/>
  <c r="Z36" i="49" s="1"/>
  <c r="X104" i="63"/>
  <c r="Z104" i="63" s="1"/>
  <c r="P107" i="63"/>
  <c r="H36" i="22"/>
  <c r="N36" i="22" s="1"/>
  <c r="N31" i="22"/>
  <c r="H36" i="17"/>
  <c r="N36" i="17" s="1"/>
  <c r="N31" i="17"/>
  <c r="D153" i="74"/>
  <c r="L149" i="74"/>
  <c r="N149" i="74" s="1"/>
  <c r="F149" i="74"/>
  <c r="J103" i="105"/>
  <c r="P123" i="84"/>
  <c r="X119" i="84"/>
  <c r="Z119" i="84" s="1"/>
  <c r="R119" i="84"/>
  <c r="X96" i="105"/>
  <c r="Z96" i="105" s="1"/>
  <c r="P100" i="105"/>
  <c r="R96" i="105"/>
  <c r="X74" i="72"/>
  <c r="Z74" i="72" s="1"/>
  <c r="P77" i="72"/>
  <c r="X77" i="72" s="1"/>
  <c r="Z77" i="72" s="1"/>
  <c r="L31" i="28"/>
  <c r="D36" i="28"/>
  <c r="D36" i="111"/>
  <c r="L31" i="111"/>
  <c r="P97" i="87"/>
  <c r="X97" i="87" s="1"/>
  <c r="Z97" i="87" s="1"/>
  <c r="X94" i="87"/>
  <c r="Z94" i="87" s="1"/>
  <c r="X31" i="53"/>
  <c r="P36" i="53"/>
  <c r="N31" i="52"/>
  <c r="H36" i="52"/>
  <c r="N36" i="52" s="1"/>
  <c r="X29" i="98"/>
  <c r="P32" i="98"/>
  <c r="R29" i="98"/>
  <c r="Z222" i="15"/>
  <c r="T225" i="15"/>
  <c r="V222" i="15"/>
  <c r="L31" i="52"/>
  <c r="D36" i="52"/>
  <c r="X75" i="59"/>
  <c r="Z75" i="59" s="1"/>
  <c r="P78" i="59"/>
  <c r="X78" i="59" s="1"/>
  <c r="T36" i="32"/>
  <c r="Z36" i="32" s="1"/>
  <c r="Z31" i="32"/>
  <c r="Z31" i="54"/>
  <c r="L31" i="43"/>
  <c r="D36" i="43"/>
  <c r="H156" i="74"/>
  <c r="J153" i="74"/>
  <c r="L127" i="36"/>
  <c r="N127" i="36" s="1"/>
  <c r="D131" i="36"/>
  <c r="F127" i="36"/>
  <c r="D93" i="107"/>
  <c r="L90" i="107"/>
  <c r="N90" i="107" s="1"/>
  <c r="X107" i="63" l="1"/>
  <c r="L93" i="107"/>
  <c r="L65" i="102"/>
  <c r="L78" i="59"/>
  <c r="N78" i="59" s="1"/>
  <c r="X91" i="91"/>
  <c r="L91" i="91"/>
  <c r="X83" i="58"/>
  <c r="X46" i="101"/>
  <c r="Z46" i="101" s="1"/>
  <c r="L77" i="72"/>
  <c r="L36" i="44"/>
  <c r="X36" i="17"/>
  <c r="L36" i="25"/>
  <c r="L36" i="111"/>
  <c r="X36" i="4"/>
  <c r="L36" i="4"/>
  <c r="X36" i="52"/>
  <c r="X36" i="43"/>
  <c r="X36" i="38"/>
  <c r="L36" i="32"/>
  <c r="X36" i="23"/>
  <c r="L36" i="49"/>
  <c r="L36" i="53"/>
  <c r="L36" i="41"/>
  <c r="L36" i="16"/>
  <c r="L36" i="5"/>
  <c r="X36" i="7"/>
  <c r="X36" i="20"/>
  <c r="L36" i="8"/>
  <c r="X36" i="8"/>
  <c r="X36" i="44"/>
  <c r="X36" i="28"/>
  <c r="X36" i="46"/>
  <c r="L36" i="7"/>
  <c r="L36" i="13"/>
  <c r="L36" i="11"/>
  <c r="X36" i="11"/>
  <c r="L36" i="28"/>
  <c r="X36" i="40"/>
  <c r="X36" i="13"/>
  <c r="X36" i="29"/>
  <c r="X36" i="47"/>
  <c r="L36" i="52"/>
  <c r="X36" i="53"/>
  <c r="L36" i="50"/>
  <c r="X36" i="26"/>
  <c r="X103" i="95"/>
  <c r="Z103" i="95" s="1"/>
  <c r="P106" i="95"/>
  <c r="R103" i="95"/>
  <c r="V270" i="3"/>
  <c r="V106" i="95"/>
  <c r="V126" i="84"/>
  <c r="X36" i="111"/>
  <c r="X118" i="70"/>
  <c r="Z118" i="70" s="1"/>
  <c r="P121" i="70"/>
  <c r="R118" i="70"/>
  <c r="L169" i="30"/>
  <c r="N169" i="30" s="1"/>
  <c r="D172" i="30"/>
  <c r="F169" i="30"/>
  <c r="J78" i="48"/>
  <c r="J99" i="68"/>
  <c r="P103" i="105"/>
  <c r="X100" i="105"/>
  <c r="Z100" i="105" s="1"/>
  <c r="R100" i="105"/>
  <c r="X105" i="76"/>
  <c r="Z105" i="76" s="1"/>
  <c r="P108" i="76"/>
  <c r="R105" i="76"/>
  <c r="L107" i="63"/>
  <c r="N107" i="63" s="1"/>
  <c r="Z91" i="91"/>
  <c r="D88" i="33"/>
  <c r="L85" i="33"/>
  <c r="N85" i="33" s="1"/>
  <c r="F85" i="33"/>
  <c r="L36" i="22"/>
  <c r="L85" i="79"/>
  <c r="N85" i="79" s="1"/>
  <c r="J78" i="109"/>
  <c r="P113" i="21"/>
  <c r="X110" i="21"/>
  <c r="Z110" i="21" s="1"/>
  <c r="R110" i="21"/>
  <c r="V122" i="27"/>
  <c r="X74" i="80"/>
  <c r="Z74" i="80" s="1"/>
  <c r="P77" i="80"/>
  <c r="X77" i="80" s="1"/>
  <c r="Z77" i="80" s="1"/>
  <c r="L131" i="39"/>
  <c r="N131" i="39" s="1"/>
  <c r="F131" i="39"/>
  <c r="V172" i="30"/>
  <c r="L229" i="12"/>
  <c r="N229" i="12" s="1"/>
  <c r="D232" i="12"/>
  <c r="F229" i="12"/>
  <c r="L85" i="92"/>
  <c r="N85" i="92" s="1"/>
  <c r="X36" i="50"/>
  <c r="X36" i="22"/>
  <c r="L105" i="51"/>
  <c r="N105" i="51" s="1"/>
  <c r="D108" i="51"/>
  <c r="F105" i="51"/>
  <c r="D85" i="56"/>
  <c r="L85" i="56" s="1"/>
  <c r="N85" i="56" s="1"/>
  <c r="L82" i="56"/>
  <c r="N82" i="56" s="1"/>
  <c r="J172" i="30"/>
  <c r="J98" i="103"/>
  <c r="X90" i="107"/>
  <c r="Z90" i="107" s="1"/>
  <c r="P93" i="107"/>
  <c r="X93" i="107" s="1"/>
  <c r="Z93" i="107" s="1"/>
  <c r="L75" i="48"/>
  <c r="N75" i="48" s="1"/>
  <c r="D78" i="48"/>
  <c r="F75" i="48"/>
  <c r="Z83" i="58"/>
  <c r="L77" i="57"/>
  <c r="N77" i="57" s="1"/>
  <c r="D80" i="57"/>
  <c r="L80" i="57" s="1"/>
  <c r="N80" i="57" s="1"/>
  <c r="L109" i="9"/>
  <c r="L36" i="110"/>
  <c r="X36" i="35"/>
  <c r="N93" i="107"/>
  <c r="J93" i="107"/>
  <c r="Z40" i="55"/>
  <c r="X36" i="19"/>
  <c r="J108" i="76"/>
  <c r="N65" i="102"/>
  <c r="L36" i="38"/>
  <c r="D108" i="45"/>
  <c r="L105" i="45"/>
  <c r="N105" i="45" s="1"/>
  <c r="F105" i="45"/>
  <c r="V78" i="109"/>
  <c r="X36" i="110"/>
  <c r="X36" i="34"/>
  <c r="L36" i="31"/>
  <c r="X119" i="27"/>
  <c r="Z119" i="27" s="1"/>
  <c r="P122" i="27"/>
  <c r="R119" i="27"/>
  <c r="Z78" i="59"/>
  <c r="X63" i="99"/>
  <c r="X85" i="79"/>
  <c r="Z85" i="79" s="1"/>
  <c r="R85" i="79"/>
  <c r="J88" i="33"/>
  <c r="X36" i="31"/>
  <c r="J97" i="83"/>
  <c r="D122" i="27"/>
  <c r="L119" i="27"/>
  <c r="N119" i="27" s="1"/>
  <c r="F119" i="27"/>
  <c r="D225" i="15"/>
  <c r="L222" i="15"/>
  <c r="N222" i="15" s="1"/>
  <c r="F222" i="15"/>
  <c r="V108" i="51"/>
  <c r="V232" i="12"/>
  <c r="P99" i="68"/>
  <c r="X96" i="68"/>
  <c r="Z96" i="68" s="1"/>
  <c r="R96" i="68"/>
  <c r="L108" i="76"/>
  <c r="N108" i="76" s="1"/>
  <c r="F108" i="76"/>
  <c r="X36" i="10"/>
  <c r="X229" i="12"/>
  <c r="Z229" i="12" s="1"/>
  <c r="P232" i="12"/>
  <c r="R229" i="12"/>
  <c r="X109" i="9"/>
  <c r="Z109" i="9" s="1"/>
  <c r="Z63" i="99"/>
  <c r="V85" i="79"/>
  <c r="L36" i="47"/>
  <c r="L131" i="36"/>
  <c r="N131" i="36" s="1"/>
  <c r="D134" i="36"/>
  <c r="F131" i="36"/>
  <c r="X88" i="75"/>
  <c r="Z88" i="75" s="1"/>
  <c r="R88" i="75"/>
  <c r="V88" i="75"/>
  <c r="D98" i="103"/>
  <c r="L95" i="103"/>
  <c r="N95" i="103" s="1"/>
  <c r="F95" i="103"/>
  <c r="L36" i="23"/>
  <c r="L36" i="10"/>
  <c r="L31" i="108"/>
  <c r="D270" i="3"/>
  <c r="L265" i="3"/>
  <c r="N265" i="3" s="1"/>
  <c r="F265" i="3"/>
  <c r="X36" i="14"/>
  <c r="L83" i="58"/>
  <c r="J156" i="74"/>
  <c r="L36" i="43"/>
  <c r="X123" i="84"/>
  <c r="Z123" i="84" s="1"/>
  <c r="P126" i="84"/>
  <c r="R123" i="84"/>
  <c r="Z31" i="6"/>
  <c r="J121" i="70"/>
  <c r="N77" i="72"/>
  <c r="J77" i="72"/>
  <c r="X36" i="16"/>
  <c r="L36" i="37"/>
  <c r="X29" i="62"/>
  <c r="V78" i="48"/>
  <c r="X105" i="51"/>
  <c r="Z105" i="51" s="1"/>
  <c r="P108" i="51"/>
  <c r="R105" i="51"/>
  <c r="L78" i="109"/>
  <c r="N78" i="109" s="1"/>
  <c r="F78" i="109"/>
  <c r="L97" i="87"/>
  <c r="N97" i="87" s="1"/>
  <c r="L32" i="98"/>
  <c r="F32" i="98"/>
  <c r="P134" i="36"/>
  <c r="X131" i="36"/>
  <c r="Z131" i="36" s="1"/>
  <c r="R131" i="36"/>
  <c r="L36" i="19"/>
  <c r="N63" i="99"/>
  <c r="L36" i="34"/>
  <c r="J270" i="3"/>
  <c r="X105" i="45"/>
  <c r="Z105" i="45" s="1"/>
  <c r="P108" i="45"/>
  <c r="R105" i="45"/>
  <c r="X36" i="25"/>
  <c r="N87" i="93"/>
  <c r="L36" i="20"/>
  <c r="V225" i="15"/>
  <c r="V134" i="36"/>
  <c r="X36" i="5"/>
  <c r="L73" i="69"/>
  <c r="D56" i="82"/>
  <c r="L53" i="82"/>
  <c r="N53" i="82" s="1"/>
  <c r="F53" i="82"/>
  <c r="J127" i="42"/>
  <c r="L36" i="35"/>
  <c r="P99" i="24"/>
  <c r="X96" i="24"/>
  <c r="Z96" i="24" s="1"/>
  <c r="R96" i="24"/>
  <c r="L96" i="68"/>
  <c r="N96" i="68" s="1"/>
  <c r="D99" i="68"/>
  <c r="L99" i="68" s="1"/>
  <c r="N99" i="68" s="1"/>
  <c r="X32" i="98"/>
  <c r="R32" i="98"/>
  <c r="J85" i="79"/>
  <c r="P172" i="30"/>
  <c r="X169" i="30"/>
  <c r="Z169" i="30" s="1"/>
  <c r="R169" i="30"/>
  <c r="V103" i="105"/>
  <c r="X265" i="3"/>
  <c r="Z265" i="3" s="1"/>
  <c r="P270" i="3"/>
  <c r="R265" i="3"/>
  <c r="L36" i="40"/>
  <c r="X39" i="88"/>
  <c r="Z39" i="88" s="1"/>
  <c r="L31" i="6"/>
  <c r="V108" i="45"/>
  <c r="D121" i="70"/>
  <c r="L118" i="70"/>
  <c r="N118" i="70" s="1"/>
  <c r="F118" i="70"/>
  <c r="X225" i="15"/>
  <c r="Z225" i="15" s="1"/>
  <c r="R225" i="15"/>
  <c r="L82" i="94"/>
  <c r="N82" i="94" s="1"/>
  <c r="D85" i="94"/>
  <c r="L85" i="94" s="1"/>
  <c r="N85" i="94" s="1"/>
  <c r="L36" i="17"/>
  <c r="X78" i="109"/>
  <c r="Z78" i="109" s="1"/>
  <c r="R78" i="109"/>
  <c r="J134" i="36"/>
  <c r="X36" i="41"/>
  <c r="N35" i="85"/>
  <c r="J35" i="85"/>
  <c r="P97" i="83"/>
  <c r="X97" i="83" s="1"/>
  <c r="Z97" i="83" s="1"/>
  <c r="X94" i="83"/>
  <c r="Z94" i="83" s="1"/>
  <c r="X246" i="18"/>
  <c r="Z246" i="18" s="1"/>
  <c r="P249" i="18"/>
  <c r="R246" i="18"/>
  <c r="J232" i="12"/>
  <c r="N109" i="9"/>
  <c r="L96" i="24"/>
  <c r="N96" i="24" s="1"/>
  <c r="D99" i="24"/>
  <c r="L99" i="24" s="1"/>
  <c r="N99" i="24" s="1"/>
  <c r="X53" i="82"/>
  <c r="Z53" i="82" s="1"/>
  <c r="P56" i="82"/>
  <c r="R53" i="82"/>
  <c r="L36" i="14"/>
  <c r="J88" i="75"/>
  <c r="L36" i="112"/>
  <c r="L29" i="62"/>
  <c r="X36" i="112"/>
  <c r="X36" i="49"/>
  <c r="N83" i="58"/>
  <c r="L103" i="105"/>
  <c r="N103" i="105" s="1"/>
  <c r="F103" i="105"/>
  <c r="N39" i="88"/>
  <c r="L36" i="46"/>
  <c r="X128" i="39"/>
  <c r="Z128" i="39" s="1"/>
  <c r="P131" i="39"/>
  <c r="R128" i="39"/>
  <c r="J108" i="51"/>
  <c r="L88" i="75"/>
  <c r="N88" i="75" s="1"/>
  <c r="F88" i="75"/>
  <c r="L127" i="42"/>
  <c r="N127" i="42" s="1"/>
  <c r="F127" i="42"/>
  <c r="X78" i="48"/>
  <c r="Z78" i="48" s="1"/>
  <c r="R78" i="48"/>
  <c r="V99" i="68"/>
  <c r="X32" i="85"/>
  <c r="Z32" i="85" s="1"/>
  <c r="P35" i="85"/>
  <c r="R32" i="85"/>
  <c r="Z73" i="69"/>
  <c r="V73" i="69"/>
  <c r="D126" i="84"/>
  <c r="L123" i="84"/>
  <c r="N123" i="84" s="1"/>
  <c r="F123" i="84"/>
  <c r="L67" i="61"/>
  <c r="N67" i="61" s="1"/>
  <c r="P127" i="42"/>
  <c r="X124" i="42"/>
  <c r="Z124" i="42" s="1"/>
  <c r="R124" i="42"/>
  <c r="N91" i="91"/>
  <c r="Z107" i="63"/>
  <c r="Z65" i="60"/>
  <c r="X36" i="37"/>
  <c r="N77" i="80"/>
  <c r="J99" i="24"/>
  <c r="X156" i="74"/>
  <c r="Z156" i="74" s="1"/>
  <c r="R156" i="74"/>
  <c r="D156" i="74"/>
  <c r="L153" i="74"/>
  <c r="N153" i="74" s="1"/>
  <c r="F153" i="74"/>
  <c r="D249" i="18"/>
  <c r="L246" i="18"/>
  <c r="N246" i="18" s="1"/>
  <c r="F246" i="18"/>
  <c r="N31" i="6"/>
  <c r="X80" i="57"/>
  <c r="Z80" i="57" s="1"/>
  <c r="L97" i="83"/>
  <c r="N97" i="83" s="1"/>
  <c r="L36" i="26"/>
  <c r="X36" i="32"/>
  <c r="L89" i="97"/>
  <c r="N89" i="97" s="1"/>
  <c r="D92" i="97"/>
  <c r="L92" i="97" s="1"/>
  <c r="N92" i="97" s="1"/>
  <c r="V127" i="42"/>
  <c r="X98" i="103"/>
  <c r="Z98" i="103" s="1"/>
  <c r="R98" i="103"/>
  <c r="J249" i="18"/>
  <c r="L46" i="101"/>
  <c r="N46" i="101" s="1"/>
  <c r="L37" i="100"/>
  <c r="N37" i="100" s="1"/>
  <c r="V108" i="76"/>
  <c r="L249" i="18" l="1"/>
  <c r="N249" i="18" s="1"/>
  <c r="F249" i="18"/>
  <c r="X270" i="3"/>
  <c r="Z270" i="3" s="1"/>
  <c r="R270" i="3"/>
  <c r="L156" i="74"/>
  <c r="N156" i="74" s="1"/>
  <c r="F156" i="74"/>
  <c r="X56" i="82"/>
  <c r="Z56" i="82" s="1"/>
  <c r="R56" i="82"/>
  <c r="X108" i="51"/>
  <c r="Z108" i="51" s="1"/>
  <c r="R108" i="51"/>
  <c r="X232" i="12"/>
  <c r="Z232" i="12" s="1"/>
  <c r="R232" i="12"/>
  <c r="L121" i="70"/>
  <c r="N121" i="70" s="1"/>
  <c r="F121" i="70"/>
  <c r="X99" i="24"/>
  <c r="Z99" i="24" s="1"/>
  <c r="R99" i="24"/>
  <c r="L270" i="3"/>
  <c r="N270" i="3" s="1"/>
  <c r="F270" i="3"/>
  <c r="L225" i="15"/>
  <c r="N225" i="15" s="1"/>
  <c r="F225" i="15"/>
  <c r="X108" i="76"/>
  <c r="Z108" i="76" s="1"/>
  <c r="R108" i="76"/>
  <c r="L172" i="30"/>
  <c r="N172" i="30" s="1"/>
  <c r="F172" i="30"/>
  <c r="X113" i="21"/>
  <c r="Z113" i="21" s="1"/>
  <c r="R113" i="21"/>
  <c r="L126" i="84"/>
  <c r="N126" i="84" s="1"/>
  <c r="F126" i="84"/>
  <c r="L232" i="12"/>
  <c r="N232" i="12" s="1"/>
  <c r="F232" i="12"/>
  <c r="L108" i="45"/>
  <c r="N108" i="45" s="1"/>
  <c r="F108" i="45"/>
  <c r="L134" i="36"/>
  <c r="N134" i="36" s="1"/>
  <c r="F134" i="36"/>
  <c r="X134" i="36"/>
  <c r="Z134" i="36" s="1"/>
  <c r="R134" i="36"/>
  <c r="X121" i="70"/>
  <c r="Z121" i="70" s="1"/>
  <c r="R121" i="70"/>
  <c r="X172" i="30"/>
  <c r="Z172" i="30" s="1"/>
  <c r="R172" i="30"/>
  <c r="X126" i="84"/>
  <c r="Z126" i="84" s="1"/>
  <c r="R126" i="84"/>
  <c r="X35" i="85"/>
  <c r="Z35" i="85" s="1"/>
  <c r="R35" i="85"/>
  <c r="X108" i="45"/>
  <c r="Z108" i="45" s="1"/>
  <c r="R108" i="45"/>
  <c r="X99" i="68"/>
  <c r="Z99" i="68" s="1"/>
  <c r="R99" i="68"/>
  <c r="L122" i="27"/>
  <c r="N122" i="27" s="1"/>
  <c r="F122" i="27"/>
  <c r="X249" i="18"/>
  <c r="Z249" i="18" s="1"/>
  <c r="R249" i="18"/>
  <c r="L56" i="82"/>
  <c r="N56" i="82" s="1"/>
  <c r="F56" i="82"/>
  <c r="L98" i="103"/>
  <c r="N98" i="103" s="1"/>
  <c r="F98" i="103"/>
  <c r="X122" i="27"/>
  <c r="Z122" i="27" s="1"/>
  <c r="R122" i="27"/>
  <c r="X103" i="105"/>
  <c r="Z103" i="105" s="1"/>
  <c r="R103" i="105"/>
  <c r="X106" i="95"/>
  <c r="Z106" i="95" s="1"/>
  <c r="R106" i="95"/>
  <c r="L78" i="48"/>
  <c r="N78" i="48" s="1"/>
  <c r="F78" i="48"/>
  <c r="L108" i="51"/>
  <c r="N108" i="51" s="1"/>
  <c r="F108" i="51"/>
  <c r="X131" i="39"/>
  <c r="Z131" i="39" s="1"/>
  <c r="R131" i="39"/>
  <c r="X127" i="42"/>
  <c r="Z127" i="42" s="1"/>
  <c r="R127" i="42"/>
  <c r="L88" i="33"/>
  <c r="N88" i="33" s="1"/>
  <c r="F88" i="33"/>
</calcChain>
</file>

<file path=xl/sharedStrings.xml><?xml version="1.0" encoding="utf-8"?>
<sst xmlns="http://schemas.openxmlformats.org/spreadsheetml/2006/main" count="2870" uniqueCount="315">
  <si>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</si>
  <si>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</si>
  <si>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</si>
  <si>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</si>
  <si>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</si>
  <si>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</si>
  <si>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</si>
  <si>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</si>
  <si>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</si>
  <si>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</si>
  <si>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</si>
  <si>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Budget</t>
  </si>
  <si>
    <t>Variance</t>
  </si>
  <si>
    <t xml:space="preserve">Forty Niner Shops, Inc. </t>
  </si>
  <si>
    <t>G &amp; A Allocation</t>
  </si>
  <si>
    <t>% of Sales</t>
  </si>
  <si>
    <t>% Budget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</si>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</sst>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0" fontId="0" fillId="0" borderId="0" xfId="0" applyAlignment="1">
      <alignment horizontal="centerContinuous"/>
    </xf>
    <xf numFmtId="164" fontId="0" fillId="0" borderId="0" xfId="1" applyNumberFormat="1" applyFont="1"/>
    <xf numFmtId="168" fontId="2" fillId="2" borderId="2" xfId="2" applyNumberFormat="1" applyFont="1" applyFill="1" applyBorder="1"/>
    <xf numFmtId="164" fontId="2" fillId="0" borderId="0" xfId="1" applyNumberFormat="1" applyFont="1" applyFill="1" applyBorder="1"/>
    <xf numFmtId="167" fontId="2" fillId="2" borderId="2" xfId="3" applyNumberFormat="1" applyFont="1" applyFill="1" applyBorder="1"/>
    <xf numFmtId="167" fontId="1" fillId="0" borderId="0" xfId="3" applyNumberFormat="1" applyFont="1" applyFill="1"/>
    <xf numFmtId="0" fontId="2" fillId="0" borderId="0" xfId="0" applyFont="1"/>
    <xf numFmtId="0" fontId="1" fillId="0" borderId="0" xfId="0" applyFont="1"/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49" fontId="1" fillId="0" borderId="0" xfId="0" applyNumberFormat="1" applyFont="1" applyFill="1" applyAlignment="1">
      <alignment horizontal="right"/>
    </xf>
    <xf numFmtId="167" fontId="2" fillId="0" borderId="0" xfId="3" applyNumberFormat="1" applyFont="1" applyFill="1" applyBorder="1"/>
    <xf numFmtId="167" fontId="2" fillId="2" borderId="3" xfId="3" applyNumberFormat="1" applyFont="1" applyFill="1" applyBorder="1"/>
    <xf numFmtId="167" fontId="2" fillId="2" borderId="4" xfId="3" applyNumberFormat="1" applyFont="1" applyFill="1" applyBorder="1"/>
    <xf numFmtId="168" fontId="2" fillId="2" borderId="3" xfId="2" applyNumberFormat="1" applyFont="1" applyFill="1" applyBorder="1"/>
    <xf numFmtId="168" fontId="2" fillId="2" borderId="4" xfId="2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"/>
    </xf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167" fontId="0" fillId="0" borderId="0" xfId="3" applyNumberFormat="1" applyFont="1" applyAlignment="1">
      <alignment horizontal="centerContinuous"/>
    </xf>
    <xf numFmtId="164" fontId="2" fillId="0" borderId="0" xfId="1" applyNumberFormat="1" applyFont="1" applyAlignment="1">
      <alignment horizontal="left"/>
    </xf>
    <xf numFmtId="167" fontId="2" fillId="2" borderId="1" xfId="0" applyNumberFormat="1" applyFont="1" applyFill="1" applyBorder="1" applyAlignment="1">
      <alignment horizontal="center"/>
    </xf>
    <xf numFmtId="167" fontId="0" fillId="0" borderId="0" xfId="0" applyNumberFormat="1" applyFill="1"/>
    <xf numFmtId="167" fontId="2" fillId="2" borderId="1" xfId="0" applyNumberFormat="1" applyFont="1" applyFill="1" applyBorder="1" applyAlignment="1">
      <alignment horizontal="centerContinuous"/>
    </xf>
    <xf numFmtId="0" fontId="2" fillId="2" borderId="1" xfId="0" applyNumberFormat="1" applyFont="1" applyFill="1" applyBorder="1" applyAlignment="1">
      <alignment horizontal="center"/>
    </xf>
    <xf numFmtId="167" fontId="0" fillId="0" borderId="0" xfId="3" applyNumberFormat="1" applyFont="1"/>
    <xf numFmtId="49" fontId="1" fillId="0" borderId="0" xfId="0" applyNumberFormat="1" applyFont="1" applyFill="1"/>
    <xf numFmtId="49" fontId="2" fillId="0" borderId="0" xfId="0" applyNumberFormat="1" applyFont="1" applyFill="1"/>
    <xf numFmtId="0" fontId="2" fillId="0" borderId="0" xfId="0" applyFont="1" applyFill="1" applyBorder="1"/>
    <xf numFmtId="0" fontId="0" fillId="0" borderId="0" xfId="0" applyFill="1" applyAlignment="1">
      <alignment horizontal="centerContinuous"/>
    </xf>
    <xf numFmtId="0" fontId="0" fillId="0" borderId="0" xfId="0" applyBorder="1"/>
    <xf numFmtId="49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Fill="1" applyAlignment="1">
      <alignment horizontal="centerContinuous"/>
    </xf>
    <xf numFmtId="0" fontId="3" fillId="0" borderId="0" xfId="0" applyFont="1"/>
    <xf numFmtId="0" fontId="4" fillId="0" borderId="0" xfId="0" applyFont="1" applyAlignment="1">
      <alignment horizontal="left"/>
    </xf>
    <xf numFmtId="166" fontId="4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5" fillId="0" borderId="0" xfId="0" applyFont="1" applyFill="1"/>
    <xf numFmtId="165" fontId="0" fillId="0" borderId="0" xfId="0" applyNumberFormat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4.5" x14ac:dyDescent="0.35"/>
  <cols>
    <col min="1" max="130" width="20.7265625" customWidth="1"/>
  </cols>
  <sheetData>
    <row r="1" spans="1:130" x14ac:dyDescent="0.35">
      <c r="B1">
        <v>4</v>
      </c>
    </row>
    <row r="3" spans="1:130" ht="29" x14ac:dyDescent="0.35">
      <c r="A3" s="41" t="s">
        <v>244</v>
      </c>
      <c r="B3" s="41" t="s">
        <v>245</v>
      </c>
      <c r="C3" s="41" t="s">
        <v>18</v>
      </c>
      <c r="D3" s="41" t="s">
        <v>246</v>
      </c>
      <c r="E3" s="41" t="s">
        <v>247</v>
      </c>
      <c r="F3" s="41" t="s">
        <v>20</v>
      </c>
      <c r="G3" s="41" t="s">
        <v>248</v>
      </c>
      <c r="H3" s="41" t="s">
        <v>249</v>
      </c>
      <c r="I3" s="41" t="s">
        <v>250</v>
      </c>
      <c r="J3" s="41" t="s">
        <v>251</v>
      </c>
      <c r="K3" s="41" t="s">
        <v>252</v>
      </c>
      <c r="L3" s="41" t="s">
        <v>253</v>
      </c>
      <c r="M3" s="41" t="s">
        <v>254</v>
      </c>
      <c r="N3" s="41" t="s">
        <v>255</v>
      </c>
      <c r="O3" s="41" t="s">
        <v>256</v>
      </c>
      <c r="P3" s="41" t="s">
        <v>257</v>
      </c>
      <c r="Q3" s="41" t="s">
        <v>258</v>
      </c>
      <c r="R3" s="41" t="s">
        <v>259</v>
      </c>
      <c r="S3" s="41" t="s">
        <v>260</v>
      </c>
      <c r="T3" s="41" t="s">
        <v>261</v>
      </c>
      <c r="U3" s="41" t="s">
        <v>264</v>
      </c>
      <c r="V3" s="41" t="s">
        <v>265</v>
      </c>
      <c r="W3" s="41" t="s">
        <v>266</v>
      </c>
      <c r="X3" s="41" t="s">
        <v>267</v>
      </c>
      <c r="Y3" s="41" t="s">
        <v>268</v>
      </c>
      <c r="Z3" s="41" t="s">
        <v>269</v>
      </c>
      <c r="AA3" s="41" t="s">
        <v>270</v>
      </c>
      <c r="AB3" s="41" t="s">
        <v>271</v>
      </c>
      <c r="AC3" s="41" t="s">
        <v>272</v>
      </c>
      <c r="AD3" s="41" t="s">
        <v>273</v>
      </c>
      <c r="AE3" s="41" t="s">
        <v>274</v>
      </c>
      <c r="AF3" s="41" t="s">
        <v>275</v>
      </c>
      <c r="AG3" s="41" t="s">
        <v>276</v>
      </c>
      <c r="AH3" s="41" t="s">
        <v>277</v>
      </c>
      <c r="AI3" s="41" t="s">
        <v>278</v>
      </c>
      <c r="AJ3" s="41" t="s">
        <v>279</v>
      </c>
      <c r="AK3" s="41" t="s">
        <v>280</v>
      </c>
      <c r="AL3" s="41" t="s">
        <v>281</v>
      </c>
      <c r="AM3" s="41" t="s">
        <v>282</v>
      </c>
      <c r="AN3" s="41" t="s">
        <v>283</v>
      </c>
      <c r="AO3" s="41" t="s">
        <v>284</v>
      </c>
      <c r="AP3" s="41" t="s">
        <v>285</v>
      </c>
      <c r="AQ3" s="41" t="s">
        <v>286</v>
      </c>
      <c r="AR3" s="41" t="s">
        <v>287</v>
      </c>
      <c r="AS3" s="41" t="s">
        <v>288</v>
      </c>
      <c r="AT3" s="41" t="s">
        <v>289</v>
      </c>
      <c r="AU3" s="41" t="s">
        <v>290</v>
      </c>
      <c r="AV3" s="41" t="s">
        <v>262</v>
      </c>
      <c r="AW3" s="41" t="s">
        <v>263</v>
      </c>
      <c r="AX3" s="41" t="s">
        <v>291</v>
      </c>
      <c r="AY3" s="41" t="s">
        <v>292</v>
      </c>
      <c r="AZ3" s="41" t="s">
        <v>293</v>
      </c>
      <c r="BA3" s="41" t="s">
        <v>45</v>
      </c>
      <c r="BB3" s="41" t="s">
        <v>46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308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308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309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309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312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312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307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307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306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306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4.5" x14ac:dyDescent="0.35"/>
  <cols>
    <col min="1" max="220" width="20.7265625" customWidth="1"/>
    <col min="221" max="221" width="20.7265625" style="67" customWidth="1"/>
    <col min="222" max="223" width="20.7265625" customWidth="1"/>
  </cols>
  <sheetData>
    <row r="1" spans="1:272" x14ac:dyDescent="0.35">
      <c r="D1">
        <v>4</v>
      </c>
    </row>
    <row r="2" spans="1:272" x14ac:dyDescent="0.35">
      <c r="JK2">
        <v>271</v>
      </c>
      <c r="JL2">
        <v>4</v>
      </c>
    </row>
    <row r="3" spans="1:272" ht="29" x14ac:dyDescent="0.35">
      <c r="A3" s="41" t="s">
        <v>18</v>
      </c>
      <c r="B3" s="41" t="s">
        <v>19</v>
      </c>
      <c r="C3" s="41" t="s">
        <v>20</v>
      </c>
      <c r="D3" s="41" t="s">
        <v>21</v>
      </c>
      <c r="E3" s="41" t="s">
        <v>22</v>
      </c>
      <c r="F3" s="41" t="s">
        <v>23</v>
      </c>
      <c r="G3" s="41" t="s">
        <v>24</v>
      </c>
      <c r="H3" s="41" t="s">
        <v>25</v>
      </c>
      <c r="I3" s="41" t="s">
        <v>26</v>
      </c>
      <c r="J3" s="41" t="s">
        <v>27</v>
      </c>
      <c r="K3" s="41" t="s">
        <v>28</v>
      </c>
      <c r="L3" s="41" t="s">
        <v>29</v>
      </c>
      <c r="M3" s="41" t="s">
        <v>30</v>
      </c>
      <c r="N3" s="41" t="s">
        <v>31</v>
      </c>
      <c r="O3" s="41" t="s">
        <v>32</v>
      </c>
      <c r="P3" s="41" t="s">
        <v>33</v>
      </c>
      <c r="Q3" s="41" t="s">
        <v>34</v>
      </c>
      <c r="R3" s="41" t="s">
        <v>35</v>
      </c>
      <c r="S3" s="41" t="s">
        <v>36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48</v>
      </c>
      <c r="AB3" s="41" t="s">
        <v>49</v>
      </c>
      <c r="AC3" s="41" t="s">
        <v>50</v>
      </c>
      <c r="AD3" s="41" t="s">
        <v>51</v>
      </c>
      <c r="AE3" s="41" t="s">
        <v>52</v>
      </c>
      <c r="AF3" s="41" t="s">
        <v>53</v>
      </c>
      <c r="AG3" s="41" t="s">
        <v>54</v>
      </c>
      <c r="AH3" s="41" t="s">
        <v>55</v>
      </c>
      <c r="AI3" s="41" t="s">
        <v>56</v>
      </c>
      <c r="AJ3" s="41" t="s">
        <v>57</v>
      </c>
      <c r="AK3" s="41" t="s">
        <v>58</v>
      </c>
      <c r="AL3" s="41" t="s">
        <v>59</v>
      </c>
      <c r="AM3" s="41" t="s">
        <v>60</v>
      </c>
      <c r="AN3" s="41" t="s">
        <v>61</v>
      </c>
      <c r="AO3" s="41" t="s">
        <v>62</v>
      </c>
      <c r="AP3" s="41" t="s">
        <v>63</v>
      </c>
      <c r="AQ3" s="41" t="s">
        <v>64</v>
      </c>
      <c r="AR3" s="41" t="s">
        <v>65</v>
      </c>
      <c r="AS3" s="41" t="s">
        <v>66</v>
      </c>
      <c r="AT3" s="41" t="s">
        <v>67</v>
      </c>
      <c r="AU3" s="41" t="s">
        <v>68</v>
      </c>
      <c r="AV3" s="41" t="s">
        <v>69</v>
      </c>
      <c r="AW3" s="41" t="s">
        <v>70</v>
      </c>
      <c r="AX3" s="41" t="s">
        <v>71</v>
      </c>
      <c r="AY3" s="41" t="s">
        <v>72</v>
      </c>
      <c r="AZ3" s="41" t="s">
        <v>73</v>
      </c>
      <c r="BA3" s="41" t="s">
        <v>74</v>
      </c>
      <c r="BB3" s="41" t="s">
        <v>75</v>
      </c>
      <c r="BC3" s="41" t="s">
        <v>76</v>
      </c>
      <c r="BD3" s="41" t="s">
        <v>77</v>
      </c>
      <c r="BE3" s="41" t="s">
        <v>78</v>
      </c>
      <c r="BF3" s="41" t="s">
        <v>79</v>
      </c>
      <c r="BG3" s="41" t="s">
        <v>80</v>
      </c>
      <c r="BH3" s="41" t="s">
        <v>81</v>
      </c>
      <c r="BI3" s="41" t="s">
        <v>82</v>
      </c>
      <c r="BJ3" s="41" t="s">
        <v>83</v>
      </c>
      <c r="BK3" s="41" t="s">
        <v>84</v>
      </c>
      <c r="BL3" s="41" t="s">
        <v>85</v>
      </c>
      <c r="BM3" s="41" t="s">
        <v>86</v>
      </c>
      <c r="BN3" s="41" t="s">
        <v>87</v>
      </c>
      <c r="BO3" s="41" t="s">
        <v>88</v>
      </c>
      <c r="BP3" s="41" t="s">
        <v>89</v>
      </c>
      <c r="BQ3" s="41" t="s">
        <v>90</v>
      </c>
      <c r="BR3" s="41" t="s">
        <v>91</v>
      </c>
      <c r="BS3" s="41" t="s">
        <v>92</v>
      </c>
      <c r="BT3" s="41" t="s">
        <v>93</v>
      </c>
      <c r="BU3" s="41" t="s">
        <v>94</v>
      </c>
      <c r="BV3" s="41" t="s">
        <v>95</v>
      </c>
      <c r="BW3" s="41" t="s">
        <v>96</v>
      </c>
      <c r="BX3" s="41" t="s">
        <v>97</v>
      </c>
      <c r="BY3" s="41" t="s">
        <v>98</v>
      </c>
      <c r="BZ3" s="41" t="s">
        <v>99</v>
      </c>
      <c r="CA3" s="41" t="s">
        <v>100</v>
      </c>
      <c r="CB3" s="41" t="s">
        <v>101</v>
      </c>
      <c r="CC3" s="41" t="s">
        <v>102</v>
      </c>
      <c r="CD3" s="41" t="s">
        <v>103</v>
      </c>
      <c r="CE3" s="41" t="s">
        <v>104</v>
      </c>
      <c r="CF3" s="41" t="s">
        <v>105</v>
      </c>
      <c r="CG3" s="41" t="s">
        <v>106</v>
      </c>
      <c r="CH3" s="41" t="s">
        <v>107</v>
      </c>
      <c r="CI3" s="41" t="s">
        <v>108</v>
      </c>
      <c r="CJ3" s="41" t="s">
        <v>109</v>
      </c>
      <c r="CK3" s="41" t="s">
        <v>110</v>
      </c>
      <c r="CL3" s="41" t="s">
        <v>111</v>
      </c>
      <c r="CM3" s="41" t="s">
        <v>112</v>
      </c>
      <c r="CN3" s="41" t="s">
        <v>113</v>
      </c>
      <c r="CO3" s="41" t="s">
        <v>114</v>
      </c>
      <c r="CP3" s="41" t="s">
        <v>115</v>
      </c>
      <c r="CQ3" s="41" t="s">
        <v>116</v>
      </c>
      <c r="CR3" s="41" t="s">
        <v>117</v>
      </c>
      <c r="CS3" s="41" t="s">
        <v>118</v>
      </c>
      <c r="CT3" s="41" t="s">
        <v>119</v>
      </c>
      <c r="CU3" s="41" t="s">
        <v>120</v>
      </c>
      <c r="CV3" s="41" t="s">
        <v>121</v>
      </c>
      <c r="CW3" s="41" t="s">
        <v>122</v>
      </c>
      <c r="CX3" s="41" t="s">
        <v>123</v>
      </c>
      <c r="CY3" s="41" t="s">
        <v>124</v>
      </c>
      <c r="CZ3" s="41" t="s">
        <v>125</v>
      </c>
      <c r="DA3" s="41" t="s">
        <v>126</v>
      </c>
      <c r="DB3" s="41" t="s">
        <v>127</v>
      </c>
      <c r="DC3" s="41" t="s">
        <v>128</v>
      </c>
      <c r="DD3" s="41" t="s">
        <v>129</v>
      </c>
      <c r="DE3" s="41" t="s">
        <v>130</v>
      </c>
      <c r="DF3" s="41" t="s">
        <v>131</v>
      </c>
      <c r="DG3" s="41" t="s">
        <v>132</v>
      </c>
      <c r="DH3" s="41" t="s">
        <v>133</v>
      </c>
      <c r="DI3" s="41" t="s">
        <v>134</v>
      </c>
      <c r="DJ3" s="41" t="s">
        <v>135</v>
      </c>
      <c r="DK3" s="41" t="s">
        <v>136</v>
      </c>
      <c r="DL3" s="41" t="s">
        <v>137</v>
      </c>
      <c r="DM3" s="41" t="s">
        <v>138</v>
      </c>
      <c r="DN3" s="41" t="s">
        <v>139</v>
      </c>
      <c r="DO3" s="41" t="s">
        <v>140</v>
      </c>
      <c r="DP3" s="41" t="s">
        <v>141</v>
      </c>
      <c r="DQ3" s="41" t="s">
        <v>142</v>
      </c>
      <c r="DR3" s="41" t="s">
        <v>143</v>
      </c>
      <c r="DS3" s="41" t="s">
        <v>144</v>
      </c>
      <c r="DT3" s="41" t="s">
        <v>145</v>
      </c>
      <c r="DU3" s="41" t="s">
        <v>146</v>
      </c>
      <c r="DV3" s="41" t="s">
        <v>147</v>
      </c>
      <c r="DW3" s="41" t="s">
        <v>148</v>
      </c>
      <c r="DX3" s="41" t="s">
        <v>149</v>
      </c>
      <c r="DY3" s="41" t="s">
        <v>150</v>
      </c>
      <c r="DZ3" s="41" t="s">
        <v>151</v>
      </c>
      <c r="EA3" s="41" t="s">
        <v>152</v>
      </c>
      <c r="EB3" s="41" t="s">
        <v>153</v>
      </c>
      <c r="EC3" s="41" t="s">
        <v>154</v>
      </c>
      <c r="ED3" s="41" t="s">
        <v>155</v>
      </c>
      <c r="EE3" s="41" t="s">
        <v>156</v>
      </c>
      <c r="EF3" s="41" t="s">
        <v>157</v>
      </c>
      <c r="EG3" s="41" t="s">
        <v>158</v>
      </c>
      <c r="EH3" s="41" t="s">
        <v>159</v>
      </c>
      <c r="EI3" s="41" t="s">
        <v>160</v>
      </c>
      <c r="EJ3" s="41" t="s">
        <v>161</v>
      </c>
      <c r="EK3" s="41" t="s">
        <v>162</v>
      </c>
      <c r="EL3" s="41" t="s">
        <v>163</v>
      </c>
      <c r="EM3" s="41" t="s">
        <v>164</v>
      </c>
      <c r="EN3" s="41" t="s">
        <v>165</v>
      </c>
      <c r="EO3" s="41" t="s">
        <v>166</v>
      </c>
      <c r="EP3" s="41" t="s">
        <v>167</v>
      </c>
      <c r="EQ3" s="41" t="s">
        <v>168</v>
      </c>
      <c r="ER3" s="41" t="s">
        <v>169</v>
      </c>
      <c r="ES3" s="41" t="s">
        <v>170</v>
      </c>
      <c r="ET3" s="41" t="s">
        <v>171</v>
      </c>
      <c r="EU3" s="41" t="s">
        <v>172</v>
      </c>
      <c r="EV3" s="41" t="s">
        <v>173</v>
      </c>
      <c r="EW3" s="41" t="s">
        <v>174</v>
      </c>
      <c r="EX3" s="41" t="s">
        <v>175</v>
      </c>
      <c r="EY3" s="41" t="s">
        <v>176</v>
      </c>
      <c r="EZ3" s="41" t="s">
        <v>177</v>
      </c>
      <c r="FA3" s="41" t="s">
        <v>178</v>
      </c>
      <c r="FB3" s="41" t="s">
        <v>179</v>
      </c>
      <c r="FC3" s="41" t="s">
        <v>180</v>
      </c>
      <c r="FD3" s="41" t="s">
        <v>181</v>
      </c>
      <c r="FE3" s="41" t="s">
        <v>182</v>
      </c>
      <c r="FF3" s="41" t="s">
        <v>183</v>
      </c>
      <c r="FG3" s="41" t="s">
        <v>184</v>
      </c>
      <c r="FH3" s="41" t="s">
        <v>185</v>
      </c>
      <c r="FI3" s="41" t="s">
        <v>186</v>
      </c>
      <c r="FJ3" s="41" t="s">
        <v>187</v>
      </c>
      <c r="FK3" s="41" t="s">
        <v>188</v>
      </c>
      <c r="FL3" s="41" t="s">
        <v>189</v>
      </c>
      <c r="FM3" s="41" t="s">
        <v>190</v>
      </c>
      <c r="FN3" s="41" t="s">
        <v>191</v>
      </c>
      <c r="FO3" s="41" t="s">
        <v>192</v>
      </c>
      <c r="FP3" s="41" t="s">
        <v>193</v>
      </c>
      <c r="FQ3" s="41" t="s">
        <v>194</v>
      </c>
      <c r="FR3" s="41" t="s">
        <v>195</v>
      </c>
      <c r="FS3" s="41" t="s">
        <v>196</v>
      </c>
      <c r="FT3" s="41" t="s">
        <v>197</v>
      </c>
      <c r="FU3" s="41" t="s">
        <v>198</v>
      </c>
      <c r="FV3" s="41" t="s">
        <v>199</v>
      </c>
      <c r="FW3" s="41" t="s">
        <v>200</v>
      </c>
      <c r="FX3" s="41" t="s">
        <v>201</v>
      </c>
      <c r="FY3" s="41" t="s">
        <v>202</v>
      </c>
      <c r="FZ3" s="41" t="s">
        <v>203</v>
      </c>
      <c r="GA3" s="41" t="s">
        <v>204</v>
      </c>
      <c r="GB3" s="41" t="s">
        <v>205</v>
      </c>
      <c r="GC3" s="41" t="s">
        <v>206</v>
      </c>
      <c r="GD3" s="41" t="s">
        <v>207</v>
      </c>
      <c r="GE3" s="41" t="s">
        <v>208</v>
      </c>
      <c r="GF3" s="41" t="s">
        <v>209</v>
      </c>
      <c r="GG3" s="41" t="s">
        <v>210</v>
      </c>
      <c r="GH3" s="41" t="s">
        <v>211</v>
      </c>
      <c r="GI3" s="41" t="s">
        <v>212</v>
      </c>
      <c r="GJ3" s="41" t="s">
        <v>213</v>
      </c>
      <c r="GK3" s="41" t="s">
        <v>214</v>
      </c>
      <c r="GL3" s="41" t="s">
        <v>215</v>
      </c>
      <c r="GM3" s="41" t="s">
        <v>216</v>
      </c>
      <c r="GN3" s="41" t="s">
        <v>217</v>
      </c>
      <c r="GO3" s="41" t="s">
        <v>218</v>
      </c>
      <c r="GP3" s="41" t="s">
        <v>219</v>
      </c>
      <c r="GQ3" s="41" t="s">
        <v>220</v>
      </c>
      <c r="GR3" s="41" t="s">
        <v>221</v>
      </c>
      <c r="GS3" s="41" t="s">
        <v>222</v>
      </c>
      <c r="GT3" s="41" t="s">
        <v>223</v>
      </c>
      <c r="GU3" s="41" t="s">
        <v>224</v>
      </c>
      <c r="GV3" s="41" t="s">
        <v>225</v>
      </c>
      <c r="GW3" s="41" t="s">
        <v>226</v>
      </c>
      <c r="GX3" s="41" t="s">
        <v>227</v>
      </c>
      <c r="GY3" s="41" t="s">
        <v>228</v>
      </c>
      <c r="GZ3" s="41" t="s">
        <v>229</v>
      </c>
      <c r="HA3" s="41" t="s">
        <v>230</v>
      </c>
      <c r="HB3" s="41" t="s">
        <v>231</v>
      </c>
      <c r="HC3" s="41" t="s">
        <v>232</v>
      </c>
      <c r="HD3" s="41" t="s">
        <v>233</v>
      </c>
      <c r="HE3" s="41" t="s">
        <v>234</v>
      </c>
      <c r="HF3" s="41" t="s">
        <v>235</v>
      </c>
      <c r="HG3" s="41" t="s">
        <v>236</v>
      </c>
      <c r="HH3" s="41" t="s">
        <v>237</v>
      </c>
      <c r="HI3" s="41" t="s">
        <v>242</v>
      </c>
      <c r="HJ3" s="41" t="s">
        <v>243</v>
      </c>
      <c r="HK3" s="41"/>
      <c r="HL3" s="41" t="s">
        <v>44</v>
      </c>
      <c r="HM3" s="66"/>
      <c r="HN3" s="41" t="s">
        <v>45</v>
      </c>
      <c r="HO3" s="41" t="s">
        <v>46</v>
      </c>
      <c r="HP3" t="s">
        <v>47</v>
      </c>
      <c r="JK3" s="41" t="s">
        <v>238</v>
      </c>
      <c r="JL3" s="41" t="s">
        <v>239</v>
      </c>
    </row>
    <row r="10001" spans="271:272" x14ac:dyDescent="0.35">
      <c r="JK10001">
        <v>271</v>
      </c>
      <c r="JL10001">
        <v>10003</v>
      </c>
    </row>
    <row r="10002" spans="271:272" ht="43.5" x14ac:dyDescent="0.35">
      <c r="JK10002" s="41" t="s">
        <v>240</v>
      </c>
      <c r="JL10002" s="41" t="s">
        <v>241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303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303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304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304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305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305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310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310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313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313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275"/>
  <sheetViews>
    <sheetView tabSelected="1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B12" sqref="B12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297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1462324.1500000001</v>
      </c>
      <c r="E12" s="4"/>
      <c r="F12" s="12"/>
      <c r="G12" s="4"/>
      <c r="H12" s="4">
        <f>SUM(OSRRefH13x_0)</f>
        <v>2497871</v>
      </c>
      <c r="I12" s="4"/>
      <c r="J12" s="12"/>
      <c r="K12" s="4"/>
      <c r="L12" s="4">
        <f t="shared" ref="L12:L95" si="0">+D12-H12</f>
        <v>-1035546.8499999999</v>
      </c>
      <c r="M12" s="4"/>
      <c r="N12" s="12">
        <f t="shared" ref="N12:N95" si="1">IF(H12=0,0,L12/H12)</f>
        <v>-0.4145717893357983</v>
      </c>
      <c r="O12" s="10"/>
      <c r="P12" s="4">
        <f>SUM(OSRRefP13x_0)</f>
        <v>6605255.6599999983</v>
      </c>
      <c r="Q12" s="4"/>
      <c r="R12" s="12"/>
      <c r="S12" s="4"/>
      <c r="T12" s="4">
        <f>SUM(OSRRefT13x_0)</f>
        <v>11113318</v>
      </c>
      <c r="U12" s="4"/>
      <c r="V12" s="12"/>
      <c r="W12" s="4"/>
      <c r="X12" s="4">
        <f t="shared" ref="X12:X95" si="2">+P12-T12</f>
        <v>-4508062.3400000017</v>
      </c>
      <c r="Y12" s="4"/>
      <c r="Z12" s="12">
        <f t="shared" ref="Z12:Z95" si="3">IF(T12=0,0,X12/T12)</f>
        <v>-0.4056450413818809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>-12518.13</f>
        <v>-12518.13</v>
      </c>
      <c r="E13" s="2"/>
      <c r="F13" s="22"/>
      <c r="G13" s="2"/>
      <c r="H13" s="2">
        <v>2073081</v>
      </c>
      <c r="I13" s="2"/>
      <c r="J13" s="22"/>
      <c r="K13" s="2"/>
      <c r="L13" s="2">
        <f t="shared" si="0"/>
        <v>-2085599.13</v>
      </c>
      <c r="M13" s="2"/>
      <c r="N13" s="22">
        <f t="shared" si="1"/>
        <v>-1.0060384181804762</v>
      </c>
      <c r="O13" s="11"/>
      <c r="P13" s="2">
        <f>-103655.99</f>
        <v>-103655.99</v>
      </c>
      <c r="Q13" s="2"/>
      <c r="R13" s="22"/>
      <c r="S13" s="2"/>
      <c r="T13" s="2">
        <v>8111619</v>
      </c>
      <c r="U13" s="2"/>
      <c r="V13" s="22"/>
      <c r="W13" s="2"/>
      <c r="X13" s="2">
        <f t="shared" si="2"/>
        <v>-8215274.9900000002</v>
      </c>
      <c r="Y13" s="2"/>
      <c r="Z13" s="22">
        <f t="shared" si="3"/>
        <v>-1.0127787054594157</v>
      </c>
    </row>
    <row r="14" spans="1:26" s="24" customFormat="1" hidden="1" outlineLevel="1" x14ac:dyDescent="0.3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--459430.32</f>
        <v>459430.32</v>
      </c>
      <c r="E14" s="2"/>
      <c r="F14" s="22"/>
      <c r="G14" s="2"/>
      <c r="H14" s="2"/>
      <c r="I14" s="2"/>
      <c r="J14" s="22"/>
      <c r="K14" s="2"/>
      <c r="L14" s="2">
        <f t="shared" si="0"/>
        <v>459430.32</v>
      </c>
      <c r="M14" s="2"/>
      <c r="N14" s="22">
        <f t="shared" si="1"/>
        <v>0</v>
      </c>
      <c r="O14" s="11"/>
      <c r="P14" s="2">
        <f>--1190096.34</f>
        <v>1190096.3400000001</v>
      </c>
      <c r="Q14" s="2"/>
      <c r="R14" s="22"/>
      <c r="S14" s="2"/>
      <c r="T14" s="2"/>
      <c r="U14" s="2"/>
      <c r="V14" s="22"/>
      <c r="W14" s="2"/>
      <c r="X14" s="2">
        <f t="shared" si="2"/>
        <v>1190096.3400000001</v>
      </c>
      <c r="Y14" s="2"/>
      <c r="Z14" s="22">
        <f t="shared" si="3"/>
        <v>0</v>
      </c>
    </row>
    <row r="15" spans="1:26" s="24" customFormat="1" hidden="1" outlineLevel="1" x14ac:dyDescent="0.3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--238947.44</f>
        <v>238947.44</v>
      </c>
      <c r="E15" s="2"/>
      <c r="F15" s="22"/>
      <c r="G15" s="2"/>
      <c r="H15" s="2"/>
      <c r="I15" s="2"/>
      <c r="J15" s="22"/>
      <c r="K15" s="2"/>
      <c r="L15" s="2">
        <f t="shared" si="0"/>
        <v>238947.44</v>
      </c>
      <c r="M15" s="2"/>
      <c r="N15" s="22">
        <f t="shared" si="1"/>
        <v>0</v>
      </c>
      <c r="O15" s="11"/>
      <c r="P15" s="2">
        <f>--562401.5</f>
        <v>562401.5</v>
      </c>
      <c r="Q15" s="2"/>
      <c r="R15" s="22"/>
      <c r="S15" s="2"/>
      <c r="T15" s="2"/>
      <c r="U15" s="2"/>
      <c r="V15" s="22"/>
      <c r="W15" s="2"/>
      <c r="X15" s="2">
        <f t="shared" si="2"/>
        <v>562401.5</v>
      </c>
      <c r="Y15" s="2"/>
      <c r="Z15" s="22">
        <f t="shared" si="3"/>
        <v>0</v>
      </c>
    </row>
    <row r="16" spans="1:26" s="24" customFormat="1" hidden="1" outlineLevel="1" x14ac:dyDescent="0.3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--7222.26</f>
        <v>7222.26</v>
      </c>
      <c r="E16" s="2"/>
      <c r="F16" s="22"/>
      <c r="G16" s="2"/>
      <c r="H16" s="2"/>
      <c r="I16" s="2"/>
      <c r="J16" s="22"/>
      <c r="K16" s="2"/>
      <c r="L16" s="2">
        <f t="shared" si="0"/>
        <v>7222.26</v>
      </c>
      <c r="M16" s="2"/>
      <c r="N16" s="22">
        <f t="shared" si="1"/>
        <v>0</v>
      </c>
      <c r="O16" s="11"/>
      <c r="P16" s="2">
        <f>--17887.89</f>
        <v>17887.89</v>
      </c>
      <c r="Q16" s="2"/>
      <c r="R16" s="22"/>
      <c r="S16" s="2"/>
      <c r="T16" s="2"/>
      <c r="U16" s="2"/>
      <c r="V16" s="22"/>
      <c r="W16" s="2"/>
      <c r="X16" s="2">
        <f t="shared" si="2"/>
        <v>17887.89</v>
      </c>
      <c r="Y16" s="2"/>
      <c r="Z16" s="22">
        <f t="shared" si="3"/>
        <v>0</v>
      </c>
    </row>
    <row r="17" spans="1:26" s="24" customFormat="1" hidden="1" outlineLevel="1" x14ac:dyDescent="0.3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--200.1</f>
        <v>200.1</v>
      </c>
      <c r="E17" s="2"/>
      <c r="F17" s="22"/>
      <c r="G17" s="2"/>
      <c r="H17" s="2"/>
      <c r="I17" s="2"/>
      <c r="J17" s="22"/>
      <c r="K17" s="2"/>
      <c r="L17" s="2">
        <f t="shared" si="0"/>
        <v>200.1</v>
      </c>
      <c r="M17" s="2"/>
      <c r="N17" s="22">
        <f t="shared" si="1"/>
        <v>0</v>
      </c>
      <c r="O17" s="11"/>
      <c r="P17" s="2">
        <f>--2659.66</f>
        <v>2659.66</v>
      </c>
      <c r="Q17" s="2"/>
      <c r="R17" s="22"/>
      <c r="S17" s="2"/>
      <c r="T17" s="2"/>
      <c r="U17" s="2"/>
      <c r="V17" s="22"/>
      <c r="W17" s="2"/>
      <c r="X17" s="2">
        <f t="shared" si="2"/>
        <v>2659.66</v>
      </c>
      <c r="Y17" s="2"/>
      <c r="Z17" s="22">
        <f t="shared" si="3"/>
        <v>0</v>
      </c>
    </row>
    <row r="18" spans="1:26" s="24" customFormat="1" hidden="1" outlineLevel="1" x14ac:dyDescent="0.3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--346.55</f>
        <v>346.55</v>
      </c>
      <c r="E18" s="2"/>
      <c r="F18" s="22"/>
      <c r="G18" s="2"/>
      <c r="H18" s="2"/>
      <c r="I18" s="2"/>
      <c r="J18" s="22"/>
      <c r="K18" s="2"/>
      <c r="L18" s="2">
        <f t="shared" si="0"/>
        <v>346.55</v>
      </c>
      <c r="M18" s="2"/>
      <c r="N18" s="22">
        <f t="shared" si="1"/>
        <v>0</v>
      </c>
      <c r="O18" s="11"/>
      <c r="P18" s="2">
        <f>--930.52</f>
        <v>930.52</v>
      </c>
      <c r="Q18" s="2"/>
      <c r="R18" s="22"/>
      <c r="S18" s="2"/>
      <c r="T18" s="2"/>
      <c r="U18" s="2"/>
      <c r="V18" s="22"/>
      <c r="W18" s="2"/>
      <c r="X18" s="2">
        <f t="shared" si="2"/>
        <v>930.52</v>
      </c>
      <c r="Y18" s="2"/>
      <c r="Z18" s="22">
        <f t="shared" si="3"/>
        <v>0</v>
      </c>
    </row>
    <row r="19" spans="1:26" s="24" customFormat="1" hidden="1" outlineLevel="1" x14ac:dyDescent="0.3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--3.98</f>
        <v>3.98</v>
      </c>
      <c r="E19" s="2"/>
      <c r="F19" s="22"/>
      <c r="G19" s="2"/>
      <c r="H19" s="2"/>
      <c r="I19" s="2"/>
      <c r="J19" s="22"/>
      <c r="K19" s="2"/>
      <c r="L19" s="2">
        <f t="shared" si="0"/>
        <v>3.98</v>
      </c>
      <c r="M19" s="2"/>
      <c r="N19" s="22">
        <f t="shared" si="1"/>
        <v>0</v>
      </c>
      <c r="O19" s="11"/>
      <c r="P19" s="2">
        <f>--380.04</f>
        <v>380.04</v>
      </c>
      <c r="Q19" s="2"/>
      <c r="R19" s="22"/>
      <c r="S19" s="2"/>
      <c r="T19" s="2"/>
      <c r="U19" s="2"/>
      <c r="V19" s="22"/>
      <c r="W19" s="2"/>
      <c r="X19" s="2">
        <f t="shared" si="2"/>
        <v>380.04</v>
      </c>
      <c r="Y19" s="2"/>
      <c r="Z19" s="22">
        <f t="shared" si="3"/>
        <v>0</v>
      </c>
    </row>
    <row r="20" spans="1:26" s="24" customFormat="1" hidden="1" outlineLevel="1" x14ac:dyDescent="0.3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--100.3</f>
        <v>100.3</v>
      </c>
      <c r="E20" s="2"/>
      <c r="F20" s="22"/>
      <c r="G20" s="2"/>
      <c r="H20" s="2"/>
      <c r="I20" s="2"/>
      <c r="J20" s="22"/>
      <c r="K20" s="2"/>
      <c r="L20" s="2">
        <f t="shared" si="0"/>
        <v>100.3</v>
      </c>
      <c r="M20" s="2"/>
      <c r="N20" s="22">
        <f t="shared" si="1"/>
        <v>0</v>
      </c>
      <c r="O20" s="11"/>
      <c r="P20" s="2">
        <f>--291.14</f>
        <v>291.14</v>
      </c>
      <c r="Q20" s="2"/>
      <c r="R20" s="22"/>
      <c r="S20" s="2"/>
      <c r="T20" s="2"/>
      <c r="U20" s="2"/>
      <c r="V20" s="22"/>
      <c r="W20" s="2"/>
      <c r="X20" s="2">
        <f t="shared" si="2"/>
        <v>291.14</v>
      </c>
      <c r="Y20" s="2"/>
      <c r="Z20" s="22">
        <f t="shared" si="3"/>
        <v>0</v>
      </c>
    </row>
    <row r="21" spans="1:26" s="24" customFormat="1" hidden="1" outlineLevel="1" x14ac:dyDescent="0.3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--34.62</f>
        <v>34.619999999999997</v>
      </c>
      <c r="E21" s="2"/>
      <c r="F21" s="22"/>
      <c r="G21" s="2"/>
      <c r="H21" s="2"/>
      <c r="I21" s="2"/>
      <c r="J21" s="22"/>
      <c r="K21" s="2"/>
      <c r="L21" s="2">
        <f t="shared" si="0"/>
        <v>34.619999999999997</v>
      </c>
      <c r="M21" s="2"/>
      <c r="N21" s="22">
        <f t="shared" si="1"/>
        <v>0</v>
      </c>
      <c r="O21" s="11"/>
      <c r="P21" s="2">
        <f>--407</f>
        <v>407</v>
      </c>
      <c r="Q21" s="2"/>
      <c r="R21" s="22"/>
      <c r="S21" s="2"/>
      <c r="T21" s="2"/>
      <c r="U21" s="2"/>
      <c r="V21" s="22"/>
      <c r="W21" s="2"/>
      <c r="X21" s="2">
        <f t="shared" si="2"/>
        <v>407</v>
      </c>
      <c r="Y21" s="2"/>
      <c r="Z21" s="22">
        <f t="shared" si="3"/>
        <v>0</v>
      </c>
    </row>
    <row r="22" spans="1:26" s="24" customFormat="1" hidden="1" outlineLevel="1" x14ac:dyDescent="0.3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--8701.79</f>
        <v>8701.7900000000009</v>
      </c>
      <c r="E22" s="2"/>
      <c r="F22" s="22"/>
      <c r="G22" s="2"/>
      <c r="H22" s="2"/>
      <c r="I22" s="2"/>
      <c r="J22" s="22"/>
      <c r="K22" s="2"/>
      <c r="L22" s="2">
        <f t="shared" si="0"/>
        <v>8701.7900000000009</v>
      </c>
      <c r="M22" s="2"/>
      <c r="N22" s="22">
        <f t="shared" si="1"/>
        <v>0</v>
      </c>
      <c r="O22" s="11"/>
      <c r="P22" s="2">
        <f>--48676.22</f>
        <v>48676.22</v>
      </c>
      <c r="Q22" s="2"/>
      <c r="R22" s="22"/>
      <c r="S22" s="2"/>
      <c r="T22" s="2"/>
      <c r="U22" s="2"/>
      <c r="V22" s="22"/>
      <c r="W22" s="2"/>
      <c r="X22" s="2">
        <f t="shared" si="2"/>
        <v>48676.22</v>
      </c>
      <c r="Y22" s="2"/>
      <c r="Z22" s="22">
        <f t="shared" si="3"/>
        <v>0</v>
      </c>
    </row>
    <row r="23" spans="1:26" s="24" customFormat="1" hidden="1" outlineLevel="1" x14ac:dyDescent="0.3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--21773.01</f>
        <v>21773.01</v>
      </c>
      <c r="E23" s="2"/>
      <c r="F23" s="22"/>
      <c r="G23" s="2"/>
      <c r="H23" s="2"/>
      <c r="I23" s="2"/>
      <c r="J23" s="22"/>
      <c r="K23" s="2"/>
      <c r="L23" s="2">
        <f t="shared" si="0"/>
        <v>21773.01</v>
      </c>
      <c r="M23" s="2"/>
      <c r="N23" s="22">
        <f t="shared" si="1"/>
        <v>0</v>
      </c>
      <c r="O23" s="11"/>
      <c r="P23" s="2">
        <f>--38951.82</f>
        <v>38951.82</v>
      </c>
      <c r="Q23" s="2"/>
      <c r="R23" s="22"/>
      <c r="S23" s="2"/>
      <c r="T23" s="2"/>
      <c r="U23" s="2"/>
      <c r="V23" s="22"/>
      <c r="W23" s="2"/>
      <c r="X23" s="2">
        <f t="shared" si="2"/>
        <v>38951.82</v>
      </c>
      <c r="Y23" s="2"/>
      <c r="Z23" s="22">
        <f t="shared" si="3"/>
        <v>0</v>
      </c>
    </row>
    <row r="24" spans="1:26" s="24" customFormat="1" hidden="1" outlineLevel="1" x14ac:dyDescent="0.3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--477.59</f>
        <v>477.59</v>
      </c>
      <c r="E24" s="2"/>
      <c r="F24" s="22"/>
      <c r="G24" s="2"/>
      <c r="H24" s="2"/>
      <c r="I24" s="2"/>
      <c r="J24" s="22"/>
      <c r="K24" s="2"/>
      <c r="L24" s="2">
        <f t="shared" si="0"/>
        <v>477.59</v>
      </c>
      <c r="M24" s="2"/>
      <c r="N24" s="22">
        <f t="shared" si="1"/>
        <v>0</v>
      </c>
      <c r="O24" s="11"/>
      <c r="P24" s="2">
        <f>--2587.24</f>
        <v>2587.2399999999998</v>
      </c>
      <c r="Q24" s="2"/>
      <c r="R24" s="22"/>
      <c r="S24" s="2"/>
      <c r="T24" s="2"/>
      <c r="U24" s="2"/>
      <c r="V24" s="22"/>
      <c r="W24" s="2"/>
      <c r="X24" s="2">
        <f t="shared" si="2"/>
        <v>2587.2399999999998</v>
      </c>
      <c r="Y24" s="2"/>
      <c r="Z24" s="22">
        <f t="shared" si="3"/>
        <v>0</v>
      </c>
    </row>
    <row r="25" spans="1:26" s="24" customFormat="1" hidden="1" outlineLevel="1" x14ac:dyDescent="0.35">
      <c r="A25" s="51"/>
      <c r="B25" s="11" t="str">
        <f>CONCATENATE("          ", "4032", " - ", "TAXABLE SALES-JUICE")</f>
        <v xml:space="preserve">          4032 - TAXABLE SALES-JUICE</v>
      </c>
      <c r="C25" s="11"/>
      <c r="D25" s="2">
        <f t="shared" ref="D25:D26" si="4"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--444.59</f>
        <v>444.59</v>
      </c>
      <c r="Q25" s="2"/>
      <c r="R25" s="22"/>
      <c r="S25" s="2"/>
      <c r="T25" s="2"/>
      <c r="U25" s="2"/>
      <c r="V25" s="22"/>
      <c r="W25" s="2"/>
      <c r="X25" s="2">
        <f t="shared" si="2"/>
        <v>444.59</v>
      </c>
      <c r="Y25" s="2"/>
      <c r="Z25" s="22">
        <f t="shared" si="3"/>
        <v>0</v>
      </c>
    </row>
    <row r="26" spans="1:26" s="24" customFormat="1" hidden="1" outlineLevel="1" x14ac:dyDescent="0.35">
      <c r="A26" s="51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22"/>
      <c r="G26" s="2"/>
      <c r="H26" s="2"/>
      <c r="I26" s="2"/>
      <c r="J26" s="22"/>
      <c r="K26" s="2"/>
      <c r="L26" s="2">
        <f t="shared" si="0"/>
        <v>0</v>
      </c>
      <c r="M26" s="2"/>
      <c r="N26" s="22">
        <f t="shared" si="1"/>
        <v>0</v>
      </c>
      <c r="O26" s="11"/>
      <c r="P26" s="2">
        <f>--6.78</f>
        <v>6.78</v>
      </c>
      <c r="Q26" s="2"/>
      <c r="R26" s="22"/>
      <c r="S26" s="2"/>
      <c r="T26" s="2"/>
      <c r="U26" s="2"/>
      <c r="V26" s="22"/>
      <c r="W26" s="2"/>
      <c r="X26" s="2">
        <f t="shared" si="2"/>
        <v>6.78</v>
      </c>
      <c r="Y26" s="2"/>
      <c r="Z26" s="22">
        <f t="shared" si="3"/>
        <v>0</v>
      </c>
    </row>
    <row r="27" spans="1:26" s="24" customFormat="1" hidden="1" outlineLevel="1" x14ac:dyDescent="0.35">
      <c r="A27" s="51"/>
      <c r="B27" s="11" t="str">
        <f>CONCATENATE("          ", "4040", " - ", "TAXABLE SALES-LOGO CLOTHING")</f>
        <v xml:space="preserve">          4040 - TAXABLE SALES-LOGO CLOTHING</v>
      </c>
      <c r="C27" s="11"/>
      <c r="D27" s="2">
        <f>--89991.91</f>
        <v>89991.91</v>
      </c>
      <c r="E27" s="2"/>
      <c r="F27" s="22"/>
      <c r="G27" s="2"/>
      <c r="H27" s="2"/>
      <c r="I27" s="2"/>
      <c r="J27" s="22"/>
      <c r="K27" s="2"/>
      <c r="L27" s="2">
        <f t="shared" si="0"/>
        <v>89991.91</v>
      </c>
      <c r="M27" s="2"/>
      <c r="N27" s="22">
        <f t="shared" si="1"/>
        <v>0</v>
      </c>
      <c r="O27" s="11"/>
      <c r="P27" s="2">
        <f>--598102.9</f>
        <v>598102.9</v>
      </c>
      <c r="Q27" s="2"/>
      <c r="R27" s="22"/>
      <c r="S27" s="2"/>
      <c r="T27" s="2"/>
      <c r="U27" s="2"/>
      <c r="V27" s="22"/>
      <c r="W27" s="2"/>
      <c r="X27" s="2">
        <f t="shared" si="2"/>
        <v>598102.9</v>
      </c>
      <c r="Y27" s="2"/>
      <c r="Z27" s="22">
        <f t="shared" si="3"/>
        <v>0</v>
      </c>
    </row>
    <row r="28" spans="1:26" s="24" customFormat="1" hidden="1" outlineLevel="1" x14ac:dyDescent="0.35">
      <c r="A28" s="51"/>
      <c r="B28" s="11" t="str">
        <f>CONCATENATE("          ", "4041", " - ", "TAXABLE SALES-LOGO GIFTS")</f>
        <v xml:space="preserve">          4041 - TAXABLE SALES-LOGO GIFTS</v>
      </c>
      <c r="C28" s="11"/>
      <c r="D28" s="2">
        <f>--51480.95</f>
        <v>51480.95</v>
      </c>
      <c r="E28" s="2"/>
      <c r="F28" s="22"/>
      <c r="G28" s="2"/>
      <c r="H28" s="2"/>
      <c r="I28" s="2"/>
      <c r="J28" s="22"/>
      <c r="K28" s="2"/>
      <c r="L28" s="2">
        <f t="shared" si="0"/>
        <v>51480.95</v>
      </c>
      <c r="M28" s="2"/>
      <c r="N28" s="22">
        <f t="shared" si="1"/>
        <v>0</v>
      </c>
      <c r="O28" s="11"/>
      <c r="P28" s="2">
        <f>--249099.27</f>
        <v>249099.27</v>
      </c>
      <c r="Q28" s="2"/>
      <c r="R28" s="22"/>
      <c r="S28" s="2"/>
      <c r="T28" s="2"/>
      <c r="U28" s="2"/>
      <c r="V28" s="22"/>
      <c r="W28" s="2"/>
      <c r="X28" s="2">
        <f t="shared" si="2"/>
        <v>249099.27</v>
      </c>
      <c r="Y28" s="2"/>
      <c r="Z28" s="22">
        <f t="shared" si="3"/>
        <v>0</v>
      </c>
    </row>
    <row r="29" spans="1:26" s="24" customFormat="1" hidden="1" outlineLevel="1" x14ac:dyDescent="0.35">
      <c r="A29" s="51"/>
      <c r="B29" s="11" t="str">
        <f>CONCATENATE("          ", "4042", " - ", "TAXABLE SALES-EVERYDAY GIFTS")</f>
        <v xml:space="preserve">          4042 - TAXABLE SALES-EVERYDAY GIFTS</v>
      </c>
      <c r="C29" s="11"/>
      <c r="D29" s="2">
        <f>--9303.18</f>
        <v>9303.18</v>
      </c>
      <c r="E29" s="2"/>
      <c r="F29" s="22"/>
      <c r="G29" s="2"/>
      <c r="H29" s="2"/>
      <c r="I29" s="2"/>
      <c r="J29" s="22"/>
      <c r="K29" s="2"/>
      <c r="L29" s="2">
        <f t="shared" si="0"/>
        <v>9303.18</v>
      </c>
      <c r="M29" s="2"/>
      <c r="N29" s="22">
        <f t="shared" si="1"/>
        <v>0</v>
      </c>
      <c r="O29" s="11"/>
      <c r="P29" s="2">
        <f>--74200.88</f>
        <v>74200.88</v>
      </c>
      <c r="Q29" s="2"/>
      <c r="R29" s="22"/>
      <c r="S29" s="2"/>
      <c r="T29" s="2"/>
      <c r="U29" s="2"/>
      <c r="V29" s="22"/>
      <c r="W29" s="2"/>
      <c r="X29" s="2">
        <f t="shared" si="2"/>
        <v>74200.88</v>
      </c>
      <c r="Y29" s="2"/>
      <c r="Z29" s="22">
        <f t="shared" si="3"/>
        <v>0</v>
      </c>
    </row>
    <row r="30" spans="1:26" s="24" customFormat="1" hidden="1" outlineLevel="1" x14ac:dyDescent="0.35">
      <c r="A30" s="51"/>
      <c r="B30" s="11" t="str">
        <f>CONCATENATE("          ", "4043", " - ", "TAXABLE SALES-CARDS")</f>
        <v xml:space="preserve">          4043 - TAXABLE SALES-CARDS</v>
      </c>
      <c r="C30" s="11"/>
      <c r="D30" s="2">
        <f>--24845.66</f>
        <v>24845.66</v>
      </c>
      <c r="E30" s="2"/>
      <c r="F30" s="22"/>
      <c r="G30" s="2"/>
      <c r="H30" s="2"/>
      <c r="I30" s="2"/>
      <c r="J30" s="22"/>
      <c r="K30" s="2"/>
      <c r="L30" s="2">
        <f t="shared" si="0"/>
        <v>24845.66</v>
      </c>
      <c r="M30" s="2"/>
      <c r="N30" s="22">
        <f t="shared" si="1"/>
        <v>0</v>
      </c>
      <c r="O30" s="11"/>
      <c r="P30" s="2">
        <f>--117954.81</f>
        <v>117954.81</v>
      </c>
      <c r="Q30" s="2"/>
      <c r="R30" s="22"/>
      <c r="S30" s="2"/>
      <c r="T30" s="2"/>
      <c r="U30" s="2"/>
      <c r="V30" s="22"/>
      <c r="W30" s="2"/>
      <c r="X30" s="2">
        <f t="shared" si="2"/>
        <v>117954.81</v>
      </c>
      <c r="Y30" s="2"/>
      <c r="Z30" s="22">
        <f t="shared" si="3"/>
        <v>0</v>
      </c>
    </row>
    <row r="31" spans="1:26" s="24" customFormat="1" hidden="1" outlineLevel="1" x14ac:dyDescent="0.35">
      <c r="A31" s="51"/>
      <c r="B31" s="11" t="str">
        <f>CONCATENATE("          ", "4044", " - ", "TAXABLE SALES-ACCESSORIES")</f>
        <v xml:space="preserve">          4044 - TAXABLE SALES-ACCESSORIES</v>
      </c>
      <c r="C31" s="11"/>
      <c r="D31" s="2">
        <f>--1261.95</f>
        <v>1261.95</v>
      </c>
      <c r="E31" s="2"/>
      <c r="F31" s="22"/>
      <c r="G31" s="2"/>
      <c r="H31" s="2"/>
      <c r="I31" s="2"/>
      <c r="J31" s="22"/>
      <c r="K31" s="2"/>
      <c r="L31" s="2">
        <f t="shared" si="0"/>
        <v>1261.95</v>
      </c>
      <c r="M31" s="2"/>
      <c r="N31" s="22">
        <f t="shared" si="1"/>
        <v>0</v>
      </c>
      <c r="O31" s="11"/>
      <c r="P31" s="2">
        <f>--27535.62</f>
        <v>27535.62</v>
      </c>
      <c r="Q31" s="2"/>
      <c r="R31" s="22"/>
      <c r="S31" s="2"/>
      <c r="T31" s="2"/>
      <c r="U31" s="2"/>
      <c r="V31" s="22"/>
      <c r="W31" s="2"/>
      <c r="X31" s="2">
        <f t="shared" si="2"/>
        <v>27535.62</v>
      </c>
      <c r="Y31" s="2"/>
      <c r="Z31" s="22">
        <f t="shared" si="3"/>
        <v>0</v>
      </c>
    </row>
    <row r="32" spans="1:26" s="24" customFormat="1" hidden="1" outlineLevel="1" x14ac:dyDescent="0.35">
      <c r="A32" s="51"/>
      <c r="B32" s="11" t="str">
        <f>CONCATENATE("          ", "4045", " - ", "TAXABLE SALES-SPECIAL ORDERS")</f>
        <v xml:space="preserve">          4045 - TAXABLE SALES-SPECIAL ORDERS</v>
      </c>
      <c r="C32" s="11"/>
      <c r="D32" s="2">
        <f>--3388.52</f>
        <v>3388.52</v>
      </c>
      <c r="E32" s="2"/>
      <c r="F32" s="22"/>
      <c r="G32" s="2"/>
      <c r="H32" s="2"/>
      <c r="I32" s="2"/>
      <c r="J32" s="22"/>
      <c r="K32" s="2"/>
      <c r="L32" s="2">
        <f t="shared" si="0"/>
        <v>3388.52</v>
      </c>
      <c r="M32" s="2"/>
      <c r="N32" s="22">
        <f t="shared" si="1"/>
        <v>0</v>
      </c>
      <c r="O32" s="11"/>
      <c r="P32" s="2">
        <f>--125449.67</f>
        <v>125449.67</v>
      </c>
      <c r="Q32" s="2"/>
      <c r="R32" s="22"/>
      <c r="S32" s="2"/>
      <c r="T32" s="2"/>
      <c r="U32" s="2"/>
      <c r="V32" s="22"/>
      <c r="W32" s="2"/>
      <c r="X32" s="2">
        <f t="shared" si="2"/>
        <v>125449.67</v>
      </c>
      <c r="Y32" s="2"/>
      <c r="Z32" s="22">
        <f t="shared" si="3"/>
        <v>0</v>
      </c>
    </row>
    <row r="33" spans="1:26" s="24" customFormat="1" hidden="1" outlineLevel="1" x14ac:dyDescent="0.35">
      <c r="A33" s="51"/>
      <c r="B33" s="11" t="str">
        <f>CONCATENATE("          ", "4051", " - ", "TAXABLE SALES-FOOD")</f>
        <v xml:space="preserve">          4051 - TAXABLE SALES-FOOD</v>
      </c>
      <c r="C33" s="11"/>
      <c r="D33" s="2">
        <f>0</f>
        <v>0</v>
      </c>
      <c r="E33" s="2"/>
      <c r="F33" s="22"/>
      <c r="G33" s="2"/>
      <c r="H33" s="2"/>
      <c r="I33" s="2"/>
      <c r="J33" s="22"/>
      <c r="K33" s="2"/>
      <c r="L33" s="2">
        <f t="shared" si="0"/>
        <v>0</v>
      </c>
      <c r="M33" s="2"/>
      <c r="N33" s="22">
        <f t="shared" si="1"/>
        <v>0</v>
      </c>
      <c r="O33" s="11"/>
      <c r="P33" s="2">
        <f>--22964.48</f>
        <v>22964.48</v>
      </c>
      <c r="Q33" s="2"/>
      <c r="R33" s="22"/>
      <c r="S33" s="2"/>
      <c r="T33" s="2"/>
      <c r="U33" s="2"/>
      <c r="V33" s="22"/>
      <c r="W33" s="2"/>
      <c r="X33" s="2">
        <f t="shared" si="2"/>
        <v>22964.48</v>
      </c>
      <c r="Y33" s="2"/>
      <c r="Z33" s="22">
        <f t="shared" si="3"/>
        <v>0</v>
      </c>
    </row>
    <row r="34" spans="1:26" s="24" customFormat="1" hidden="1" outlineLevel="1" x14ac:dyDescent="0.35">
      <c r="A34" s="51"/>
      <c r="B34" s="11" t="str">
        <f>CONCATENATE("          ", "4052", " - ", "TAXABLE SALES-FOOD")</f>
        <v xml:space="preserve">          4052 - TAXABLE SALES-FOOD</v>
      </c>
      <c r="C34" s="11"/>
      <c r="D34" s="2">
        <f>--82073.46</f>
        <v>82073.460000000006</v>
      </c>
      <c r="E34" s="2"/>
      <c r="F34" s="22"/>
      <c r="G34" s="2"/>
      <c r="H34" s="2"/>
      <c r="I34" s="2"/>
      <c r="J34" s="22"/>
      <c r="K34" s="2"/>
      <c r="L34" s="2">
        <f t="shared" si="0"/>
        <v>82073.460000000006</v>
      </c>
      <c r="M34" s="2"/>
      <c r="N34" s="22">
        <f t="shared" si="1"/>
        <v>0</v>
      </c>
      <c r="O34" s="11"/>
      <c r="P34" s="2">
        <f>--230176.85</f>
        <v>230176.85</v>
      </c>
      <c r="Q34" s="2"/>
      <c r="R34" s="22"/>
      <c r="S34" s="2"/>
      <c r="T34" s="2"/>
      <c r="U34" s="2"/>
      <c r="V34" s="22"/>
      <c r="W34" s="2"/>
      <c r="X34" s="2">
        <f t="shared" si="2"/>
        <v>230176.85</v>
      </c>
      <c r="Y34" s="2"/>
      <c r="Z34" s="22">
        <f t="shared" si="3"/>
        <v>0</v>
      </c>
    </row>
    <row r="35" spans="1:26" s="24" customFormat="1" hidden="1" outlineLevel="1" x14ac:dyDescent="0.35">
      <c r="A35" s="51"/>
      <c r="B35" s="11" t="str">
        <f>CONCATENATE("          ", "4053", " - ", "TAXABLE SALES-FOOD")</f>
        <v xml:space="preserve">          4053 - TAXABLE SALES-FOOD</v>
      </c>
      <c r="C35" s="11"/>
      <c r="D35" s="2">
        <f>--46.44</f>
        <v>46.44</v>
      </c>
      <c r="E35" s="2"/>
      <c r="F35" s="22"/>
      <c r="G35" s="2"/>
      <c r="H35" s="2"/>
      <c r="I35" s="2"/>
      <c r="J35" s="22"/>
      <c r="K35" s="2"/>
      <c r="L35" s="2">
        <f t="shared" si="0"/>
        <v>46.44</v>
      </c>
      <c r="M35" s="2"/>
      <c r="N35" s="22">
        <f t="shared" si="1"/>
        <v>0</v>
      </c>
      <c r="O35" s="11"/>
      <c r="P35" s="2">
        <f>--579.52</f>
        <v>579.52</v>
      </c>
      <c r="Q35" s="2"/>
      <c r="R35" s="22"/>
      <c r="S35" s="2"/>
      <c r="T35" s="2"/>
      <c r="U35" s="2"/>
      <c r="V35" s="22"/>
      <c r="W35" s="2"/>
      <c r="X35" s="2">
        <f t="shared" si="2"/>
        <v>579.52</v>
      </c>
      <c r="Y35" s="2"/>
      <c r="Z35" s="22">
        <f t="shared" si="3"/>
        <v>0</v>
      </c>
    </row>
    <row r="36" spans="1:26" s="24" customFormat="1" hidden="1" outlineLevel="1" x14ac:dyDescent="0.35">
      <c r="A36" s="51"/>
      <c r="B36" s="11" t="str">
        <f>CONCATENATE("          ", "4058", " - ", "TAXABLE SALES-FOOD")</f>
        <v xml:space="preserve">          4058 - TAXABLE SALES-FOOD</v>
      </c>
      <c r="C36" s="11"/>
      <c r="D36" s="2">
        <f>0</f>
        <v>0</v>
      </c>
      <c r="E36" s="2"/>
      <c r="F36" s="22"/>
      <c r="G36" s="2"/>
      <c r="H36" s="2"/>
      <c r="I36" s="2"/>
      <c r="J36" s="22"/>
      <c r="K36" s="2"/>
      <c r="L36" s="2">
        <f t="shared" si="0"/>
        <v>0</v>
      </c>
      <c r="M36" s="2"/>
      <c r="N36" s="22">
        <f t="shared" si="1"/>
        <v>0</v>
      </c>
      <c r="O36" s="11"/>
      <c r="P36" s="2">
        <f>--974.91</f>
        <v>974.91</v>
      </c>
      <c r="Q36" s="2"/>
      <c r="R36" s="22"/>
      <c r="S36" s="2"/>
      <c r="T36" s="2"/>
      <c r="U36" s="2"/>
      <c r="V36" s="22"/>
      <c r="W36" s="2"/>
      <c r="X36" s="2">
        <f t="shared" si="2"/>
        <v>974.91</v>
      </c>
      <c r="Y36" s="2"/>
      <c r="Z36" s="22">
        <f t="shared" si="3"/>
        <v>0</v>
      </c>
    </row>
    <row r="37" spans="1:26" s="24" customFormat="1" hidden="1" outlineLevel="1" x14ac:dyDescent="0.35">
      <c r="A37" s="51"/>
      <c r="B37" s="11" t="str">
        <f>CONCATENATE("          ", "4081", " - ", "TAXABLE SALES-ELECTRONICS")</f>
        <v xml:space="preserve">          4081 - TAXABLE SALES-ELECTRONICS</v>
      </c>
      <c r="C37" s="11"/>
      <c r="D37" s="2">
        <f>--2318.54</f>
        <v>2318.54</v>
      </c>
      <c r="E37" s="2"/>
      <c r="F37" s="22"/>
      <c r="G37" s="2"/>
      <c r="H37" s="2"/>
      <c r="I37" s="2"/>
      <c r="J37" s="22"/>
      <c r="K37" s="2"/>
      <c r="L37" s="2">
        <f t="shared" si="0"/>
        <v>2318.54</v>
      </c>
      <c r="M37" s="2"/>
      <c r="N37" s="22">
        <f t="shared" si="1"/>
        <v>0</v>
      </c>
      <c r="O37" s="11"/>
      <c r="P37" s="2">
        <f>--59270.01</f>
        <v>59270.01</v>
      </c>
      <c r="Q37" s="2"/>
      <c r="R37" s="22"/>
      <c r="S37" s="2"/>
      <c r="T37" s="2"/>
      <c r="U37" s="2"/>
      <c r="V37" s="22"/>
      <c r="W37" s="2"/>
      <c r="X37" s="2">
        <f t="shared" si="2"/>
        <v>59270.01</v>
      </c>
      <c r="Y37" s="2"/>
      <c r="Z37" s="22">
        <f t="shared" si="3"/>
        <v>0</v>
      </c>
    </row>
    <row r="38" spans="1:26" s="24" customFormat="1" hidden="1" outlineLevel="1" x14ac:dyDescent="0.35">
      <c r="A38" s="51"/>
      <c r="B38" s="11" t="str">
        <f>CONCATENATE("          ", "4082", " - ", "TAXABLE SALES-COMPUTER HARDWAR")</f>
        <v xml:space="preserve">          4082 - TAXABLE SALES-COMPUTER HARDWAR</v>
      </c>
      <c r="C38" s="11"/>
      <c r="D38" s="2">
        <f>--91766.28</f>
        <v>91766.28</v>
      </c>
      <c r="E38" s="2"/>
      <c r="F38" s="22"/>
      <c r="G38" s="2"/>
      <c r="H38" s="2"/>
      <c r="I38" s="2"/>
      <c r="J38" s="22"/>
      <c r="K38" s="2"/>
      <c r="L38" s="2">
        <f t="shared" si="0"/>
        <v>91766.28</v>
      </c>
      <c r="M38" s="2"/>
      <c r="N38" s="22">
        <f t="shared" si="1"/>
        <v>0</v>
      </c>
      <c r="O38" s="11"/>
      <c r="P38" s="2">
        <f>--1085023.17</f>
        <v>1085023.17</v>
      </c>
      <c r="Q38" s="2"/>
      <c r="R38" s="22"/>
      <c r="S38" s="2"/>
      <c r="T38" s="2"/>
      <c r="U38" s="2"/>
      <c r="V38" s="22"/>
      <c r="W38" s="2"/>
      <c r="X38" s="2">
        <f t="shared" si="2"/>
        <v>1085023.17</v>
      </c>
      <c r="Y38" s="2"/>
      <c r="Z38" s="22">
        <f t="shared" si="3"/>
        <v>0</v>
      </c>
    </row>
    <row r="39" spans="1:26" s="24" customFormat="1" hidden="1" outlineLevel="1" x14ac:dyDescent="0.35">
      <c r="A39" s="51"/>
      <c r="B39" s="11" t="str">
        <f>CONCATENATE("          ", "4083", " - ", "TAXABLE SALES-COMPUTER EQUIPME")</f>
        <v xml:space="preserve">          4083 - TAXABLE SALES-COMPUTER EQUIPME</v>
      </c>
      <c r="C39" s="11"/>
      <c r="D39" s="2">
        <f>--8639.61</f>
        <v>8639.61</v>
      </c>
      <c r="E39" s="2"/>
      <c r="F39" s="22"/>
      <c r="G39" s="2"/>
      <c r="H39" s="2"/>
      <c r="I39" s="2"/>
      <c r="J39" s="22"/>
      <c r="K39" s="2"/>
      <c r="L39" s="2">
        <f t="shared" si="0"/>
        <v>8639.61</v>
      </c>
      <c r="M39" s="2"/>
      <c r="N39" s="22">
        <f t="shared" si="1"/>
        <v>0</v>
      </c>
      <c r="O39" s="11"/>
      <c r="P39" s="2">
        <f>--93287.58</f>
        <v>93287.58</v>
      </c>
      <c r="Q39" s="2"/>
      <c r="R39" s="22"/>
      <c r="S39" s="2"/>
      <c r="T39" s="2"/>
      <c r="U39" s="2"/>
      <c r="V39" s="22"/>
      <c r="W39" s="2"/>
      <c r="X39" s="2">
        <f t="shared" si="2"/>
        <v>93287.58</v>
      </c>
      <c r="Y39" s="2"/>
      <c r="Z39" s="22">
        <f t="shared" si="3"/>
        <v>0</v>
      </c>
    </row>
    <row r="40" spans="1:26" s="24" customFormat="1" hidden="1" outlineLevel="1" x14ac:dyDescent="0.35">
      <c r="A40" s="51"/>
      <c r="B40" s="11" t="str">
        <f>CONCATENATE("          ", "4085", " - ", "TAXABLE SALES-SOFTWARE")</f>
        <v xml:space="preserve">          4085 - TAXABLE SALES-SOFTWARE</v>
      </c>
      <c r="C40" s="11"/>
      <c r="D40" s="2">
        <f>--149.99</f>
        <v>149.99</v>
      </c>
      <c r="E40" s="2"/>
      <c r="F40" s="22"/>
      <c r="G40" s="2"/>
      <c r="H40" s="2"/>
      <c r="I40" s="2"/>
      <c r="J40" s="22"/>
      <c r="K40" s="2"/>
      <c r="L40" s="2">
        <f t="shared" si="0"/>
        <v>149.99</v>
      </c>
      <c r="M40" s="2"/>
      <c r="N40" s="22">
        <f t="shared" si="1"/>
        <v>0</v>
      </c>
      <c r="O40" s="11"/>
      <c r="P40" s="2">
        <f>--2878.93</f>
        <v>2878.93</v>
      </c>
      <c r="Q40" s="2"/>
      <c r="R40" s="22"/>
      <c r="S40" s="2"/>
      <c r="T40" s="2"/>
      <c r="U40" s="2"/>
      <c r="V40" s="22"/>
      <c r="W40" s="2"/>
      <c r="X40" s="2">
        <f t="shared" si="2"/>
        <v>2878.93</v>
      </c>
      <c r="Y40" s="2"/>
      <c r="Z40" s="22">
        <f t="shared" si="3"/>
        <v>0</v>
      </c>
    </row>
    <row r="41" spans="1:26" s="24" customFormat="1" hidden="1" outlineLevel="1" x14ac:dyDescent="0.35">
      <c r="A41" s="51"/>
      <c r="B41" s="11" t="str">
        <f>CONCATENATE("          ", "4086", " - ", "TAXABLE SALES-COMPUTER SUPPLIE")</f>
        <v xml:space="preserve">          4086 - TAXABLE SALES-COMPUTER SUPPLIE</v>
      </c>
      <c r="C41" s="11"/>
      <c r="D41" s="2">
        <f>--734.26</f>
        <v>734.26</v>
      </c>
      <c r="E41" s="2"/>
      <c r="F41" s="22"/>
      <c r="G41" s="2"/>
      <c r="H41" s="2"/>
      <c r="I41" s="2"/>
      <c r="J41" s="22"/>
      <c r="K41" s="2"/>
      <c r="L41" s="2">
        <f t="shared" si="0"/>
        <v>734.26</v>
      </c>
      <c r="M41" s="2"/>
      <c r="N41" s="22">
        <f t="shared" si="1"/>
        <v>0</v>
      </c>
      <c r="O41" s="11"/>
      <c r="P41" s="2">
        <f>--57869.84</f>
        <v>57869.84</v>
      </c>
      <c r="Q41" s="2"/>
      <c r="R41" s="22"/>
      <c r="S41" s="2"/>
      <c r="T41" s="2"/>
      <c r="U41" s="2"/>
      <c r="V41" s="22"/>
      <c r="W41" s="2"/>
      <c r="X41" s="2">
        <f t="shared" si="2"/>
        <v>57869.84</v>
      </c>
      <c r="Y41" s="2"/>
      <c r="Z41" s="22">
        <f t="shared" si="3"/>
        <v>0</v>
      </c>
    </row>
    <row r="42" spans="1:26" s="24" customFormat="1" hidden="1" outlineLevel="1" x14ac:dyDescent="0.35">
      <c r="A42" s="51"/>
      <c r="B42" s="11" t="str">
        <f>CONCATENATE("          ", "4100", " - ", "NON-TAXABLE SALES")</f>
        <v xml:space="preserve">          4100 - NON-TAXABLE SALES</v>
      </c>
      <c r="C42" s="11"/>
      <c r="D42" s="2">
        <f>--146952.19</f>
        <v>146952.19</v>
      </c>
      <c r="E42" s="2"/>
      <c r="F42" s="22"/>
      <c r="G42" s="2"/>
      <c r="H42" s="2">
        <v>424790</v>
      </c>
      <c r="I42" s="2"/>
      <c r="J42" s="22"/>
      <c r="K42" s="2"/>
      <c r="L42" s="2">
        <f t="shared" si="0"/>
        <v>-277837.81</v>
      </c>
      <c r="M42" s="2"/>
      <c r="N42" s="22">
        <f t="shared" si="1"/>
        <v>-0.65405920572518184</v>
      </c>
      <c r="O42" s="11"/>
      <c r="P42" s="2">
        <f>--648211.86</f>
        <v>648211.86</v>
      </c>
      <c r="Q42" s="2"/>
      <c r="R42" s="22"/>
      <c r="S42" s="2"/>
      <c r="T42" s="2">
        <v>3001699</v>
      </c>
      <c r="U42" s="2"/>
      <c r="V42" s="22"/>
      <c r="W42" s="2"/>
      <c r="X42" s="2">
        <f t="shared" si="2"/>
        <v>-2353487.14</v>
      </c>
      <c r="Y42" s="2"/>
      <c r="Z42" s="22">
        <f t="shared" si="3"/>
        <v>-0.78405167873261117</v>
      </c>
    </row>
    <row r="43" spans="1:26" s="24" customFormat="1" hidden="1" outlineLevel="1" x14ac:dyDescent="0.35">
      <c r="A43" s="51"/>
      <c r="B43" s="11" t="str">
        <f>CONCATENATE("          ", "4101", " - ", "NON-TAXABLE SALES-NEW TEXT")</f>
        <v xml:space="preserve">          4101 - NON-TAXABLE SALES-NEW TEXT</v>
      </c>
      <c r="C43" s="11"/>
      <c r="D43" s="2">
        <f>--22084.7</f>
        <v>22084.7</v>
      </c>
      <c r="E43" s="2"/>
      <c r="F43" s="22"/>
      <c r="G43" s="2"/>
      <c r="H43" s="2"/>
      <c r="I43" s="2"/>
      <c r="J43" s="22"/>
      <c r="K43" s="2"/>
      <c r="L43" s="2">
        <f t="shared" si="0"/>
        <v>22084.7</v>
      </c>
      <c r="M43" s="2"/>
      <c r="N43" s="22">
        <f t="shared" si="1"/>
        <v>0</v>
      </c>
      <c r="O43" s="11"/>
      <c r="P43" s="2">
        <f>--104225.63</f>
        <v>104225.63</v>
      </c>
      <c r="Q43" s="2"/>
      <c r="R43" s="22"/>
      <c r="S43" s="2"/>
      <c r="T43" s="2"/>
      <c r="U43" s="2"/>
      <c r="V43" s="22"/>
      <c r="W43" s="2"/>
      <c r="X43" s="2">
        <f t="shared" si="2"/>
        <v>104225.63</v>
      </c>
      <c r="Y43" s="2"/>
      <c r="Z43" s="22">
        <f t="shared" si="3"/>
        <v>0</v>
      </c>
    </row>
    <row r="44" spans="1:26" s="24" customFormat="1" hidden="1" outlineLevel="1" x14ac:dyDescent="0.35">
      <c r="A44" s="51"/>
      <c r="B44" s="11" t="str">
        <f>CONCATENATE("          ", "4102", " - ", "NON-TAXABLE SALES-USED TEXT")</f>
        <v xml:space="preserve">          4102 - NON-TAXABLE SALES-USED TEXT</v>
      </c>
      <c r="C44" s="11"/>
      <c r="D44" s="2">
        <f>--9330.01</f>
        <v>9330.01</v>
      </c>
      <c r="E44" s="2"/>
      <c r="F44" s="22"/>
      <c r="G44" s="2"/>
      <c r="H44" s="2"/>
      <c r="I44" s="2"/>
      <c r="J44" s="22"/>
      <c r="K44" s="2"/>
      <c r="L44" s="2">
        <f t="shared" si="0"/>
        <v>9330.01</v>
      </c>
      <c r="M44" s="2"/>
      <c r="N44" s="22">
        <f t="shared" si="1"/>
        <v>0</v>
      </c>
      <c r="O44" s="11"/>
      <c r="P44" s="2">
        <f>--42961.32</f>
        <v>42961.32</v>
      </c>
      <c r="Q44" s="2"/>
      <c r="R44" s="22"/>
      <c r="S44" s="2"/>
      <c r="T44" s="2"/>
      <c r="U44" s="2"/>
      <c r="V44" s="22"/>
      <c r="W44" s="2"/>
      <c r="X44" s="2">
        <f t="shared" si="2"/>
        <v>42961.32</v>
      </c>
      <c r="Y44" s="2"/>
      <c r="Z44" s="22">
        <f t="shared" si="3"/>
        <v>0</v>
      </c>
    </row>
    <row r="45" spans="1:26" s="24" customFormat="1" hidden="1" outlineLevel="1" x14ac:dyDescent="0.35">
      <c r="A45" s="51"/>
      <c r="B45" s="11" t="str">
        <f>CONCATENATE("          ", "4103", " - ", "NON-TAXABLE SALES-RENTAL TEXT")</f>
        <v xml:space="preserve">          4103 - NON-TAXABLE SALES-RENTAL TEXT</v>
      </c>
      <c r="C45" s="11"/>
      <c r="D45" s="2">
        <f>--853.98</f>
        <v>853.98</v>
      </c>
      <c r="E45" s="2"/>
      <c r="F45" s="22"/>
      <c r="G45" s="2"/>
      <c r="H45" s="2"/>
      <c r="I45" s="2"/>
      <c r="J45" s="22"/>
      <c r="K45" s="2"/>
      <c r="L45" s="2">
        <f t="shared" si="0"/>
        <v>853.98</v>
      </c>
      <c r="M45" s="2"/>
      <c r="N45" s="22">
        <f t="shared" si="1"/>
        <v>0</v>
      </c>
      <c r="O45" s="11"/>
      <c r="P45" s="2">
        <f>--1138.95</f>
        <v>1138.95</v>
      </c>
      <c r="Q45" s="2"/>
      <c r="R45" s="22"/>
      <c r="S45" s="2"/>
      <c r="T45" s="2"/>
      <c r="U45" s="2"/>
      <c r="V45" s="22"/>
      <c r="W45" s="2"/>
      <c r="X45" s="2">
        <f t="shared" si="2"/>
        <v>1138.95</v>
      </c>
      <c r="Y45" s="2"/>
      <c r="Z45" s="22">
        <f t="shared" si="3"/>
        <v>0</v>
      </c>
    </row>
    <row r="46" spans="1:26" s="24" customFormat="1" hidden="1" outlineLevel="1" x14ac:dyDescent="0.35">
      <c r="A46" s="51"/>
      <c r="B46" s="11" t="str">
        <f>CONCATENATE("          ", "4104", " - ", "NON-TAXABLE SALES-DIGITAL TEXT")</f>
        <v xml:space="preserve">          4104 - NON-TAXABLE SALES-DIGITAL TEXT</v>
      </c>
      <c r="C46" s="11"/>
      <c r="D46" s="2">
        <f>--161977.12</f>
        <v>161977.12</v>
      </c>
      <c r="E46" s="2"/>
      <c r="F46" s="22"/>
      <c r="G46" s="2"/>
      <c r="H46" s="2"/>
      <c r="I46" s="2"/>
      <c r="J46" s="22"/>
      <c r="K46" s="2"/>
      <c r="L46" s="2">
        <f t="shared" si="0"/>
        <v>161977.12</v>
      </c>
      <c r="M46" s="2"/>
      <c r="N46" s="22">
        <f t="shared" si="1"/>
        <v>0</v>
      </c>
      <c r="O46" s="11"/>
      <c r="P46" s="2">
        <f>--458168.13</f>
        <v>458168.13</v>
      </c>
      <c r="Q46" s="2"/>
      <c r="R46" s="22"/>
      <c r="S46" s="2"/>
      <c r="T46" s="2"/>
      <c r="U46" s="2"/>
      <c r="V46" s="22"/>
      <c r="W46" s="2"/>
      <c r="X46" s="2">
        <f t="shared" si="2"/>
        <v>458168.13</v>
      </c>
      <c r="Y46" s="2"/>
      <c r="Z46" s="22">
        <f t="shared" si="3"/>
        <v>0</v>
      </c>
    </row>
    <row r="47" spans="1:26" s="24" customFormat="1" hidden="1" outlineLevel="1" x14ac:dyDescent="0.35">
      <c r="A47" s="51"/>
      <c r="B47" s="11" t="str">
        <f>CONCATENATE("          ", "4113", " - ", "NON-TAXABLE SALES-TRADE BOOKS")</f>
        <v xml:space="preserve">          4113 - NON-TAXABLE SALES-TRADE BOOKS</v>
      </c>
      <c r="C47" s="11"/>
      <c r="D47" s="2">
        <f>--4661.75</f>
        <v>4661.75</v>
      </c>
      <c r="E47" s="2"/>
      <c r="F47" s="22"/>
      <c r="G47" s="2"/>
      <c r="H47" s="2"/>
      <c r="I47" s="2"/>
      <c r="J47" s="22"/>
      <c r="K47" s="2"/>
      <c r="L47" s="2">
        <f t="shared" si="0"/>
        <v>4661.75</v>
      </c>
      <c r="M47" s="2"/>
      <c r="N47" s="22">
        <f t="shared" si="1"/>
        <v>0</v>
      </c>
      <c r="O47" s="11"/>
      <c r="P47" s="2">
        <f>--6989.25</f>
        <v>6989.25</v>
      </c>
      <c r="Q47" s="2"/>
      <c r="R47" s="22"/>
      <c r="S47" s="2"/>
      <c r="T47" s="2"/>
      <c r="U47" s="2"/>
      <c r="V47" s="22"/>
      <c r="W47" s="2"/>
      <c r="X47" s="2">
        <f t="shared" si="2"/>
        <v>6989.25</v>
      </c>
      <c r="Y47" s="2"/>
      <c r="Z47" s="22">
        <f t="shared" si="3"/>
        <v>0</v>
      </c>
    </row>
    <row r="48" spans="1:26" s="24" customFormat="1" hidden="1" outlineLevel="1" x14ac:dyDescent="0.35">
      <c r="A48" s="51"/>
      <c r="B48" s="11" t="str">
        <f>CONCATENATE("          ", "4118", " - ", "NON-TAXABLE SALES-STUDY GUIDES")</f>
        <v xml:space="preserve">          4118 - NON-TAXABLE SALES-STUDY GUIDES</v>
      </c>
      <c r="C48" s="11"/>
      <c r="D48" s="2">
        <f>--538.3</f>
        <v>538.29999999999995</v>
      </c>
      <c r="E48" s="2"/>
      <c r="F48" s="22"/>
      <c r="G48" s="2"/>
      <c r="H48" s="2"/>
      <c r="I48" s="2"/>
      <c r="J48" s="22"/>
      <c r="K48" s="2"/>
      <c r="L48" s="2">
        <f t="shared" si="0"/>
        <v>538.29999999999995</v>
      </c>
      <c r="M48" s="2"/>
      <c r="N48" s="22">
        <f t="shared" si="1"/>
        <v>0</v>
      </c>
      <c r="O48" s="11"/>
      <c r="P48" s="2">
        <f>--771.73</f>
        <v>771.73</v>
      </c>
      <c r="Q48" s="2"/>
      <c r="R48" s="22"/>
      <c r="S48" s="2"/>
      <c r="T48" s="2"/>
      <c r="U48" s="2"/>
      <c r="V48" s="22"/>
      <c r="W48" s="2"/>
      <c r="X48" s="2">
        <f t="shared" si="2"/>
        <v>771.73</v>
      </c>
      <c r="Y48" s="2"/>
      <c r="Z48" s="22">
        <f t="shared" si="3"/>
        <v>0</v>
      </c>
    </row>
    <row r="49" spans="1:26" s="24" customFormat="1" hidden="1" outlineLevel="1" x14ac:dyDescent="0.35">
      <c r="A49" s="51"/>
      <c r="B49" s="11" t="str">
        <f>CONCATENATE("          ", "4126", " - ", "NON-TAXABLE SALES-WRITING INST")</f>
        <v xml:space="preserve">          4126 - NON-TAXABLE SALES-WRITING INST</v>
      </c>
      <c r="C49" s="11"/>
      <c r="D49" s="2">
        <f>0</f>
        <v>0</v>
      </c>
      <c r="E49" s="2"/>
      <c r="F49" s="22"/>
      <c r="G49" s="2"/>
      <c r="H49" s="2"/>
      <c r="I49" s="2"/>
      <c r="J49" s="22"/>
      <c r="K49" s="2"/>
      <c r="L49" s="2">
        <f t="shared" si="0"/>
        <v>0</v>
      </c>
      <c r="M49" s="2"/>
      <c r="N49" s="22">
        <f t="shared" si="1"/>
        <v>0</v>
      </c>
      <c r="O49" s="11"/>
      <c r="P49" s="2">
        <f>--52.68</f>
        <v>52.68</v>
      </c>
      <c r="Q49" s="2"/>
      <c r="R49" s="22"/>
      <c r="S49" s="2"/>
      <c r="T49" s="2"/>
      <c r="U49" s="2"/>
      <c r="V49" s="22"/>
      <c r="W49" s="2"/>
      <c r="X49" s="2">
        <f t="shared" si="2"/>
        <v>52.68</v>
      </c>
      <c r="Y49" s="2"/>
      <c r="Z49" s="22">
        <f t="shared" si="3"/>
        <v>0</v>
      </c>
    </row>
    <row r="50" spans="1:26" s="24" customFormat="1" hidden="1" outlineLevel="1" x14ac:dyDescent="0.35">
      <c r="A50" s="51"/>
      <c r="B50" s="11" t="str">
        <f>CONCATENATE("          ", "4127", " - ", "NON-TAXABLE SALES-SCHOOL SUPPL")</f>
        <v xml:space="preserve">          4127 - NON-TAXABLE SALES-SCHOOL SUPPL</v>
      </c>
      <c r="C50" s="11"/>
      <c r="D50" s="2">
        <f>--2539.06</f>
        <v>2539.06</v>
      </c>
      <c r="E50" s="2"/>
      <c r="F50" s="22"/>
      <c r="G50" s="2"/>
      <c r="H50" s="2"/>
      <c r="I50" s="2"/>
      <c r="J50" s="22"/>
      <c r="K50" s="2"/>
      <c r="L50" s="2">
        <f t="shared" si="0"/>
        <v>2539.06</v>
      </c>
      <c r="M50" s="2"/>
      <c r="N50" s="22">
        <f t="shared" si="1"/>
        <v>0</v>
      </c>
      <c r="O50" s="11"/>
      <c r="P50" s="2">
        <f>--5745.17</f>
        <v>5745.17</v>
      </c>
      <c r="Q50" s="2"/>
      <c r="R50" s="22"/>
      <c r="S50" s="2"/>
      <c r="T50" s="2"/>
      <c r="U50" s="2"/>
      <c r="V50" s="22"/>
      <c r="W50" s="2"/>
      <c r="X50" s="2">
        <f t="shared" si="2"/>
        <v>5745.17</v>
      </c>
      <c r="Y50" s="2"/>
      <c r="Z50" s="22">
        <f t="shared" si="3"/>
        <v>0</v>
      </c>
    </row>
    <row r="51" spans="1:26" s="24" customFormat="1" hidden="1" outlineLevel="1" x14ac:dyDescent="0.35">
      <c r="A51" s="51"/>
      <c r="B51" s="11" t="str">
        <f>CONCATENATE("          ", "4128", " - ", "NON-TAXABLE SALES-ART/TECH")</f>
        <v xml:space="preserve">          4128 - NON-TAXABLE SALES-ART/TECH</v>
      </c>
      <c r="C51" s="11"/>
      <c r="D51" s="2">
        <f>--4.72</f>
        <v>4.72</v>
      </c>
      <c r="E51" s="2"/>
      <c r="F51" s="22"/>
      <c r="G51" s="2"/>
      <c r="H51" s="2"/>
      <c r="I51" s="2"/>
      <c r="J51" s="22"/>
      <c r="K51" s="2"/>
      <c r="L51" s="2">
        <f t="shared" si="0"/>
        <v>4.72</v>
      </c>
      <c r="M51" s="2"/>
      <c r="N51" s="22">
        <f t="shared" si="1"/>
        <v>0</v>
      </c>
      <c r="O51" s="11"/>
      <c r="P51" s="2">
        <f>--29.5</f>
        <v>29.5</v>
      </c>
      <c r="Q51" s="2"/>
      <c r="R51" s="22"/>
      <c r="S51" s="2"/>
      <c r="T51" s="2"/>
      <c r="U51" s="2"/>
      <c r="V51" s="22"/>
      <c r="W51" s="2"/>
      <c r="X51" s="2">
        <f t="shared" si="2"/>
        <v>29.5</v>
      </c>
      <c r="Y51" s="2"/>
      <c r="Z51" s="22">
        <f t="shared" si="3"/>
        <v>0</v>
      </c>
    </row>
    <row r="52" spans="1:26" s="24" customFormat="1" hidden="1" outlineLevel="1" x14ac:dyDescent="0.35">
      <c r="A52" s="51"/>
      <c r="B52" s="11" t="str">
        <f>CONCATENATE("          ", "4131", " - ", "NON-TAXABLE SALES-FOOD")</f>
        <v xml:space="preserve">          4131 - NON-TAXABLE SALES-FOOD</v>
      </c>
      <c r="C52" s="11"/>
      <c r="D52" s="2">
        <f>--1098.12</f>
        <v>1098.1199999999999</v>
      </c>
      <c r="E52" s="2"/>
      <c r="F52" s="22"/>
      <c r="G52" s="2"/>
      <c r="H52" s="2"/>
      <c r="I52" s="2"/>
      <c r="J52" s="22"/>
      <c r="K52" s="2"/>
      <c r="L52" s="2">
        <f t="shared" si="0"/>
        <v>1098.1199999999999</v>
      </c>
      <c r="M52" s="2"/>
      <c r="N52" s="22">
        <f t="shared" si="1"/>
        <v>0</v>
      </c>
      <c r="O52" s="11"/>
      <c r="P52" s="2">
        <f>--8640.27</f>
        <v>8640.27</v>
      </c>
      <c r="Q52" s="2"/>
      <c r="R52" s="22"/>
      <c r="S52" s="2"/>
      <c r="T52" s="2"/>
      <c r="U52" s="2"/>
      <c r="V52" s="22"/>
      <c r="W52" s="2"/>
      <c r="X52" s="2">
        <f t="shared" si="2"/>
        <v>8640.27</v>
      </c>
      <c r="Y52" s="2"/>
      <c r="Z52" s="22">
        <f t="shared" si="3"/>
        <v>0</v>
      </c>
    </row>
    <row r="53" spans="1:26" s="24" customFormat="1" hidden="1" outlineLevel="1" x14ac:dyDescent="0.35">
      <c r="A53" s="51"/>
      <c r="B53" s="11" t="str">
        <f>CONCATENATE("          ", "4132", " - ", "NON-TAXABLE SALES-JUICE")</f>
        <v xml:space="preserve">          4132 - NON-TAXABLE SALES-JUICE</v>
      </c>
      <c r="C53" s="11"/>
      <c r="D53" s="2">
        <f t="shared" ref="D53:D56" si="5">0</f>
        <v>0</v>
      </c>
      <c r="E53" s="2"/>
      <c r="F53" s="22"/>
      <c r="G53" s="2"/>
      <c r="H53" s="2"/>
      <c r="I53" s="2"/>
      <c r="J53" s="22"/>
      <c r="K53" s="2"/>
      <c r="L53" s="2">
        <f t="shared" si="0"/>
        <v>0</v>
      </c>
      <c r="M53" s="2"/>
      <c r="N53" s="22">
        <f t="shared" si="1"/>
        <v>0</v>
      </c>
      <c r="O53" s="11"/>
      <c r="P53" s="2">
        <f>--2054.37</f>
        <v>2054.37</v>
      </c>
      <c r="Q53" s="2"/>
      <c r="R53" s="22"/>
      <c r="S53" s="2"/>
      <c r="T53" s="2"/>
      <c r="U53" s="2"/>
      <c r="V53" s="22"/>
      <c r="W53" s="2"/>
      <c r="X53" s="2">
        <f t="shared" si="2"/>
        <v>2054.37</v>
      </c>
      <c r="Y53" s="2"/>
      <c r="Z53" s="22">
        <f t="shared" si="3"/>
        <v>0</v>
      </c>
    </row>
    <row r="54" spans="1:26" s="24" customFormat="1" hidden="1" outlineLevel="1" x14ac:dyDescent="0.35">
      <c r="A54" s="51"/>
      <c r="B54" s="11" t="str">
        <f>CONCATENATE("          ", "4133", " - ", "NON-TAXABLE SALES-CANDY")</f>
        <v xml:space="preserve">          4133 - NON-TAXABLE SALES-CANDY</v>
      </c>
      <c r="C54" s="11"/>
      <c r="D54" s="2">
        <f t="shared" si="5"/>
        <v>0</v>
      </c>
      <c r="E54" s="2"/>
      <c r="F54" s="22"/>
      <c r="G54" s="2"/>
      <c r="H54" s="2"/>
      <c r="I54" s="2"/>
      <c r="J54" s="22"/>
      <c r="K54" s="2"/>
      <c r="L54" s="2">
        <f t="shared" si="0"/>
        <v>0</v>
      </c>
      <c r="M54" s="2"/>
      <c r="N54" s="22">
        <f t="shared" si="1"/>
        <v>0</v>
      </c>
      <c r="O54" s="11"/>
      <c r="P54" s="2">
        <f>--80.71</f>
        <v>80.709999999999994</v>
      </c>
      <c r="Q54" s="2"/>
      <c r="R54" s="22"/>
      <c r="S54" s="2"/>
      <c r="T54" s="2"/>
      <c r="U54" s="2"/>
      <c r="V54" s="22"/>
      <c r="W54" s="2"/>
      <c r="X54" s="2">
        <f t="shared" si="2"/>
        <v>80.709999999999994</v>
      </c>
      <c r="Y54" s="2"/>
      <c r="Z54" s="22">
        <f t="shared" si="3"/>
        <v>0</v>
      </c>
    </row>
    <row r="55" spans="1:26" s="24" customFormat="1" hidden="1" outlineLevel="1" x14ac:dyDescent="0.35">
      <c r="A55" s="51"/>
      <c r="B55" s="11" t="str">
        <f>CONCATENATE("          ", "4134", " - ", "NON-TAXABLE SALES-SODA")</f>
        <v xml:space="preserve">          4134 - NON-TAXABLE SALES-SODA</v>
      </c>
      <c r="C55" s="11"/>
      <c r="D55" s="2">
        <f t="shared" si="5"/>
        <v>0</v>
      </c>
      <c r="E55" s="2"/>
      <c r="F55" s="22"/>
      <c r="G55" s="2"/>
      <c r="H55" s="2"/>
      <c r="I55" s="2"/>
      <c r="J55" s="22"/>
      <c r="K55" s="2"/>
      <c r="L55" s="2">
        <f t="shared" si="0"/>
        <v>0</v>
      </c>
      <c r="M55" s="2"/>
      <c r="N55" s="22">
        <f t="shared" si="1"/>
        <v>0</v>
      </c>
      <c r="O55" s="11"/>
      <c r="P55" s="2">
        <f>--45.53</f>
        <v>45.53</v>
      </c>
      <c r="Q55" s="2"/>
      <c r="R55" s="22"/>
      <c r="S55" s="2"/>
      <c r="T55" s="2"/>
      <c r="U55" s="2"/>
      <c r="V55" s="22"/>
      <c r="W55" s="2"/>
      <c r="X55" s="2">
        <f t="shared" si="2"/>
        <v>45.53</v>
      </c>
      <c r="Y55" s="2"/>
      <c r="Z55" s="22">
        <f t="shared" si="3"/>
        <v>0</v>
      </c>
    </row>
    <row r="56" spans="1:26" s="24" customFormat="1" hidden="1" outlineLevel="1" x14ac:dyDescent="0.35">
      <c r="A56" s="51"/>
      <c r="B56" s="11" t="str">
        <f>CONCATENATE("          ", "4137", " - ", "NON-TAXABLE SALES-WATER")</f>
        <v xml:space="preserve">          4137 - NON-TAXABLE SALES-WATER</v>
      </c>
      <c r="C56" s="11"/>
      <c r="D56" s="2">
        <f t="shared" si="5"/>
        <v>0</v>
      </c>
      <c r="E56" s="2"/>
      <c r="F56" s="22"/>
      <c r="G56" s="2"/>
      <c r="H56" s="2"/>
      <c r="I56" s="2"/>
      <c r="J56" s="22"/>
      <c r="K56" s="2"/>
      <c r="L56" s="2">
        <f t="shared" si="0"/>
        <v>0</v>
      </c>
      <c r="M56" s="2"/>
      <c r="N56" s="22">
        <f t="shared" si="1"/>
        <v>0</v>
      </c>
      <c r="O56" s="11"/>
      <c r="P56" s="2">
        <f>--68.25</f>
        <v>68.25</v>
      </c>
      <c r="Q56" s="2"/>
      <c r="R56" s="22"/>
      <c r="S56" s="2"/>
      <c r="T56" s="2"/>
      <c r="U56" s="2"/>
      <c r="V56" s="22"/>
      <c r="W56" s="2"/>
      <c r="X56" s="2">
        <f t="shared" si="2"/>
        <v>68.25</v>
      </c>
      <c r="Y56" s="2"/>
      <c r="Z56" s="22">
        <f t="shared" si="3"/>
        <v>0</v>
      </c>
    </row>
    <row r="57" spans="1:26" s="24" customFormat="1" hidden="1" outlineLevel="1" x14ac:dyDescent="0.35">
      <c r="A57" s="51"/>
      <c r="B57" s="11" t="str">
        <f>CONCATENATE("          ", "4140", " - ", "NON-TAXABLE SALES-LOGO CLOTHIN")</f>
        <v xml:space="preserve">          4140 - NON-TAXABLE SALES-LOGO CLOTHIN</v>
      </c>
      <c r="C57" s="11"/>
      <c r="D57" s="2">
        <f>--9206.45</f>
        <v>9206.4500000000007</v>
      </c>
      <c r="E57" s="2"/>
      <c r="F57" s="22"/>
      <c r="G57" s="2"/>
      <c r="H57" s="2"/>
      <c r="I57" s="2"/>
      <c r="J57" s="22"/>
      <c r="K57" s="2"/>
      <c r="L57" s="2">
        <f t="shared" si="0"/>
        <v>9206.4500000000007</v>
      </c>
      <c r="M57" s="2"/>
      <c r="N57" s="22">
        <f t="shared" si="1"/>
        <v>0</v>
      </c>
      <c r="O57" s="11"/>
      <c r="P57" s="2">
        <f>--113177.42</f>
        <v>113177.42</v>
      </c>
      <c r="Q57" s="2"/>
      <c r="R57" s="22"/>
      <c r="S57" s="2"/>
      <c r="T57" s="2"/>
      <c r="U57" s="2"/>
      <c r="V57" s="22"/>
      <c r="W57" s="2"/>
      <c r="X57" s="2">
        <f t="shared" si="2"/>
        <v>113177.42</v>
      </c>
      <c r="Y57" s="2"/>
      <c r="Z57" s="22">
        <f t="shared" si="3"/>
        <v>0</v>
      </c>
    </row>
    <row r="58" spans="1:26" s="24" customFormat="1" hidden="1" outlineLevel="1" x14ac:dyDescent="0.35">
      <c r="A58" s="51"/>
      <c r="B58" s="11" t="str">
        <f>CONCATENATE("          ", "4141", " - ", "NON-TAXABLE SALES-LOGO GIFTS")</f>
        <v xml:space="preserve">          4141 - NON-TAXABLE SALES-LOGO GIFTS</v>
      </c>
      <c r="C58" s="11"/>
      <c r="D58" s="2">
        <f>--1872.52</f>
        <v>1872.52</v>
      </c>
      <c r="E58" s="2"/>
      <c r="F58" s="22"/>
      <c r="G58" s="2"/>
      <c r="H58" s="2"/>
      <c r="I58" s="2"/>
      <c r="J58" s="22"/>
      <c r="K58" s="2"/>
      <c r="L58" s="2">
        <f t="shared" si="0"/>
        <v>1872.52</v>
      </c>
      <c r="M58" s="2"/>
      <c r="N58" s="22">
        <f t="shared" si="1"/>
        <v>0</v>
      </c>
      <c r="O58" s="11"/>
      <c r="P58" s="2">
        <f>--7841.77</f>
        <v>7841.77</v>
      </c>
      <c r="Q58" s="2"/>
      <c r="R58" s="22"/>
      <c r="S58" s="2"/>
      <c r="T58" s="2"/>
      <c r="U58" s="2"/>
      <c r="V58" s="22"/>
      <c r="W58" s="2"/>
      <c r="X58" s="2">
        <f t="shared" si="2"/>
        <v>7841.77</v>
      </c>
      <c r="Y58" s="2"/>
      <c r="Z58" s="22">
        <f t="shared" si="3"/>
        <v>0</v>
      </c>
    </row>
    <row r="59" spans="1:26" s="24" customFormat="1" hidden="1" outlineLevel="1" x14ac:dyDescent="0.35">
      <c r="A59" s="51"/>
      <c r="B59" s="11" t="str">
        <f>CONCATENATE("          ", "4142", " - ", "NON-TAXABLE SALES-EVERYDAY GIF")</f>
        <v xml:space="preserve">          4142 - NON-TAXABLE SALES-EVERYDAY GIF</v>
      </c>
      <c r="C59" s="11"/>
      <c r="D59" s="2">
        <f>--51.7</f>
        <v>51.7</v>
      </c>
      <c r="E59" s="2"/>
      <c r="F59" s="22"/>
      <c r="G59" s="2"/>
      <c r="H59" s="2"/>
      <c r="I59" s="2"/>
      <c r="J59" s="22"/>
      <c r="K59" s="2"/>
      <c r="L59" s="2">
        <f t="shared" si="0"/>
        <v>51.7</v>
      </c>
      <c r="M59" s="2"/>
      <c r="N59" s="22">
        <f t="shared" si="1"/>
        <v>0</v>
      </c>
      <c r="O59" s="11"/>
      <c r="P59" s="2">
        <f>--2259.89</f>
        <v>2259.89</v>
      </c>
      <c r="Q59" s="2"/>
      <c r="R59" s="22"/>
      <c r="S59" s="2"/>
      <c r="T59" s="2"/>
      <c r="U59" s="2"/>
      <c r="V59" s="22"/>
      <c r="W59" s="2"/>
      <c r="X59" s="2">
        <f t="shared" si="2"/>
        <v>2259.89</v>
      </c>
      <c r="Y59" s="2"/>
      <c r="Z59" s="22">
        <f t="shared" si="3"/>
        <v>0</v>
      </c>
    </row>
    <row r="60" spans="1:26" s="24" customFormat="1" hidden="1" outlineLevel="1" x14ac:dyDescent="0.35">
      <c r="A60" s="51"/>
      <c r="B60" s="11" t="str">
        <f>CONCATENATE("          ", "4143", " - ", "NON-TAXABLE SALES-CARDS")</f>
        <v xml:space="preserve">          4143 - NON-TAXABLE SALES-CARDS</v>
      </c>
      <c r="C60" s="11"/>
      <c r="D60" s="2">
        <f>--232.71</f>
        <v>232.71</v>
      </c>
      <c r="E60" s="2"/>
      <c r="F60" s="22"/>
      <c r="G60" s="2"/>
      <c r="H60" s="2"/>
      <c r="I60" s="2"/>
      <c r="J60" s="22"/>
      <c r="K60" s="2"/>
      <c r="L60" s="2">
        <f t="shared" si="0"/>
        <v>232.71</v>
      </c>
      <c r="M60" s="2"/>
      <c r="N60" s="22">
        <f t="shared" si="1"/>
        <v>0</v>
      </c>
      <c r="O60" s="11"/>
      <c r="P60" s="2">
        <f>--1969.74</f>
        <v>1969.74</v>
      </c>
      <c r="Q60" s="2"/>
      <c r="R60" s="22"/>
      <c r="S60" s="2"/>
      <c r="T60" s="2"/>
      <c r="U60" s="2"/>
      <c r="V60" s="22"/>
      <c r="W60" s="2"/>
      <c r="X60" s="2">
        <f t="shared" si="2"/>
        <v>1969.74</v>
      </c>
      <c r="Y60" s="2"/>
      <c r="Z60" s="22">
        <f t="shared" si="3"/>
        <v>0</v>
      </c>
    </row>
    <row r="61" spans="1:26" s="24" customFormat="1" hidden="1" outlineLevel="1" x14ac:dyDescent="0.35">
      <c r="A61" s="51"/>
      <c r="B61" s="11" t="str">
        <f>CONCATENATE("          ", "4144", " - ", "NON-TAXABLE SALES-ACCESSORIES")</f>
        <v xml:space="preserve">          4144 - NON-TAXABLE SALES-ACCESSORIES</v>
      </c>
      <c r="C61" s="11"/>
      <c r="D61" s="2">
        <f>--119.9</f>
        <v>119.9</v>
      </c>
      <c r="E61" s="2"/>
      <c r="F61" s="22"/>
      <c r="G61" s="2"/>
      <c r="H61" s="2"/>
      <c r="I61" s="2"/>
      <c r="J61" s="22"/>
      <c r="K61" s="2"/>
      <c r="L61" s="2">
        <f t="shared" si="0"/>
        <v>119.9</v>
      </c>
      <c r="M61" s="2"/>
      <c r="N61" s="22">
        <f t="shared" si="1"/>
        <v>0</v>
      </c>
      <c r="O61" s="11"/>
      <c r="P61" s="2">
        <f>--609.4</f>
        <v>609.4</v>
      </c>
      <c r="Q61" s="2"/>
      <c r="R61" s="22"/>
      <c r="S61" s="2"/>
      <c r="T61" s="2"/>
      <c r="U61" s="2"/>
      <c r="V61" s="22"/>
      <c r="W61" s="2"/>
      <c r="X61" s="2">
        <f t="shared" si="2"/>
        <v>609.4</v>
      </c>
      <c r="Y61" s="2"/>
      <c r="Z61" s="22">
        <f t="shared" si="3"/>
        <v>0</v>
      </c>
    </row>
    <row r="62" spans="1:26" s="24" customFormat="1" hidden="1" outlineLevel="1" x14ac:dyDescent="0.35">
      <c r="A62" s="51"/>
      <c r="B62" s="11" t="str">
        <f>CONCATENATE("          ", "4145", " - ", "NON-TAXABLE SALES-SPECIAL ORDE")</f>
        <v xml:space="preserve">          4145 - NON-TAXABLE SALES-SPECIAL ORDE</v>
      </c>
      <c r="C62" s="11"/>
      <c r="D62" s="2">
        <f>-1677.68</f>
        <v>-1677.68</v>
      </c>
      <c r="E62" s="2"/>
      <c r="F62" s="22"/>
      <c r="G62" s="2"/>
      <c r="H62" s="2"/>
      <c r="I62" s="2"/>
      <c r="J62" s="22"/>
      <c r="K62" s="2"/>
      <c r="L62" s="2">
        <f t="shared" si="0"/>
        <v>-1677.68</v>
      </c>
      <c r="M62" s="2"/>
      <c r="N62" s="22">
        <f t="shared" si="1"/>
        <v>0</v>
      </c>
      <c r="O62" s="11"/>
      <c r="P62" s="2">
        <f>--53716.09</f>
        <v>53716.09</v>
      </c>
      <c r="Q62" s="2"/>
      <c r="R62" s="22"/>
      <c r="S62" s="2"/>
      <c r="T62" s="2"/>
      <c r="U62" s="2"/>
      <c r="V62" s="22"/>
      <c r="W62" s="2"/>
      <c r="X62" s="2">
        <f t="shared" si="2"/>
        <v>53716.09</v>
      </c>
      <c r="Y62" s="2"/>
      <c r="Z62" s="22">
        <f t="shared" si="3"/>
        <v>0</v>
      </c>
    </row>
    <row r="63" spans="1:26" s="24" customFormat="1" hidden="1" outlineLevel="1" x14ac:dyDescent="0.35">
      <c r="A63" s="51"/>
      <c r="B63" s="11" t="str">
        <f>CONCATENATE("          ", "4146", " - ", "NON-TAXABLE SALES-COIN OP MACH")</f>
        <v xml:space="preserve">          4146 - NON-TAXABLE SALES-COIN OP MACH</v>
      </c>
      <c r="C63" s="11"/>
      <c r="D63" s="2">
        <f>--12.7</f>
        <v>12.7</v>
      </c>
      <c r="E63" s="2"/>
      <c r="F63" s="22"/>
      <c r="G63" s="2"/>
      <c r="H63" s="2"/>
      <c r="I63" s="2"/>
      <c r="J63" s="22"/>
      <c r="K63" s="2"/>
      <c r="L63" s="2">
        <f t="shared" si="0"/>
        <v>12.7</v>
      </c>
      <c r="M63" s="2"/>
      <c r="N63" s="22">
        <f t="shared" si="1"/>
        <v>0</v>
      </c>
      <c r="O63" s="11"/>
      <c r="P63" s="2">
        <f>--140.6</f>
        <v>140.6</v>
      </c>
      <c r="Q63" s="2"/>
      <c r="R63" s="22"/>
      <c r="S63" s="2"/>
      <c r="T63" s="2"/>
      <c r="U63" s="2"/>
      <c r="V63" s="22"/>
      <c r="W63" s="2"/>
      <c r="X63" s="2">
        <f t="shared" si="2"/>
        <v>140.6</v>
      </c>
      <c r="Y63" s="2"/>
      <c r="Z63" s="22">
        <f t="shared" si="3"/>
        <v>0</v>
      </c>
    </row>
    <row r="64" spans="1:26" s="24" customFormat="1" hidden="1" outlineLevel="1" x14ac:dyDescent="0.35">
      <c r="A64" s="51"/>
      <c r="B64" s="11" t="str">
        <f>CONCATENATE("          ", "4147", " - ", "NON-TAXABLE SALES-MISC")</f>
        <v xml:space="preserve">          4147 - NON-TAXABLE SALES-MISC</v>
      </c>
      <c r="C64" s="11"/>
      <c r="D64" s="2">
        <f>--11</f>
        <v>11</v>
      </c>
      <c r="E64" s="2"/>
      <c r="F64" s="22"/>
      <c r="G64" s="2"/>
      <c r="H64" s="2"/>
      <c r="I64" s="2"/>
      <c r="J64" s="22"/>
      <c r="K64" s="2"/>
      <c r="L64" s="2">
        <f t="shared" si="0"/>
        <v>11</v>
      </c>
      <c r="M64" s="2"/>
      <c r="N64" s="22">
        <f t="shared" si="1"/>
        <v>0</v>
      </c>
      <c r="O64" s="11"/>
      <c r="P64" s="2">
        <f>--115.5</f>
        <v>115.5</v>
      </c>
      <c r="Q64" s="2"/>
      <c r="R64" s="22"/>
      <c r="S64" s="2"/>
      <c r="T64" s="2"/>
      <c r="U64" s="2"/>
      <c r="V64" s="22"/>
      <c r="W64" s="2"/>
      <c r="X64" s="2">
        <f t="shared" si="2"/>
        <v>115.5</v>
      </c>
      <c r="Y64" s="2"/>
      <c r="Z64" s="22">
        <f t="shared" si="3"/>
        <v>0</v>
      </c>
    </row>
    <row r="65" spans="1:26" s="24" customFormat="1" hidden="1" outlineLevel="1" x14ac:dyDescent="0.35">
      <c r="A65" s="51"/>
      <c r="B65" s="11" t="str">
        <f>CONCATENATE("          ", "4151", " - ", "NON-TAXABLE SALES-FOOD")</f>
        <v xml:space="preserve">          4151 - NON-TAXABLE SALES-FOOD</v>
      </c>
      <c r="C65" s="11"/>
      <c r="D65" s="2">
        <f>--35996.95</f>
        <v>35996.949999999997</v>
      </c>
      <c r="E65" s="2"/>
      <c r="F65" s="22"/>
      <c r="G65" s="2"/>
      <c r="H65" s="2"/>
      <c r="I65" s="2"/>
      <c r="J65" s="22"/>
      <c r="K65" s="2"/>
      <c r="L65" s="2">
        <f t="shared" si="0"/>
        <v>35996.949999999997</v>
      </c>
      <c r="M65" s="2"/>
      <c r="N65" s="22">
        <f t="shared" si="1"/>
        <v>0</v>
      </c>
      <c r="O65" s="11"/>
      <c r="P65" s="2">
        <f>--664373.55</f>
        <v>664373.55000000005</v>
      </c>
      <c r="Q65" s="2"/>
      <c r="R65" s="22"/>
      <c r="S65" s="2"/>
      <c r="T65" s="2"/>
      <c r="U65" s="2"/>
      <c r="V65" s="22"/>
      <c r="W65" s="2"/>
      <c r="X65" s="2">
        <f t="shared" si="2"/>
        <v>664373.55000000005</v>
      </c>
      <c r="Y65" s="2"/>
      <c r="Z65" s="22">
        <f t="shared" si="3"/>
        <v>0</v>
      </c>
    </row>
    <row r="66" spans="1:26" s="24" customFormat="1" hidden="1" outlineLevel="1" x14ac:dyDescent="0.35">
      <c r="A66" s="51"/>
      <c r="B66" s="11" t="str">
        <f>CONCATENATE("          ", "4153", " - ", "NON-TAXABLE SALES-FOOD")</f>
        <v xml:space="preserve">          4153 - NON-TAXABLE SALES-FOOD</v>
      </c>
      <c r="C66" s="11"/>
      <c r="D66" s="2">
        <f>--2207.76</f>
        <v>2207.7600000000002</v>
      </c>
      <c r="E66" s="2"/>
      <c r="F66" s="22"/>
      <c r="G66" s="2"/>
      <c r="H66" s="2"/>
      <c r="I66" s="2"/>
      <c r="J66" s="22"/>
      <c r="K66" s="2"/>
      <c r="L66" s="2">
        <f t="shared" si="0"/>
        <v>2207.7600000000002</v>
      </c>
      <c r="M66" s="2"/>
      <c r="N66" s="22">
        <f t="shared" si="1"/>
        <v>0</v>
      </c>
      <c r="O66" s="11"/>
      <c r="P66" s="2">
        <f>--32079.16</f>
        <v>32079.16</v>
      </c>
      <c r="Q66" s="2"/>
      <c r="R66" s="22"/>
      <c r="S66" s="2"/>
      <c r="T66" s="2"/>
      <c r="U66" s="2"/>
      <c r="V66" s="22"/>
      <c r="W66" s="2"/>
      <c r="X66" s="2">
        <f t="shared" si="2"/>
        <v>32079.16</v>
      </c>
      <c r="Y66" s="2"/>
      <c r="Z66" s="22">
        <f t="shared" si="3"/>
        <v>0</v>
      </c>
    </row>
    <row r="67" spans="1:26" s="24" customFormat="1" hidden="1" outlineLevel="1" x14ac:dyDescent="0.35">
      <c r="A67" s="51"/>
      <c r="B67" s="11" t="str">
        <f>CONCATENATE("          ", "4181", " - ", "NON-TAXABLE SALES-ELECTRONICS")</f>
        <v xml:space="preserve">          4181 - NON-TAXABLE SALES-ELECTRONICS</v>
      </c>
      <c r="C67" s="11"/>
      <c r="D67" s="2">
        <f>--2038.6</f>
        <v>2038.6</v>
      </c>
      <c r="E67" s="2"/>
      <c r="F67" s="22"/>
      <c r="G67" s="2"/>
      <c r="H67" s="2"/>
      <c r="I67" s="2"/>
      <c r="J67" s="22"/>
      <c r="K67" s="2"/>
      <c r="L67" s="2">
        <f t="shared" si="0"/>
        <v>2038.6</v>
      </c>
      <c r="M67" s="2"/>
      <c r="N67" s="22">
        <f t="shared" si="1"/>
        <v>0</v>
      </c>
      <c r="O67" s="11"/>
      <c r="P67" s="2">
        <f>--5572.72</f>
        <v>5572.72</v>
      </c>
      <c r="Q67" s="2"/>
      <c r="R67" s="22"/>
      <c r="S67" s="2"/>
      <c r="T67" s="2"/>
      <c r="U67" s="2"/>
      <c r="V67" s="22"/>
      <c r="W67" s="2"/>
      <c r="X67" s="2">
        <f t="shared" si="2"/>
        <v>5572.72</v>
      </c>
      <c r="Y67" s="2"/>
      <c r="Z67" s="22">
        <f t="shared" si="3"/>
        <v>0</v>
      </c>
    </row>
    <row r="68" spans="1:26" s="24" customFormat="1" hidden="1" outlineLevel="1" x14ac:dyDescent="0.35">
      <c r="A68" s="51"/>
      <c r="B68" s="11" t="str">
        <f>CONCATENATE("          ", "4182", " - ", "NON-TAXABLE SALES-COMPUTER HAR")</f>
        <v xml:space="preserve">          4182 - NON-TAXABLE SALES-COMPUTER HAR</v>
      </c>
      <c r="C68" s="11"/>
      <c r="D68" s="2">
        <f>--22090.89</f>
        <v>22090.89</v>
      </c>
      <c r="E68" s="2"/>
      <c r="F68" s="22"/>
      <c r="G68" s="2"/>
      <c r="H68" s="2"/>
      <c r="I68" s="2"/>
      <c r="J68" s="22"/>
      <c r="K68" s="2"/>
      <c r="L68" s="2">
        <f t="shared" si="0"/>
        <v>22090.89</v>
      </c>
      <c r="M68" s="2"/>
      <c r="N68" s="22">
        <f t="shared" si="1"/>
        <v>0</v>
      </c>
      <c r="O68" s="11"/>
      <c r="P68" s="2">
        <f>--186399.2</f>
        <v>186399.2</v>
      </c>
      <c r="Q68" s="2"/>
      <c r="R68" s="22"/>
      <c r="S68" s="2"/>
      <c r="T68" s="2"/>
      <c r="U68" s="2"/>
      <c r="V68" s="22"/>
      <c r="W68" s="2"/>
      <c r="X68" s="2">
        <f t="shared" si="2"/>
        <v>186399.2</v>
      </c>
      <c r="Y68" s="2"/>
      <c r="Z68" s="22">
        <f t="shared" si="3"/>
        <v>0</v>
      </c>
    </row>
    <row r="69" spans="1:26" s="24" customFormat="1" hidden="1" outlineLevel="1" x14ac:dyDescent="0.35">
      <c r="A69" s="51"/>
      <c r="B69" s="11" t="str">
        <f>CONCATENATE("          ", "4183", " - ", "NON-TAXABLE SALES-COMPUTER EQU")</f>
        <v xml:space="preserve">          4183 - NON-TAXABLE SALES-COMPUTER EQU</v>
      </c>
      <c r="C69" s="11"/>
      <c r="D69" s="2">
        <f>--2888.95</f>
        <v>2888.95</v>
      </c>
      <c r="E69" s="2"/>
      <c r="F69" s="22"/>
      <c r="G69" s="2"/>
      <c r="H69" s="2"/>
      <c r="I69" s="2"/>
      <c r="J69" s="22"/>
      <c r="K69" s="2"/>
      <c r="L69" s="2">
        <f t="shared" si="0"/>
        <v>2888.95</v>
      </c>
      <c r="M69" s="2"/>
      <c r="N69" s="22">
        <f t="shared" si="1"/>
        <v>0</v>
      </c>
      <c r="O69" s="11"/>
      <c r="P69" s="2">
        <f>--10518.14</f>
        <v>10518.14</v>
      </c>
      <c r="Q69" s="2"/>
      <c r="R69" s="22"/>
      <c r="S69" s="2"/>
      <c r="T69" s="2"/>
      <c r="U69" s="2"/>
      <c r="V69" s="22"/>
      <c r="W69" s="2"/>
      <c r="X69" s="2">
        <f t="shared" si="2"/>
        <v>10518.14</v>
      </c>
      <c r="Y69" s="2"/>
      <c r="Z69" s="22">
        <f t="shared" si="3"/>
        <v>0</v>
      </c>
    </row>
    <row r="70" spans="1:26" s="24" customFormat="1" hidden="1" outlineLevel="1" x14ac:dyDescent="0.35">
      <c r="A70" s="51"/>
      <c r="B70" s="11" t="str">
        <f>CONCATENATE("          ", "4185", " - ", "NON-TAXABLE SALES-SOFTWARE")</f>
        <v xml:space="preserve">          4185 - NON-TAXABLE SALES-SOFTWARE</v>
      </c>
      <c r="C70" s="11"/>
      <c r="D70" s="2">
        <f>--3149.85</f>
        <v>3149.85</v>
      </c>
      <c r="E70" s="2"/>
      <c r="F70" s="22"/>
      <c r="G70" s="2"/>
      <c r="H70" s="2"/>
      <c r="I70" s="2"/>
      <c r="J70" s="22"/>
      <c r="K70" s="2"/>
      <c r="L70" s="2">
        <f t="shared" si="0"/>
        <v>3149.85</v>
      </c>
      <c r="M70" s="2"/>
      <c r="N70" s="22">
        <f t="shared" si="1"/>
        <v>0</v>
      </c>
      <c r="O70" s="11"/>
      <c r="P70" s="2">
        <f>--29830.52</f>
        <v>29830.52</v>
      </c>
      <c r="Q70" s="2"/>
      <c r="R70" s="22"/>
      <c r="S70" s="2"/>
      <c r="T70" s="2"/>
      <c r="U70" s="2"/>
      <c r="V70" s="22"/>
      <c r="W70" s="2"/>
      <c r="X70" s="2">
        <f t="shared" si="2"/>
        <v>29830.52</v>
      </c>
      <c r="Y70" s="2"/>
      <c r="Z70" s="22">
        <f t="shared" si="3"/>
        <v>0</v>
      </c>
    </row>
    <row r="71" spans="1:26" s="24" customFormat="1" hidden="1" outlineLevel="1" x14ac:dyDescent="0.35">
      <c r="A71" s="51"/>
      <c r="B71" s="11" t="str">
        <f>CONCATENATE("          ", "4186", " - ", "NON-TAXABLE SALES-COMPUTER SUP")</f>
        <v xml:space="preserve">          4186 - NON-TAXABLE SALES-COMPUTER SUP</v>
      </c>
      <c r="C71" s="11"/>
      <c r="D71" s="2">
        <f>--535.04</f>
        <v>535.04</v>
      </c>
      <c r="E71" s="2"/>
      <c r="F71" s="22"/>
      <c r="G71" s="2"/>
      <c r="H71" s="2"/>
      <c r="I71" s="2"/>
      <c r="J71" s="22"/>
      <c r="K71" s="2"/>
      <c r="L71" s="2">
        <f t="shared" si="0"/>
        <v>535.04</v>
      </c>
      <c r="M71" s="2"/>
      <c r="N71" s="22">
        <f t="shared" si="1"/>
        <v>0</v>
      </c>
      <c r="O71" s="11"/>
      <c r="P71" s="2">
        <f>--2485.03</f>
        <v>2485.0300000000002</v>
      </c>
      <c r="Q71" s="2"/>
      <c r="R71" s="22"/>
      <c r="S71" s="2"/>
      <c r="T71" s="2"/>
      <c r="U71" s="2"/>
      <c r="V71" s="22"/>
      <c r="W71" s="2"/>
      <c r="X71" s="2">
        <f t="shared" si="2"/>
        <v>2485.0300000000002</v>
      </c>
      <c r="Y71" s="2"/>
      <c r="Z71" s="22">
        <f t="shared" si="3"/>
        <v>0</v>
      </c>
    </row>
    <row r="72" spans="1:26" s="24" customFormat="1" hidden="1" outlineLevel="1" x14ac:dyDescent="0.35">
      <c r="A72" s="51"/>
      <c r="B72" s="11" t="str">
        <f>CONCATENATE("          ", "4201", " - ", "SALES RETURN TAXABLE-NEW TEXT")</f>
        <v xml:space="preserve">          4201 - SALES RETURN TAXABLE-NEW TEXT</v>
      </c>
      <c r="C72" s="11"/>
      <c r="D72" s="2">
        <f>-12741.9</f>
        <v>-12741.9</v>
      </c>
      <c r="E72" s="2"/>
      <c r="F72" s="22"/>
      <c r="G72" s="2"/>
      <c r="H72" s="2"/>
      <c r="I72" s="2"/>
      <c r="J72" s="22"/>
      <c r="K72" s="2"/>
      <c r="L72" s="2">
        <f t="shared" si="0"/>
        <v>-12741.9</v>
      </c>
      <c r="M72" s="2"/>
      <c r="N72" s="22">
        <f t="shared" si="1"/>
        <v>0</v>
      </c>
      <c r="O72" s="11"/>
      <c r="P72" s="2">
        <f>-48517.74</f>
        <v>-48517.74</v>
      </c>
      <c r="Q72" s="2"/>
      <c r="R72" s="22"/>
      <c r="S72" s="2"/>
      <c r="T72" s="2"/>
      <c r="U72" s="2"/>
      <c r="V72" s="22"/>
      <c r="W72" s="2"/>
      <c r="X72" s="2">
        <f t="shared" si="2"/>
        <v>-48517.74</v>
      </c>
      <c r="Y72" s="2"/>
      <c r="Z72" s="22">
        <f t="shared" si="3"/>
        <v>0</v>
      </c>
    </row>
    <row r="73" spans="1:26" s="24" customFormat="1" hidden="1" outlineLevel="1" x14ac:dyDescent="0.35">
      <c r="A73" s="51"/>
      <c r="B73" s="11" t="str">
        <f>CONCATENATE("          ", "4202", " - ", "SALES RETURN TAXABLE-USED TEXT")</f>
        <v xml:space="preserve">          4202 - SALES RETURN TAXABLE-USED TEXT</v>
      </c>
      <c r="C73" s="11"/>
      <c r="D73" s="2">
        <f>-4670.3</f>
        <v>-4670.3</v>
      </c>
      <c r="E73" s="2"/>
      <c r="F73" s="22"/>
      <c r="G73" s="2"/>
      <c r="H73" s="2"/>
      <c r="I73" s="2"/>
      <c r="J73" s="22"/>
      <c r="K73" s="2"/>
      <c r="L73" s="2">
        <f t="shared" si="0"/>
        <v>-4670.3</v>
      </c>
      <c r="M73" s="2"/>
      <c r="N73" s="22">
        <f t="shared" si="1"/>
        <v>0</v>
      </c>
      <c r="O73" s="11"/>
      <c r="P73" s="2">
        <f>-18536.3</f>
        <v>-18536.3</v>
      </c>
      <c r="Q73" s="2"/>
      <c r="R73" s="22"/>
      <c r="S73" s="2"/>
      <c r="T73" s="2"/>
      <c r="U73" s="2"/>
      <c r="V73" s="22"/>
      <c r="W73" s="2"/>
      <c r="X73" s="2">
        <f t="shared" si="2"/>
        <v>-18536.3</v>
      </c>
      <c r="Y73" s="2"/>
      <c r="Z73" s="22">
        <f t="shared" si="3"/>
        <v>0</v>
      </c>
    </row>
    <row r="74" spans="1:26" s="24" customFormat="1" hidden="1" outlineLevel="1" x14ac:dyDescent="0.35">
      <c r="A74" s="51"/>
      <c r="B74" s="11" t="str">
        <f>CONCATENATE("          ", "4204", " - ", "SALES RETURN TAXABLE-DIGITAL T")</f>
        <v xml:space="preserve">          4204 - SALES RETURN TAXABLE-DIGITAL T</v>
      </c>
      <c r="C74" s="11"/>
      <c r="D74" s="2">
        <f t="shared" ref="D74:D75" si="6">0</f>
        <v>0</v>
      </c>
      <c r="E74" s="2"/>
      <c r="F74" s="22"/>
      <c r="G74" s="2"/>
      <c r="H74" s="2"/>
      <c r="I74" s="2"/>
      <c r="J74" s="22"/>
      <c r="K74" s="2"/>
      <c r="L74" s="2">
        <f t="shared" si="0"/>
        <v>0</v>
      </c>
      <c r="M74" s="2"/>
      <c r="N74" s="22">
        <f t="shared" si="1"/>
        <v>0</v>
      </c>
      <c r="O74" s="11"/>
      <c r="P74" s="2">
        <f>-1630.85</f>
        <v>-1630.85</v>
      </c>
      <c r="Q74" s="2"/>
      <c r="R74" s="22"/>
      <c r="S74" s="2"/>
      <c r="T74" s="2"/>
      <c r="U74" s="2"/>
      <c r="V74" s="22"/>
      <c r="W74" s="2"/>
      <c r="X74" s="2">
        <f t="shared" si="2"/>
        <v>-1630.85</v>
      </c>
      <c r="Y74" s="2"/>
      <c r="Z74" s="22">
        <f t="shared" si="3"/>
        <v>0</v>
      </c>
    </row>
    <row r="75" spans="1:26" s="24" customFormat="1" hidden="1" outlineLevel="1" x14ac:dyDescent="0.35">
      <c r="A75" s="51"/>
      <c r="B75" s="11" t="str">
        <f>CONCATENATE("          ", "4226", " - ", "SALES RETURN TAXABLE-WRITING I")</f>
        <v xml:space="preserve">          4226 - SALES RETURN TAXABLE-WRITING I</v>
      </c>
      <c r="C75" s="11"/>
      <c r="D75" s="2">
        <f t="shared" si="6"/>
        <v>0</v>
      </c>
      <c r="E75" s="2"/>
      <c r="F75" s="22"/>
      <c r="G75" s="2"/>
      <c r="H75" s="2"/>
      <c r="I75" s="2"/>
      <c r="J75" s="22"/>
      <c r="K75" s="2"/>
      <c r="L75" s="2">
        <f t="shared" si="0"/>
        <v>0</v>
      </c>
      <c r="M75" s="2"/>
      <c r="N75" s="22">
        <f t="shared" si="1"/>
        <v>0</v>
      </c>
      <c r="O75" s="11"/>
      <c r="P75" s="2">
        <f>-34.23</f>
        <v>-34.229999999999997</v>
      </c>
      <c r="Q75" s="2"/>
      <c r="R75" s="22"/>
      <c r="S75" s="2"/>
      <c r="T75" s="2"/>
      <c r="U75" s="2"/>
      <c r="V75" s="22"/>
      <c r="W75" s="2"/>
      <c r="X75" s="2">
        <f t="shared" si="2"/>
        <v>-34.229999999999997</v>
      </c>
      <c r="Y75" s="2"/>
      <c r="Z75" s="22">
        <f t="shared" si="3"/>
        <v>0</v>
      </c>
    </row>
    <row r="76" spans="1:26" s="24" customFormat="1" hidden="1" outlineLevel="1" x14ac:dyDescent="0.35">
      <c r="A76" s="51"/>
      <c r="B76" s="11" t="str">
        <f>CONCATENATE("          ", "4227", " - ", "SALES RETURN TAXABLE-SCHOOL SU")</f>
        <v xml:space="preserve">          4227 - SALES RETURN TAXABLE-SCHOOL SU</v>
      </c>
      <c r="C76" s="11"/>
      <c r="D76" s="2">
        <f>-126.22</f>
        <v>-126.22</v>
      </c>
      <c r="E76" s="2"/>
      <c r="F76" s="22"/>
      <c r="G76" s="2"/>
      <c r="H76" s="2"/>
      <c r="I76" s="2"/>
      <c r="J76" s="22"/>
      <c r="K76" s="2"/>
      <c r="L76" s="2">
        <f t="shared" si="0"/>
        <v>-126.22</v>
      </c>
      <c r="M76" s="2"/>
      <c r="N76" s="22">
        <f t="shared" si="1"/>
        <v>0</v>
      </c>
      <c r="O76" s="11"/>
      <c r="P76" s="2">
        <f>-762.68</f>
        <v>-762.68</v>
      </c>
      <c r="Q76" s="2"/>
      <c r="R76" s="22"/>
      <c r="S76" s="2"/>
      <c r="T76" s="2"/>
      <c r="U76" s="2"/>
      <c r="V76" s="22"/>
      <c r="W76" s="2"/>
      <c r="X76" s="2">
        <f t="shared" si="2"/>
        <v>-762.68</v>
      </c>
      <c r="Y76" s="2"/>
      <c r="Z76" s="22">
        <f t="shared" si="3"/>
        <v>0</v>
      </c>
    </row>
    <row r="77" spans="1:26" s="24" customFormat="1" hidden="1" outlineLevel="1" x14ac:dyDescent="0.35">
      <c r="A77" s="51"/>
      <c r="B77" s="11" t="str">
        <f>CONCATENATE("          ", "4228", " - ", "SALES RETURN TAXABLE-ART/TECH")</f>
        <v xml:space="preserve">          4228 - SALES RETURN TAXABLE-ART/TECH</v>
      </c>
      <c r="C77" s="11"/>
      <c r="D77" s="2">
        <f>-12473.84</f>
        <v>-12473.84</v>
      </c>
      <c r="E77" s="2"/>
      <c r="F77" s="22"/>
      <c r="G77" s="2"/>
      <c r="H77" s="2"/>
      <c r="I77" s="2"/>
      <c r="J77" s="22"/>
      <c r="K77" s="2"/>
      <c r="L77" s="2">
        <f t="shared" si="0"/>
        <v>-12473.84</v>
      </c>
      <c r="M77" s="2"/>
      <c r="N77" s="22">
        <f t="shared" si="1"/>
        <v>0</v>
      </c>
      <c r="O77" s="11"/>
      <c r="P77" s="2">
        <f>-12728.53</f>
        <v>-12728.53</v>
      </c>
      <c r="Q77" s="2"/>
      <c r="R77" s="22"/>
      <c r="S77" s="2"/>
      <c r="T77" s="2"/>
      <c r="U77" s="2"/>
      <c r="V77" s="22"/>
      <c r="W77" s="2"/>
      <c r="X77" s="2">
        <f t="shared" si="2"/>
        <v>-12728.53</v>
      </c>
      <c r="Y77" s="2"/>
      <c r="Z77" s="22">
        <f t="shared" si="3"/>
        <v>0</v>
      </c>
    </row>
    <row r="78" spans="1:26" s="24" customFormat="1" hidden="1" outlineLevel="1" x14ac:dyDescent="0.35">
      <c r="A78" s="51"/>
      <c r="B78" s="11" t="str">
        <f>CONCATENATE("          ", "4240", " - ", "SALES RETURN TAXABLE-LOGO CLOT")</f>
        <v xml:space="preserve">          4240 - SALES RETURN TAXABLE-LOGO CLOT</v>
      </c>
      <c r="C78" s="11"/>
      <c r="D78" s="2">
        <f>-7168.03</f>
        <v>-7168.03</v>
      </c>
      <c r="E78" s="2"/>
      <c r="F78" s="22"/>
      <c r="G78" s="2"/>
      <c r="H78" s="2"/>
      <c r="I78" s="2"/>
      <c r="J78" s="22"/>
      <c r="K78" s="2"/>
      <c r="L78" s="2">
        <f t="shared" si="0"/>
        <v>-7168.03</v>
      </c>
      <c r="M78" s="2"/>
      <c r="N78" s="22">
        <f t="shared" si="1"/>
        <v>0</v>
      </c>
      <c r="O78" s="11"/>
      <c r="P78" s="2">
        <f>-27586.87</f>
        <v>-27586.87</v>
      </c>
      <c r="Q78" s="2"/>
      <c r="R78" s="22"/>
      <c r="S78" s="2"/>
      <c r="T78" s="2"/>
      <c r="U78" s="2"/>
      <c r="V78" s="22"/>
      <c r="W78" s="2"/>
      <c r="X78" s="2">
        <f t="shared" si="2"/>
        <v>-27586.87</v>
      </c>
      <c r="Y78" s="2"/>
      <c r="Z78" s="22">
        <f t="shared" si="3"/>
        <v>0</v>
      </c>
    </row>
    <row r="79" spans="1:26" s="24" customFormat="1" hidden="1" outlineLevel="1" x14ac:dyDescent="0.35">
      <c r="A79" s="51"/>
      <c r="B79" s="11" t="str">
        <f>CONCATENATE("          ", "4241", " - ", "SALES RETURN TAXABLE-LOGO GIFT")</f>
        <v xml:space="preserve">          4241 - SALES RETURN TAXABLE-LOGO GIFT</v>
      </c>
      <c r="C79" s="11"/>
      <c r="D79" s="2">
        <f>-1397.46</f>
        <v>-1397.46</v>
      </c>
      <c r="E79" s="2"/>
      <c r="F79" s="22"/>
      <c r="G79" s="2"/>
      <c r="H79" s="2"/>
      <c r="I79" s="2"/>
      <c r="J79" s="22"/>
      <c r="K79" s="2"/>
      <c r="L79" s="2">
        <f t="shared" si="0"/>
        <v>-1397.46</v>
      </c>
      <c r="M79" s="2"/>
      <c r="N79" s="22">
        <f t="shared" si="1"/>
        <v>0</v>
      </c>
      <c r="O79" s="11"/>
      <c r="P79" s="2">
        <f>-4957.47</f>
        <v>-4957.47</v>
      </c>
      <c r="Q79" s="2"/>
      <c r="R79" s="22"/>
      <c r="S79" s="2"/>
      <c r="T79" s="2"/>
      <c r="U79" s="2"/>
      <c r="V79" s="22"/>
      <c r="W79" s="2"/>
      <c r="X79" s="2">
        <f t="shared" si="2"/>
        <v>-4957.47</v>
      </c>
      <c r="Y79" s="2"/>
      <c r="Z79" s="22">
        <f t="shared" si="3"/>
        <v>0</v>
      </c>
    </row>
    <row r="80" spans="1:26" s="24" customFormat="1" hidden="1" outlineLevel="1" x14ac:dyDescent="0.35">
      <c r="A80" s="51"/>
      <c r="B80" s="11" t="str">
        <f>CONCATENATE("          ", "4242", " - ", "SALES RETURN TAXABLE-EVERYDAY")</f>
        <v xml:space="preserve">          4242 - SALES RETURN TAXABLE-EVERYDAY</v>
      </c>
      <c r="C80" s="11"/>
      <c r="D80" s="2">
        <f>-76.86</f>
        <v>-76.86</v>
      </c>
      <c r="E80" s="2"/>
      <c r="F80" s="22"/>
      <c r="G80" s="2"/>
      <c r="H80" s="2"/>
      <c r="I80" s="2"/>
      <c r="J80" s="22"/>
      <c r="K80" s="2"/>
      <c r="L80" s="2">
        <f t="shared" si="0"/>
        <v>-76.86</v>
      </c>
      <c r="M80" s="2"/>
      <c r="N80" s="22">
        <f t="shared" si="1"/>
        <v>0</v>
      </c>
      <c r="O80" s="11"/>
      <c r="P80" s="2">
        <f>-1693.78</f>
        <v>-1693.78</v>
      </c>
      <c r="Q80" s="2"/>
      <c r="R80" s="22"/>
      <c r="S80" s="2"/>
      <c r="T80" s="2"/>
      <c r="U80" s="2"/>
      <c r="V80" s="22"/>
      <c r="W80" s="2"/>
      <c r="X80" s="2">
        <f t="shared" si="2"/>
        <v>-1693.78</v>
      </c>
      <c r="Y80" s="2"/>
      <c r="Z80" s="22">
        <f t="shared" si="3"/>
        <v>0</v>
      </c>
    </row>
    <row r="81" spans="1:26" s="24" customFormat="1" hidden="1" outlineLevel="1" x14ac:dyDescent="0.35">
      <c r="A81" s="51"/>
      <c r="B81" s="11" t="str">
        <f>CONCATENATE("          ", "4243", " - ", "SALES RETURN TAXABLE-CARDS")</f>
        <v xml:space="preserve">          4243 - SALES RETURN TAXABLE-CARDS</v>
      </c>
      <c r="C81" s="11"/>
      <c r="D81" s="2">
        <f>-1422.25</f>
        <v>-1422.25</v>
      </c>
      <c r="E81" s="2"/>
      <c r="F81" s="22"/>
      <c r="G81" s="2"/>
      <c r="H81" s="2"/>
      <c r="I81" s="2"/>
      <c r="J81" s="22"/>
      <c r="K81" s="2"/>
      <c r="L81" s="2">
        <f t="shared" si="0"/>
        <v>-1422.25</v>
      </c>
      <c r="M81" s="2"/>
      <c r="N81" s="22">
        <f t="shared" si="1"/>
        <v>0</v>
      </c>
      <c r="O81" s="11"/>
      <c r="P81" s="2">
        <f>-4999.79</f>
        <v>-4999.79</v>
      </c>
      <c r="Q81" s="2"/>
      <c r="R81" s="22"/>
      <c r="S81" s="2"/>
      <c r="T81" s="2"/>
      <c r="U81" s="2"/>
      <c r="V81" s="22"/>
      <c r="W81" s="2"/>
      <c r="X81" s="2">
        <f t="shared" si="2"/>
        <v>-4999.79</v>
      </c>
      <c r="Y81" s="2"/>
      <c r="Z81" s="22">
        <f t="shared" si="3"/>
        <v>0</v>
      </c>
    </row>
    <row r="82" spans="1:26" s="24" customFormat="1" hidden="1" outlineLevel="1" x14ac:dyDescent="0.35">
      <c r="A82" s="51"/>
      <c r="B82" s="11" t="str">
        <f>CONCATENATE("          ", "4244", " - ", "SALES RETURN TAXABLE-ACCESSORI")</f>
        <v xml:space="preserve">          4244 - SALES RETURN TAXABLE-ACCESSORI</v>
      </c>
      <c r="C82" s="11"/>
      <c r="D82" s="2">
        <f>-93.98</f>
        <v>-93.98</v>
      </c>
      <c r="E82" s="2"/>
      <c r="F82" s="22"/>
      <c r="G82" s="2"/>
      <c r="H82" s="2"/>
      <c r="I82" s="2"/>
      <c r="J82" s="22"/>
      <c r="K82" s="2"/>
      <c r="L82" s="2">
        <f t="shared" si="0"/>
        <v>-93.98</v>
      </c>
      <c r="M82" s="2"/>
      <c r="N82" s="22">
        <f t="shared" si="1"/>
        <v>0</v>
      </c>
      <c r="O82" s="11"/>
      <c r="P82" s="2">
        <f>-984.85</f>
        <v>-984.85</v>
      </c>
      <c r="Q82" s="2"/>
      <c r="R82" s="22"/>
      <c r="S82" s="2"/>
      <c r="T82" s="2"/>
      <c r="U82" s="2"/>
      <c r="V82" s="22"/>
      <c r="W82" s="2"/>
      <c r="X82" s="2">
        <f t="shared" si="2"/>
        <v>-984.85</v>
      </c>
      <c r="Y82" s="2"/>
      <c r="Z82" s="22">
        <f t="shared" si="3"/>
        <v>0</v>
      </c>
    </row>
    <row r="83" spans="1:26" s="24" customFormat="1" hidden="1" outlineLevel="1" x14ac:dyDescent="0.35">
      <c r="A83" s="51"/>
      <c r="B83" s="11" t="str">
        <f>CONCATENATE("          ", "4245", " - ", "SALES RETURN TAXABLE-SPECIAL O")</f>
        <v xml:space="preserve">          4245 - SALES RETURN TAXABLE-SPECIAL O</v>
      </c>
      <c r="C83" s="11"/>
      <c r="D83" s="2">
        <f>0</f>
        <v>0</v>
      </c>
      <c r="E83" s="2"/>
      <c r="F83" s="22"/>
      <c r="G83" s="2"/>
      <c r="H83" s="2"/>
      <c r="I83" s="2"/>
      <c r="J83" s="22"/>
      <c r="K83" s="2"/>
      <c r="L83" s="2">
        <f t="shared" si="0"/>
        <v>0</v>
      </c>
      <c r="M83" s="2"/>
      <c r="N83" s="22">
        <f t="shared" si="1"/>
        <v>0</v>
      </c>
      <c r="O83" s="11"/>
      <c r="P83" s="2">
        <f>-11345.61</f>
        <v>-11345.61</v>
      </c>
      <c r="Q83" s="2"/>
      <c r="R83" s="22"/>
      <c r="S83" s="2"/>
      <c r="T83" s="2"/>
      <c r="U83" s="2"/>
      <c r="V83" s="22"/>
      <c r="W83" s="2"/>
      <c r="X83" s="2">
        <f t="shared" si="2"/>
        <v>-11345.61</v>
      </c>
      <c r="Y83" s="2"/>
      <c r="Z83" s="22">
        <f t="shared" si="3"/>
        <v>0</v>
      </c>
    </row>
    <row r="84" spans="1:26" s="24" customFormat="1" hidden="1" outlineLevel="1" x14ac:dyDescent="0.35">
      <c r="A84" s="51"/>
      <c r="B84" s="11" t="str">
        <f>CONCATENATE("          ", "4281", " - ", "SALES RETURN TAXABLE-ELECTRONI")</f>
        <v xml:space="preserve">          4281 - SALES RETURN TAXABLE-ELECTRONI</v>
      </c>
      <c r="C84" s="11"/>
      <c r="D84" s="2">
        <f>-129.99</f>
        <v>-129.99</v>
      </c>
      <c r="E84" s="2"/>
      <c r="F84" s="22"/>
      <c r="G84" s="2"/>
      <c r="H84" s="2"/>
      <c r="I84" s="2"/>
      <c r="J84" s="22"/>
      <c r="K84" s="2"/>
      <c r="L84" s="2">
        <f t="shared" si="0"/>
        <v>-129.99</v>
      </c>
      <c r="M84" s="2"/>
      <c r="N84" s="22">
        <f t="shared" si="1"/>
        <v>0</v>
      </c>
      <c r="O84" s="11"/>
      <c r="P84" s="2">
        <f>-14762.14</f>
        <v>-14762.14</v>
      </c>
      <c r="Q84" s="2"/>
      <c r="R84" s="22"/>
      <c r="S84" s="2"/>
      <c r="T84" s="2"/>
      <c r="U84" s="2"/>
      <c r="V84" s="22"/>
      <c r="W84" s="2"/>
      <c r="X84" s="2">
        <f t="shared" si="2"/>
        <v>-14762.14</v>
      </c>
      <c r="Y84" s="2"/>
      <c r="Z84" s="22">
        <f t="shared" si="3"/>
        <v>0</v>
      </c>
    </row>
    <row r="85" spans="1:26" s="24" customFormat="1" hidden="1" outlineLevel="1" x14ac:dyDescent="0.35">
      <c r="A85" s="51"/>
      <c r="B85" s="11" t="str">
        <f>CONCATENATE("          ", "4282", " - ", "SALES RETURN TAXABLE-COMPUTER")</f>
        <v xml:space="preserve">          4282 - SALES RETURN TAXABLE-COMPUTER</v>
      </c>
      <c r="C85" s="11"/>
      <c r="D85" s="2">
        <f>-4897</f>
        <v>-4897</v>
      </c>
      <c r="E85" s="2"/>
      <c r="F85" s="22"/>
      <c r="G85" s="2"/>
      <c r="H85" s="2"/>
      <c r="I85" s="2"/>
      <c r="J85" s="22"/>
      <c r="K85" s="2"/>
      <c r="L85" s="2">
        <f t="shared" si="0"/>
        <v>-4897</v>
      </c>
      <c r="M85" s="2"/>
      <c r="N85" s="22">
        <f t="shared" si="1"/>
        <v>0</v>
      </c>
      <c r="O85" s="11"/>
      <c r="P85" s="2">
        <f>-96917.01</f>
        <v>-96917.01</v>
      </c>
      <c r="Q85" s="2"/>
      <c r="R85" s="22"/>
      <c r="S85" s="2"/>
      <c r="T85" s="2"/>
      <c r="U85" s="2"/>
      <c r="V85" s="22"/>
      <c r="W85" s="2"/>
      <c r="X85" s="2">
        <f t="shared" si="2"/>
        <v>-96917.01</v>
      </c>
      <c r="Y85" s="2"/>
      <c r="Z85" s="22">
        <f t="shared" si="3"/>
        <v>0</v>
      </c>
    </row>
    <row r="86" spans="1:26" s="24" customFormat="1" hidden="1" outlineLevel="1" x14ac:dyDescent="0.35">
      <c r="A86" s="51"/>
      <c r="B86" s="11" t="str">
        <f>CONCATENATE("          ", "4283", " - ", "SALES RETURN TAXABLE-COMPUTER")</f>
        <v xml:space="preserve">          4283 - SALES RETURN TAXABLE-COMPUTER</v>
      </c>
      <c r="C86" s="11"/>
      <c r="D86" s="2">
        <f>--264.97</f>
        <v>264.97000000000003</v>
      </c>
      <c r="E86" s="2"/>
      <c r="F86" s="22"/>
      <c r="G86" s="2"/>
      <c r="H86" s="2"/>
      <c r="I86" s="2"/>
      <c r="J86" s="22"/>
      <c r="K86" s="2"/>
      <c r="L86" s="2">
        <f t="shared" si="0"/>
        <v>264.97000000000003</v>
      </c>
      <c r="M86" s="2"/>
      <c r="N86" s="22">
        <f t="shared" si="1"/>
        <v>0</v>
      </c>
      <c r="O86" s="11"/>
      <c r="P86" s="2">
        <f>-3146.29</f>
        <v>-3146.29</v>
      </c>
      <c r="Q86" s="2"/>
      <c r="R86" s="22"/>
      <c r="S86" s="2"/>
      <c r="T86" s="2"/>
      <c r="U86" s="2"/>
      <c r="V86" s="22"/>
      <c r="W86" s="2"/>
      <c r="X86" s="2">
        <f t="shared" si="2"/>
        <v>-3146.29</v>
      </c>
      <c r="Y86" s="2"/>
      <c r="Z86" s="22">
        <f t="shared" si="3"/>
        <v>0</v>
      </c>
    </row>
    <row r="87" spans="1:26" s="24" customFormat="1" hidden="1" outlineLevel="1" x14ac:dyDescent="0.35">
      <c r="A87" s="51"/>
      <c r="B87" s="11" t="str">
        <f>CONCATENATE("          ", "4285", " - ", "SALES RETURN TAXABLE-SOFTWARE")</f>
        <v xml:space="preserve">          4285 - SALES RETURN TAXABLE-SOFTWARE</v>
      </c>
      <c r="C87" s="11"/>
      <c r="D87" s="2">
        <f>0</f>
        <v>0</v>
      </c>
      <c r="E87" s="2"/>
      <c r="F87" s="22"/>
      <c r="G87" s="2"/>
      <c r="H87" s="2"/>
      <c r="I87" s="2"/>
      <c r="J87" s="22"/>
      <c r="K87" s="2"/>
      <c r="L87" s="2">
        <f t="shared" si="0"/>
        <v>0</v>
      </c>
      <c r="M87" s="2"/>
      <c r="N87" s="22">
        <f t="shared" si="1"/>
        <v>0</v>
      </c>
      <c r="O87" s="11"/>
      <c r="P87" s="2">
        <f>-691.98</f>
        <v>-691.98</v>
      </c>
      <c r="Q87" s="2"/>
      <c r="R87" s="22"/>
      <c r="S87" s="2"/>
      <c r="T87" s="2"/>
      <c r="U87" s="2"/>
      <c r="V87" s="22"/>
      <c r="W87" s="2"/>
      <c r="X87" s="2">
        <f t="shared" si="2"/>
        <v>-691.98</v>
      </c>
      <c r="Y87" s="2"/>
      <c r="Z87" s="22">
        <f t="shared" si="3"/>
        <v>0</v>
      </c>
    </row>
    <row r="88" spans="1:26" s="24" customFormat="1" hidden="1" outlineLevel="1" x14ac:dyDescent="0.35">
      <c r="A88" s="51"/>
      <c r="B88" s="11" t="str">
        <f>CONCATENATE("          ", "4286", " - ", "SALES RETURN TAXABLE-COMPUTER")</f>
        <v xml:space="preserve">          4286 - SALES RETURN TAXABLE-COMPUTER</v>
      </c>
      <c r="C88" s="11"/>
      <c r="D88" s="2">
        <f>-18.99</f>
        <v>-18.989999999999998</v>
      </c>
      <c r="E88" s="2"/>
      <c r="F88" s="22"/>
      <c r="G88" s="2"/>
      <c r="H88" s="2"/>
      <c r="I88" s="2"/>
      <c r="J88" s="22"/>
      <c r="K88" s="2"/>
      <c r="L88" s="2">
        <f t="shared" si="0"/>
        <v>-18.989999999999998</v>
      </c>
      <c r="M88" s="2"/>
      <c r="N88" s="22">
        <f t="shared" si="1"/>
        <v>0</v>
      </c>
      <c r="O88" s="11"/>
      <c r="P88" s="2">
        <f>-4727.34</f>
        <v>-4727.34</v>
      </c>
      <c r="Q88" s="2"/>
      <c r="R88" s="22"/>
      <c r="S88" s="2"/>
      <c r="T88" s="2"/>
      <c r="U88" s="2"/>
      <c r="V88" s="22"/>
      <c r="W88" s="2"/>
      <c r="X88" s="2">
        <f t="shared" si="2"/>
        <v>-4727.34</v>
      </c>
      <c r="Y88" s="2"/>
      <c r="Z88" s="22">
        <f t="shared" si="3"/>
        <v>0</v>
      </c>
    </row>
    <row r="89" spans="1:26" s="24" customFormat="1" hidden="1" outlineLevel="1" x14ac:dyDescent="0.35">
      <c r="A89" s="51"/>
      <c r="B89" s="11" t="str">
        <f>CONCATENATE("          ", "4301", " - ", "SALES RETURN NON TAXABLE-NEW T")</f>
        <v xml:space="preserve">          4301 - SALES RETURN NON TAXABLE-NEW T</v>
      </c>
      <c r="C89" s="11"/>
      <c r="D89" s="2">
        <f>-256.69</f>
        <v>-256.69</v>
      </c>
      <c r="E89" s="2"/>
      <c r="F89" s="22"/>
      <c r="G89" s="2"/>
      <c r="H89" s="2"/>
      <c r="I89" s="2"/>
      <c r="J89" s="22"/>
      <c r="K89" s="2"/>
      <c r="L89" s="2">
        <f t="shared" si="0"/>
        <v>-256.69</v>
      </c>
      <c r="M89" s="2"/>
      <c r="N89" s="22">
        <f t="shared" si="1"/>
        <v>0</v>
      </c>
      <c r="O89" s="11"/>
      <c r="P89" s="2">
        <f>-3005.79</f>
        <v>-3005.79</v>
      </c>
      <c r="Q89" s="2"/>
      <c r="R89" s="22"/>
      <c r="S89" s="2"/>
      <c r="T89" s="2"/>
      <c r="U89" s="2"/>
      <c r="V89" s="22"/>
      <c r="W89" s="2"/>
      <c r="X89" s="2">
        <f t="shared" si="2"/>
        <v>-3005.79</v>
      </c>
      <c r="Y89" s="2"/>
      <c r="Z89" s="22">
        <f t="shared" si="3"/>
        <v>0</v>
      </c>
    </row>
    <row r="90" spans="1:26" s="24" customFormat="1" hidden="1" outlineLevel="1" x14ac:dyDescent="0.35">
      <c r="A90" s="51"/>
      <c r="B90" s="11" t="str">
        <f>CONCATENATE("          ", "4302", " - ", "SALES RETURN NON TAXABLE-TEXT")</f>
        <v xml:space="preserve">          4302 - SALES RETURN NON TAXABLE-TEXT</v>
      </c>
      <c r="C90" s="11"/>
      <c r="D90" s="2">
        <f>-532.96</f>
        <v>-532.96</v>
      </c>
      <c r="E90" s="2"/>
      <c r="F90" s="22"/>
      <c r="G90" s="2"/>
      <c r="H90" s="2"/>
      <c r="I90" s="2"/>
      <c r="J90" s="22"/>
      <c r="K90" s="2"/>
      <c r="L90" s="2">
        <f t="shared" si="0"/>
        <v>-532.96</v>
      </c>
      <c r="M90" s="2"/>
      <c r="N90" s="22">
        <f t="shared" si="1"/>
        <v>0</v>
      </c>
      <c r="O90" s="11"/>
      <c r="P90" s="2">
        <f>-2003.16</f>
        <v>-2003.16</v>
      </c>
      <c r="Q90" s="2"/>
      <c r="R90" s="22"/>
      <c r="S90" s="2"/>
      <c r="T90" s="2"/>
      <c r="U90" s="2"/>
      <c r="V90" s="22"/>
      <c r="W90" s="2"/>
      <c r="X90" s="2">
        <f t="shared" si="2"/>
        <v>-2003.16</v>
      </c>
      <c r="Y90" s="2"/>
      <c r="Z90" s="22">
        <f t="shared" si="3"/>
        <v>0</v>
      </c>
    </row>
    <row r="91" spans="1:26" s="24" customFormat="1" hidden="1" outlineLevel="1" x14ac:dyDescent="0.35">
      <c r="A91" s="51"/>
      <c r="B91" s="11" t="str">
        <f>CONCATENATE("          ", "4304", " - ", "SALES RETURN NON TAXABLE-DIGIT")</f>
        <v xml:space="preserve">          4304 - SALES RETURN NON TAXABLE-DIGIT</v>
      </c>
      <c r="C91" s="11"/>
      <c r="D91" s="2">
        <f>-10673</f>
        <v>-10673</v>
      </c>
      <c r="E91" s="2"/>
      <c r="F91" s="22"/>
      <c r="G91" s="2"/>
      <c r="H91" s="2"/>
      <c r="I91" s="2"/>
      <c r="J91" s="22"/>
      <c r="K91" s="2"/>
      <c r="L91" s="2">
        <f t="shared" si="0"/>
        <v>-10673</v>
      </c>
      <c r="M91" s="2"/>
      <c r="N91" s="22">
        <f t="shared" si="1"/>
        <v>0</v>
      </c>
      <c r="O91" s="11"/>
      <c r="P91" s="2">
        <f>-25095.77</f>
        <v>-25095.77</v>
      </c>
      <c r="Q91" s="2"/>
      <c r="R91" s="22"/>
      <c r="S91" s="2"/>
      <c r="T91" s="2"/>
      <c r="U91" s="2"/>
      <c r="V91" s="22"/>
      <c r="W91" s="2"/>
      <c r="X91" s="2">
        <f t="shared" si="2"/>
        <v>-25095.77</v>
      </c>
      <c r="Y91" s="2"/>
      <c r="Z91" s="22">
        <f t="shared" si="3"/>
        <v>0</v>
      </c>
    </row>
    <row r="92" spans="1:26" s="24" customFormat="1" hidden="1" outlineLevel="1" x14ac:dyDescent="0.35">
      <c r="A92" s="51"/>
      <c r="B92" s="11" t="str">
        <f>CONCATENATE("          ", "4340", " - ", "SALES RETURN NON TAXABLE-LOGO")</f>
        <v xml:space="preserve">          4340 - SALES RETURN NON TAXABLE-LOGO</v>
      </c>
      <c r="C92" s="11"/>
      <c r="D92" s="2">
        <f>-732.22</f>
        <v>-732.22</v>
      </c>
      <c r="E92" s="2"/>
      <c r="F92" s="22"/>
      <c r="G92" s="2"/>
      <c r="H92" s="2"/>
      <c r="I92" s="2"/>
      <c r="J92" s="22"/>
      <c r="K92" s="2"/>
      <c r="L92" s="2">
        <f t="shared" si="0"/>
        <v>-732.22</v>
      </c>
      <c r="M92" s="2"/>
      <c r="N92" s="22">
        <f t="shared" si="1"/>
        <v>0</v>
      </c>
      <c r="O92" s="11"/>
      <c r="P92" s="2">
        <f>-2215.94</f>
        <v>-2215.94</v>
      </c>
      <c r="Q92" s="2"/>
      <c r="R92" s="22"/>
      <c r="S92" s="2"/>
      <c r="T92" s="2"/>
      <c r="U92" s="2"/>
      <c r="V92" s="22"/>
      <c r="W92" s="2"/>
      <c r="X92" s="2">
        <f t="shared" si="2"/>
        <v>-2215.94</v>
      </c>
      <c r="Y92" s="2"/>
      <c r="Z92" s="22">
        <f t="shared" si="3"/>
        <v>0</v>
      </c>
    </row>
    <row r="93" spans="1:26" s="24" customFormat="1" hidden="1" outlineLevel="1" x14ac:dyDescent="0.35">
      <c r="A93" s="51"/>
      <c r="B93" s="11" t="str">
        <f>CONCATENATE("          ", "4341", " - ", "SALES RETURN NON TAXABLE-LOGO")</f>
        <v xml:space="preserve">          4341 - SALES RETURN NON TAXABLE-LOGO</v>
      </c>
      <c r="C93" s="11"/>
      <c r="D93" s="2">
        <f>-27</f>
        <v>-27</v>
      </c>
      <c r="E93" s="2"/>
      <c r="F93" s="22"/>
      <c r="G93" s="2"/>
      <c r="H93" s="2"/>
      <c r="I93" s="2"/>
      <c r="J93" s="22"/>
      <c r="K93" s="2"/>
      <c r="L93" s="2">
        <f t="shared" si="0"/>
        <v>-27</v>
      </c>
      <c r="M93" s="2"/>
      <c r="N93" s="22">
        <f t="shared" si="1"/>
        <v>0</v>
      </c>
      <c r="O93" s="11"/>
      <c r="P93" s="2">
        <f>-362.64</f>
        <v>-362.64</v>
      </c>
      <c r="Q93" s="2"/>
      <c r="R93" s="22"/>
      <c r="S93" s="2"/>
      <c r="T93" s="2"/>
      <c r="U93" s="2"/>
      <c r="V93" s="22"/>
      <c r="W93" s="2"/>
      <c r="X93" s="2">
        <f t="shared" si="2"/>
        <v>-362.64</v>
      </c>
      <c r="Y93" s="2"/>
      <c r="Z93" s="22">
        <f t="shared" si="3"/>
        <v>0</v>
      </c>
    </row>
    <row r="94" spans="1:26" s="24" customFormat="1" hidden="1" outlineLevel="1" x14ac:dyDescent="0.35">
      <c r="A94" s="51"/>
      <c r="B94" s="11" t="str">
        <f>CONCATENATE("          ", "4342", " - ", "SALES RETURN NON TAXABLE-EVERY")</f>
        <v xml:space="preserve">          4342 - SALES RETURN NON TAXABLE-EVERY</v>
      </c>
      <c r="C94" s="11"/>
      <c r="D94" s="2">
        <f t="shared" ref="D94:D95" si="7">0</f>
        <v>0</v>
      </c>
      <c r="E94" s="2"/>
      <c r="F94" s="22"/>
      <c r="G94" s="2"/>
      <c r="H94" s="2"/>
      <c r="I94" s="2"/>
      <c r="J94" s="22"/>
      <c r="K94" s="2"/>
      <c r="L94" s="2">
        <f t="shared" si="0"/>
        <v>0</v>
      </c>
      <c r="M94" s="2"/>
      <c r="N94" s="22">
        <f t="shared" si="1"/>
        <v>0</v>
      </c>
      <c r="O94" s="11"/>
      <c r="P94" s="2">
        <f>-118.7</f>
        <v>-118.7</v>
      </c>
      <c r="Q94" s="2"/>
      <c r="R94" s="22"/>
      <c r="S94" s="2"/>
      <c r="T94" s="2"/>
      <c r="U94" s="2"/>
      <c r="V94" s="22"/>
      <c r="W94" s="2"/>
      <c r="X94" s="2">
        <f t="shared" si="2"/>
        <v>-118.7</v>
      </c>
      <c r="Y94" s="2"/>
      <c r="Z94" s="22">
        <f t="shared" si="3"/>
        <v>0</v>
      </c>
    </row>
    <row r="95" spans="1:26" s="24" customFormat="1" hidden="1" outlineLevel="1" x14ac:dyDescent="0.35">
      <c r="A95" s="51"/>
      <c r="B95" s="11" t="str">
        <f>CONCATENATE("          ", "4381", " - ", "SALES RETURN NON TAXABLE-ELECT")</f>
        <v xml:space="preserve">          4381 - SALES RETURN NON TAXABLE-ELECT</v>
      </c>
      <c r="C95" s="11"/>
      <c r="D95" s="2">
        <f t="shared" si="7"/>
        <v>0</v>
      </c>
      <c r="E95" s="2"/>
      <c r="F95" s="22"/>
      <c r="G95" s="2"/>
      <c r="H95" s="2"/>
      <c r="I95" s="2"/>
      <c r="J95" s="22"/>
      <c r="K95" s="2"/>
      <c r="L95" s="2">
        <f t="shared" si="0"/>
        <v>0</v>
      </c>
      <c r="M95" s="2"/>
      <c r="N95" s="22">
        <f t="shared" si="1"/>
        <v>0</v>
      </c>
      <c r="O95" s="11"/>
      <c r="P95" s="2">
        <f>-5624.15</f>
        <v>-5624.15</v>
      </c>
      <c r="Q95" s="2"/>
      <c r="R95" s="22"/>
      <c r="S95" s="2"/>
      <c r="T95" s="2"/>
      <c r="U95" s="2"/>
      <c r="V95" s="22"/>
      <c r="W95" s="2"/>
      <c r="X95" s="2">
        <f t="shared" si="2"/>
        <v>-5624.15</v>
      </c>
      <c r="Y95" s="2"/>
      <c r="Z95" s="22">
        <f t="shared" si="3"/>
        <v>0</v>
      </c>
    </row>
    <row r="96" spans="1:26" x14ac:dyDescent="0.3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collapsed="1" x14ac:dyDescent="0.35">
      <c r="A97" s="10"/>
      <c r="B97" s="25" t="s">
        <v>8</v>
      </c>
      <c r="C97" s="10"/>
      <c r="D97" s="4">
        <f>SUM(OSRRefD16x_0)</f>
        <v>915207.02999999991</v>
      </c>
      <c r="E97" s="4"/>
      <c r="F97" s="12">
        <f t="shared" ref="F97:F142" si="8">IF(D$12=0,0,D97/D$12)</f>
        <v>0.62585783733380851</v>
      </c>
      <c r="G97" s="4"/>
      <c r="H97" s="4">
        <f>SUM(OSRRefH16x_0)</f>
        <v>1512502</v>
      </c>
      <c r="I97" s="4"/>
      <c r="J97" s="12">
        <f t="shared" ref="J97:J142" si="9">IF(H$12=0,0,H97/H$12)</f>
        <v>0.60551645781547569</v>
      </c>
      <c r="K97" s="4"/>
      <c r="L97" s="4">
        <f t="shared" ref="L97:L142" si="10">+D97-H97</f>
        <v>-597294.97000000009</v>
      </c>
      <c r="M97" s="4"/>
      <c r="N97" s="12">
        <f t="shared" ref="N97:N142" si="11">IF(H97=0,0,L97/H97)</f>
        <v>-0.39490524310050507</v>
      </c>
      <c r="O97" s="10"/>
      <c r="P97" s="4">
        <f>SUM(OSRRefP16x_0)</f>
        <v>4144648.3000000003</v>
      </c>
      <c r="Q97" s="4"/>
      <c r="R97" s="12">
        <f t="shared" ref="R97:R142" si="12">IF(P$12=0,0,P97/P$12)</f>
        <v>0.62747734733404725</v>
      </c>
      <c r="S97" s="4"/>
      <c r="T97" s="4">
        <f>SUM(OSRRefT16x_0)</f>
        <v>6041862</v>
      </c>
      <c r="U97" s="4"/>
      <c r="V97" s="12">
        <f t="shared" ref="V97:V142" si="13">IF(T$12=0,0,T97/T$12)</f>
        <v>0.54365959833057953</v>
      </c>
      <c r="W97" s="4"/>
      <c r="X97" s="4">
        <f t="shared" ref="X97:X142" si="14">+P97-T97</f>
        <v>-1897213.6999999997</v>
      </c>
      <c r="Y97" s="4"/>
      <c r="Z97" s="12">
        <f t="shared" ref="Z97:Z142" si="15">IF(T97=0,0,X97/T97)</f>
        <v>-0.31401142561680484</v>
      </c>
    </row>
    <row r="98" spans="1:26" s="24" customFormat="1" hidden="1" outlineLevel="1" x14ac:dyDescent="0.35">
      <c r="A98" s="51"/>
      <c r="B98" s="11" t="str">
        <f>CONCATENATE("          ", "5000", " - ", "PURCHASES @ COST")</f>
        <v xml:space="preserve">          5000 - PURCHASES @ COST</v>
      </c>
      <c r="C98" s="11"/>
      <c r="D98" s="2"/>
      <c r="E98" s="2"/>
      <c r="F98" s="22">
        <f t="shared" si="8"/>
        <v>0</v>
      </c>
      <c r="G98" s="2"/>
      <c r="H98" s="2">
        <v>1512502</v>
      </c>
      <c r="I98" s="2"/>
      <c r="J98" s="22">
        <f t="shared" si="9"/>
        <v>0.60551645781547569</v>
      </c>
      <c r="K98" s="2"/>
      <c r="L98" s="2">
        <f t="shared" si="10"/>
        <v>-1512502</v>
      </c>
      <c r="M98" s="2"/>
      <c r="N98" s="22">
        <f t="shared" si="11"/>
        <v>-1</v>
      </c>
      <c r="O98" s="11"/>
      <c r="P98" s="2"/>
      <c r="Q98" s="2"/>
      <c r="R98" s="22">
        <f t="shared" si="12"/>
        <v>0</v>
      </c>
      <c r="S98" s="2"/>
      <c r="T98" s="2">
        <v>6041862</v>
      </c>
      <c r="U98" s="2"/>
      <c r="V98" s="22">
        <f t="shared" si="13"/>
        <v>0.54365959833057953</v>
      </c>
      <c r="W98" s="2"/>
      <c r="X98" s="2">
        <f t="shared" si="14"/>
        <v>-6041862</v>
      </c>
      <c r="Y98" s="2"/>
      <c r="Z98" s="22">
        <f t="shared" si="15"/>
        <v>-1</v>
      </c>
    </row>
    <row r="99" spans="1:26" s="24" customFormat="1" hidden="1" outlineLevel="1" x14ac:dyDescent="0.35">
      <c r="A99" s="51"/>
      <c r="B99" s="11" t="str">
        <f>CONCATENATE("          ", "5001", " - ", "PURCHASES @ COST-NEW TEXT")</f>
        <v xml:space="preserve">          5001 - PURCHASES @ COST-NEW TEXT</v>
      </c>
      <c r="C99" s="11"/>
      <c r="D99" s="2">
        <v>381096.17</v>
      </c>
      <c r="E99" s="2"/>
      <c r="F99" s="22">
        <f t="shared" si="8"/>
        <v>0.26060991333556238</v>
      </c>
      <c r="G99" s="2"/>
      <c r="H99" s="2"/>
      <c r="I99" s="2"/>
      <c r="J99" s="22">
        <f t="shared" si="9"/>
        <v>0</v>
      </c>
      <c r="K99" s="2"/>
      <c r="L99" s="2">
        <f t="shared" si="10"/>
        <v>381096.17</v>
      </c>
      <c r="M99" s="2"/>
      <c r="N99" s="22">
        <f t="shared" si="11"/>
        <v>0</v>
      </c>
      <c r="O99" s="11"/>
      <c r="P99" s="2">
        <v>1659009.21</v>
      </c>
      <c r="Q99" s="2"/>
      <c r="R99" s="22">
        <f t="shared" si="12"/>
        <v>0.25116502606350294</v>
      </c>
      <c r="S99" s="2"/>
      <c r="T99" s="2"/>
      <c r="U99" s="2"/>
      <c r="V99" s="22">
        <f t="shared" si="13"/>
        <v>0</v>
      </c>
      <c r="W99" s="2"/>
      <c r="X99" s="2">
        <f t="shared" si="14"/>
        <v>1659009.21</v>
      </c>
      <c r="Y99" s="2"/>
      <c r="Z99" s="22">
        <f t="shared" si="15"/>
        <v>0</v>
      </c>
    </row>
    <row r="100" spans="1:26" s="24" customFormat="1" hidden="1" outlineLevel="1" x14ac:dyDescent="0.35">
      <c r="A100" s="51"/>
      <c r="B100" s="11" t="str">
        <f>CONCATENATE("          ", "5002", " - ", "PURCHASES @ COST-USED TEXT")</f>
        <v xml:space="preserve">          5002 - PURCHASES @ COST-USED TEXT</v>
      </c>
      <c r="C100" s="11"/>
      <c r="D100" s="2">
        <v>95863.360000000001</v>
      </c>
      <c r="E100" s="2"/>
      <c r="F100" s="22">
        <f t="shared" si="8"/>
        <v>6.5555478927158517E-2</v>
      </c>
      <c r="G100" s="2"/>
      <c r="H100" s="2"/>
      <c r="I100" s="2"/>
      <c r="J100" s="22">
        <f t="shared" si="9"/>
        <v>0</v>
      </c>
      <c r="K100" s="2"/>
      <c r="L100" s="2">
        <f t="shared" si="10"/>
        <v>95863.360000000001</v>
      </c>
      <c r="M100" s="2"/>
      <c r="N100" s="22">
        <f t="shared" si="11"/>
        <v>0</v>
      </c>
      <c r="O100" s="11"/>
      <c r="P100" s="2">
        <v>260336.28</v>
      </c>
      <c r="Q100" s="2"/>
      <c r="R100" s="22">
        <f t="shared" si="12"/>
        <v>3.9413505456956086E-2</v>
      </c>
      <c r="S100" s="2"/>
      <c r="T100" s="2"/>
      <c r="U100" s="2"/>
      <c r="V100" s="22">
        <f t="shared" si="13"/>
        <v>0</v>
      </c>
      <c r="W100" s="2"/>
      <c r="X100" s="2">
        <f t="shared" si="14"/>
        <v>260336.28</v>
      </c>
      <c r="Y100" s="2"/>
      <c r="Z100" s="22">
        <f t="shared" si="15"/>
        <v>0</v>
      </c>
    </row>
    <row r="101" spans="1:26" s="24" customFormat="1" hidden="1" outlineLevel="1" x14ac:dyDescent="0.35">
      <c r="A101" s="51"/>
      <c r="B101" s="11" t="str">
        <f>CONCATENATE("          ", "5003", " - ", "PURCHASES @ COST-RENTAL TEXT")</f>
        <v xml:space="preserve">          5003 - PURCHASES @ COST-RENTAL TEXT</v>
      </c>
      <c r="C101" s="11"/>
      <c r="D101" s="2"/>
      <c r="E101" s="2"/>
      <c r="F101" s="22">
        <f t="shared" si="8"/>
        <v>0</v>
      </c>
      <c r="G101" s="2"/>
      <c r="H101" s="2"/>
      <c r="I101" s="2"/>
      <c r="J101" s="22">
        <f t="shared" si="9"/>
        <v>0</v>
      </c>
      <c r="K101" s="2"/>
      <c r="L101" s="2">
        <f t="shared" si="10"/>
        <v>0</v>
      </c>
      <c r="M101" s="2"/>
      <c r="N101" s="22">
        <f t="shared" si="11"/>
        <v>0</v>
      </c>
      <c r="O101" s="11"/>
      <c r="P101" s="2">
        <v>32.520000000000003</v>
      </c>
      <c r="Q101" s="2"/>
      <c r="R101" s="22">
        <f t="shared" si="12"/>
        <v>4.9233522022370915E-6</v>
      </c>
      <c r="S101" s="2"/>
      <c r="T101" s="2"/>
      <c r="U101" s="2"/>
      <c r="V101" s="22">
        <f t="shared" si="13"/>
        <v>0</v>
      </c>
      <c r="W101" s="2"/>
      <c r="X101" s="2">
        <f t="shared" si="14"/>
        <v>32.520000000000003</v>
      </c>
      <c r="Y101" s="2"/>
      <c r="Z101" s="22">
        <f t="shared" si="15"/>
        <v>0</v>
      </c>
    </row>
    <row r="102" spans="1:26" s="24" customFormat="1" hidden="1" outlineLevel="1" x14ac:dyDescent="0.35">
      <c r="A102" s="51"/>
      <c r="B102" s="11" t="str">
        <f>CONCATENATE("          ", "5004", " - ", "PURCHASES @ COST-DIGITAL TEXT")</f>
        <v xml:space="preserve">          5004 - PURCHASES @ COST-DIGITAL TEXT</v>
      </c>
      <c r="C102" s="11"/>
      <c r="D102" s="2">
        <v>18888.449999999997</v>
      </c>
      <c r="E102" s="2"/>
      <c r="F102" s="22">
        <f t="shared" si="8"/>
        <v>1.2916732586273703E-2</v>
      </c>
      <c r="G102" s="2"/>
      <c r="H102" s="2"/>
      <c r="I102" s="2"/>
      <c r="J102" s="22">
        <f t="shared" si="9"/>
        <v>0</v>
      </c>
      <c r="K102" s="2"/>
      <c r="L102" s="2">
        <f t="shared" si="10"/>
        <v>18888.449999999997</v>
      </c>
      <c r="M102" s="2"/>
      <c r="N102" s="22">
        <f t="shared" si="11"/>
        <v>0</v>
      </c>
      <c r="O102" s="11"/>
      <c r="P102" s="2">
        <v>216726.56</v>
      </c>
      <c r="Q102" s="2"/>
      <c r="R102" s="22">
        <f t="shared" si="12"/>
        <v>3.2811229595918479E-2</v>
      </c>
      <c r="S102" s="2"/>
      <c r="T102" s="2"/>
      <c r="U102" s="2"/>
      <c r="V102" s="22">
        <f t="shared" si="13"/>
        <v>0</v>
      </c>
      <c r="W102" s="2"/>
      <c r="X102" s="2">
        <f t="shared" si="14"/>
        <v>216726.56</v>
      </c>
      <c r="Y102" s="2"/>
      <c r="Z102" s="22">
        <f t="shared" si="15"/>
        <v>0</v>
      </c>
    </row>
    <row r="103" spans="1:26" s="24" customFormat="1" hidden="1" outlineLevel="1" x14ac:dyDescent="0.35">
      <c r="A103" s="51"/>
      <c r="B103" s="11" t="str">
        <f>CONCATENATE("          ", "5011", " - ", "PURCHASES @ COST-NO VALUE TEXT")</f>
        <v xml:space="preserve">          5011 - PURCHASES @ COST-NO VALUE TEXT</v>
      </c>
      <c r="C103" s="11"/>
      <c r="D103" s="2"/>
      <c r="E103" s="2"/>
      <c r="F103" s="22">
        <f t="shared" si="8"/>
        <v>0</v>
      </c>
      <c r="G103" s="2"/>
      <c r="H103" s="2"/>
      <c r="I103" s="2"/>
      <c r="J103" s="22">
        <f t="shared" si="9"/>
        <v>0</v>
      </c>
      <c r="K103" s="2"/>
      <c r="L103" s="2">
        <f t="shared" si="10"/>
        <v>0</v>
      </c>
      <c r="M103" s="2"/>
      <c r="N103" s="22">
        <f t="shared" si="11"/>
        <v>0</v>
      </c>
      <c r="O103" s="11"/>
      <c r="P103" s="2">
        <v>67.17</v>
      </c>
      <c r="Q103" s="2"/>
      <c r="R103" s="22">
        <f t="shared" si="12"/>
        <v>1.0169174890045061E-5</v>
      </c>
      <c r="S103" s="2"/>
      <c r="T103" s="2"/>
      <c r="U103" s="2"/>
      <c r="V103" s="22">
        <f t="shared" si="13"/>
        <v>0</v>
      </c>
      <c r="W103" s="2"/>
      <c r="X103" s="2">
        <f t="shared" si="14"/>
        <v>67.17</v>
      </c>
      <c r="Y103" s="2"/>
      <c r="Z103" s="22">
        <f t="shared" si="15"/>
        <v>0</v>
      </c>
    </row>
    <row r="104" spans="1:26" s="24" customFormat="1" hidden="1" outlineLevel="1" x14ac:dyDescent="0.35">
      <c r="A104" s="51"/>
      <c r="B104" s="11" t="str">
        <f>CONCATENATE("          ", "5013", " - ", "PURCHASES @ COST-TRADE BOOKS")</f>
        <v xml:space="preserve">          5013 - PURCHASES @ COST-TRADE BOOKS</v>
      </c>
      <c r="C104" s="11"/>
      <c r="D104" s="2">
        <v>3531.13</v>
      </c>
      <c r="E104" s="2"/>
      <c r="F104" s="22">
        <f t="shared" si="8"/>
        <v>2.4147382097190967E-3</v>
      </c>
      <c r="G104" s="2"/>
      <c r="H104" s="2"/>
      <c r="I104" s="2"/>
      <c r="J104" s="22">
        <f t="shared" si="9"/>
        <v>0</v>
      </c>
      <c r="K104" s="2"/>
      <c r="L104" s="2">
        <f t="shared" si="10"/>
        <v>3531.13</v>
      </c>
      <c r="M104" s="2"/>
      <c r="N104" s="22">
        <f t="shared" si="11"/>
        <v>0</v>
      </c>
      <c r="O104" s="11"/>
      <c r="P104" s="2">
        <v>5656.98</v>
      </c>
      <c r="Q104" s="2"/>
      <c r="R104" s="22">
        <f t="shared" si="12"/>
        <v>8.5643619129800665E-4</v>
      </c>
      <c r="S104" s="2"/>
      <c r="T104" s="2"/>
      <c r="U104" s="2"/>
      <c r="V104" s="22">
        <f t="shared" si="13"/>
        <v>0</v>
      </c>
      <c r="W104" s="2"/>
      <c r="X104" s="2">
        <f t="shared" si="14"/>
        <v>5656.98</v>
      </c>
      <c r="Y104" s="2"/>
      <c r="Z104" s="22">
        <f t="shared" si="15"/>
        <v>0</v>
      </c>
    </row>
    <row r="105" spans="1:26" s="24" customFormat="1" hidden="1" outlineLevel="1" x14ac:dyDescent="0.35">
      <c r="A105" s="51"/>
      <c r="B105" s="11" t="str">
        <f>CONCATENATE("          ", "5014", " - ", "PURCHASES @ COST-REMAINDERS")</f>
        <v xml:space="preserve">          5014 - PURCHASES @ COST-REMAINDERS</v>
      </c>
      <c r="C105" s="11"/>
      <c r="D105" s="2"/>
      <c r="E105" s="2"/>
      <c r="F105" s="22">
        <f t="shared" si="8"/>
        <v>0</v>
      </c>
      <c r="G105" s="2"/>
      <c r="H105" s="2"/>
      <c r="I105" s="2"/>
      <c r="J105" s="22">
        <f t="shared" si="9"/>
        <v>0</v>
      </c>
      <c r="K105" s="2"/>
      <c r="L105" s="2">
        <f t="shared" si="10"/>
        <v>0</v>
      </c>
      <c r="M105" s="2"/>
      <c r="N105" s="22">
        <f t="shared" si="11"/>
        <v>0</v>
      </c>
      <c r="O105" s="11"/>
      <c r="P105" s="2">
        <v>90.41</v>
      </c>
      <c r="Q105" s="2"/>
      <c r="R105" s="22">
        <f t="shared" si="12"/>
        <v>1.3687585258433437E-5</v>
      </c>
      <c r="S105" s="2"/>
      <c r="T105" s="2"/>
      <c r="U105" s="2"/>
      <c r="V105" s="22">
        <f t="shared" si="13"/>
        <v>0</v>
      </c>
      <c r="W105" s="2"/>
      <c r="X105" s="2">
        <f t="shared" si="14"/>
        <v>90.41</v>
      </c>
      <c r="Y105" s="2"/>
      <c r="Z105" s="22">
        <f t="shared" si="15"/>
        <v>0</v>
      </c>
    </row>
    <row r="106" spans="1:26" s="24" customFormat="1" hidden="1" outlineLevel="1" x14ac:dyDescent="0.35">
      <c r="A106" s="51"/>
      <c r="B106" s="11" t="str">
        <f>CONCATENATE("          ", "5018", " - ", "PURCHASES @ COST-STUDY GUIDES")</f>
        <v xml:space="preserve">          5018 - PURCHASES @ COST-STUDY GUIDES</v>
      </c>
      <c r="C106" s="11"/>
      <c r="D106" s="2">
        <v>416</v>
      </c>
      <c r="E106" s="2"/>
      <c r="F106" s="22">
        <f t="shared" si="8"/>
        <v>2.844786499628006E-4</v>
      </c>
      <c r="G106" s="2"/>
      <c r="H106" s="2"/>
      <c r="I106" s="2"/>
      <c r="J106" s="22">
        <f t="shared" si="9"/>
        <v>0</v>
      </c>
      <c r="K106" s="2"/>
      <c r="L106" s="2">
        <f t="shared" si="10"/>
        <v>416</v>
      </c>
      <c r="M106" s="2"/>
      <c r="N106" s="22">
        <f t="shared" si="11"/>
        <v>0</v>
      </c>
      <c r="O106" s="11"/>
      <c r="P106" s="2">
        <v>522.34</v>
      </c>
      <c r="Q106" s="2"/>
      <c r="R106" s="22">
        <f t="shared" si="12"/>
        <v>7.9079452316006216E-5</v>
      </c>
      <c r="S106" s="2"/>
      <c r="T106" s="2"/>
      <c r="U106" s="2"/>
      <c r="V106" s="22">
        <f t="shared" si="13"/>
        <v>0</v>
      </c>
      <c r="W106" s="2"/>
      <c r="X106" s="2">
        <f t="shared" si="14"/>
        <v>522.34</v>
      </c>
      <c r="Y106" s="2"/>
      <c r="Z106" s="22">
        <f t="shared" si="15"/>
        <v>0</v>
      </c>
    </row>
    <row r="107" spans="1:26" s="24" customFormat="1" hidden="1" outlineLevel="1" x14ac:dyDescent="0.35">
      <c r="A107" s="51"/>
      <c r="B107" s="11" t="str">
        <f>CONCATENATE("          ", "5025", " - ", "PURCHASES @ COST-TEST FORMS")</f>
        <v xml:space="preserve">          5025 - PURCHASES @ COST-TEST FORMS</v>
      </c>
      <c r="C107" s="11"/>
      <c r="D107" s="2"/>
      <c r="E107" s="2"/>
      <c r="F107" s="22">
        <f t="shared" si="8"/>
        <v>0</v>
      </c>
      <c r="G107" s="2"/>
      <c r="H107" s="2"/>
      <c r="I107" s="2"/>
      <c r="J107" s="22">
        <f t="shared" si="9"/>
        <v>0</v>
      </c>
      <c r="K107" s="2"/>
      <c r="L107" s="2">
        <f t="shared" si="10"/>
        <v>0</v>
      </c>
      <c r="M107" s="2"/>
      <c r="N107" s="22">
        <f t="shared" si="11"/>
        <v>0</v>
      </c>
      <c r="O107" s="11"/>
      <c r="P107" s="2">
        <v>599.29</v>
      </c>
      <c r="Q107" s="2"/>
      <c r="R107" s="22">
        <f t="shared" si="12"/>
        <v>9.0729266336982354E-5</v>
      </c>
      <c r="S107" s="2"/>
      <c r="T107" s="2"/>
      <c r="U107" s="2"/>
      <c r="V107" s="22">
        <f t="shared" si="13"/>
        <v>0</v>
      </c>
      <c r="W107" s="2"/>
      <c r="X107" s="2">
        <f t="shared" si="14"/>
        <v>599.29</v>
      </c>
      <c r="Y107" s="2"/>
      <c r="Z107" s="22">
        <f t="shared" si="15"/>
        <v>0</v>
      </c>
    </row>
    <row r="108" spans="1:26" s="24" customFormat="1" hidden="1" outlineLevel="1" x14ac:dyDescent="0.35">
      <c r="A108" s="51"/>
      <c r="B108" s="11" t="str">
        <f>CONCATENATE("          ", "5026", " - ", "PURCHASES @ COST-WRITING INSTR")</f>
        <v xml:space="preserve">          5026 - PURCHASES @ COST-WRITING INSTR</v>
      </c>
      <c r="C108" s="11"/>
      <c r="D108" s="2"/>
      <c r="E108" s="2"/>
      <c r="F108" s="22">
        <f t="shared" si="8"/>
        <v>0</v>
      </c>
      <c r="G108" s="2"/>
      <c r="H108" s="2"/>
      <c r="I108" s="2"/>
      <c r="J108" s="22">
        <f t="shared" si="9"/>
        <v>0</v>
      </c>
      <c r="K108" s="2"/>
      <c r="L108" s="2">
        <f t="shared" si="10"/>
        <v>0</v>
      </c>
      <c r="M108" s="2"/>
      <c r="N108" s="22">
        <f t="shared" si="11"/>
        <v>0</v>
      </c>
      <c r="O108" s="11"/>
      <c r="P108" s="2">
        <v>374.91</v>
      </c>
      <c r="Q108" s="2"/>
      <c r="R108" s="22">
        <f t="shared" si="12"/>
        <v>5.6759347298299748E-5</v>
      </c>
      <c r="S108" s="2"/>
      <c r="T108" s="2"/>
      <c r="U108" s="2"/>
      <c r="V108" s="22">
        <f t="shared" si="13"/>
        <v>0</v>
      </c>
      <c r="W108" s="2"/>
      <c r="X108" s="2">
        <f t="shared" si="14"/>
        <v>374.91</v>
      </c>
      <c r="Y108" s="2"/>
      <c r="Z108" s="22">
        <f t="shared" si="15"/>
        <v>0</v>
      </c>
    </row>
    <row r="109" spans="1:26" s="24" customFormat="1" hidden="1" outlineLevel="1" x14ac:dyDescent="0.35">
      <c r="A109" s="51"/>
      <c r="B109" s="11" t="str">
        <f>CONCATENATE("          ", "5027", " - ", "PURCHASES @ COST-SCHOOL SUPPLI")</f>
        <v xml:space="preserve">          5027 - PURCHASES @ COST-SCHOOL SUPPLI</v>
      </c>
      <c r="C109" s="11"/>
      <c r="D109" s="2"/>
      <c r="E109" s="2"/>
      <c r="F109" s="22">
        <f t="shared" si="8"/>
        <v>0</v>
      </c>
      <c r="G109" s="2"/>
      <c r="H109" s="2"/>
      <c r="I109" s="2"/>
      <c r="J109" s="22">
        <f t="shared" si="9"/>
        <v>0</v>
      </c>
      <c r="K109" s="2"/>
      <c r="L109" s="2">
        <f t="shared" si="10"/>
        <v>0</v>
      </c>
      <c r="M109" s="2"/>
      <c r="N109" s="22">
        <f t="shared" si="11"/>
        <v>0</v>
      </c>
      <c r="O109" s="11"/>
      <c r="P109" s="2">
        <v>19071.350000000002</v>
      </c>
      <c r="Q109" s="2"/>
      <c r="R109" s="22">
        <f t="shared" si="12"/>
        <v>2.8872992934235657E-3</v>
      </c>
      <c r="S109" s="2"/>
      <c r="T109" s="2"/>
      <c r="U109" s="2"/>
      <c r="V109" s="22">
        <f t="shared" si="13"/>
        <v>0</v>
      </c>
      <c r="W109" s="2"/>
      <c r="X109" s="2">
        <f t="shared" si="14"/>
        <v>19071.350000000002</v>
      </c>
      <c r="Y109" s="2"/>
      <c r="Z109" s="22">
        <f t="shared" si="15"/>
        <v>0</v>
      </c>
    </row>
    <row r="110" spans="1:26" s="24" customFormat="1" hidden="1" outlineLevel="1" x14ac:dyDescent="0.35">
      <c r="A110" s="51"/>
      <c r="B110" s="11" t="str">
        <f>CONCATENATE("          ", "5028", " - ", "PURCHASES @ COST-ART/TECH")</f>
        <v xml:space="preserve">          5028 - PURCHASES @ COST-ART/TECH</v>
      </c>
      <c r="C110" s="11"/>
      <c r="D110" s="2"/>
      <c r="E110" s="2"/>
      <c r="F110" s="22">
        <f t="shared" si="8"/>
        <v>0</v>
      </c>
      <c r="G110" s="2"/>
      <c r="H110" s="2"/>
      <c r="I110" s="2"/>
      <c r="J110" s="22">
        <f t="shared" si="9"/>
        <v>0</v>
      </c>
      <c r="K110" s="2"/>
      <c r="L110" s="2">
        <f t="shared" si="10"/>
        <v>0</v>
      </c>
      <c r="M110" s="2"/>
      <c r="N110" s="22">
        <f t="shared" si="11"/>
        <v>0</v>
      </c>
      <c r="O110" s="11"/>
      <c r="P110" s="2">
        <v>41358.449999999997</v>
      </c>
      <c r="Q110" s="2"/>
      <c r="R110" s="22">
        <f t="shared" si="12"/>
        <v>6.2614457530323674E-3</v>
      </c>
      <c r="S110" s="2"/>
      <c r="T110" s="2"/>
      <c r="U110" s="2"/>
      <c r="V110" s="22">
        <f t="shared" si="13"/>
        <v>0</v>
      </c>
      <c r="W110" s="2"/>
      <c r="X110" s="2">
        <f t="shared" si="14"/>
        <v>41358.449999999997</v>
      </c>
      <c r="Y110" s="2"/>
      <c r="Z110" s="22">
        <f t="shared" si="15"/>
        <v>0</v>
      </c>
    </row>
    <row r="111" spans="1:26" s="24" customFormat="1" hidden="1" outlineLevel="1" x14ac:dyDescent="0.35">
      <c r="A111" s="51"/>
      <c r="B111" s="11" t="str">
        <f>CONCATENATE("          ", "5031", " - ", "PURCHASES @ COST-FOOD")</f>
        <v xml:space="preserve">          5031 - PURCHASES @ COST-FOOD</v>
      </c>
      <c r="C111" s="11"/>
      <c r="D111" s="2">
        <v>239.16</v>
      </c>
      <c r="E111" s="2"/>
      <c r="F111" s="22">
        <f t="shared" si="8"/>
        <v>1.6354787001226779E-4</v>
      </c>
      <c r="G111" s="2"/>
      <c r="H111" s="2"/>
      <c r="I111" s="2"/>
      <c r="J111" s="22">
        <f t="shared" si="9"/>
        <v>0</v>
      </c>
      <c r="K111" s="2"/>
      <c r="L111" s="2">
        <f t="shared" si="10"/>
        <v>239.16</v>
      </c>
      <c r="M111" s="2"/>
      <c r="N111" s="22">
        <f t="shared" si="11"/>
        <v>0</v>
      </c>
      <c r="O111" s="11"/>
      <c r="P111" s="2">
        <v>7514.26</v>
      </c>
      <c r="Q111" s="2"/>
      <c r="R111" s="22">
        <f t="shared" si="12"/>
        <v>1.1376183431482806E-3</v>
      </c>
      <c r="S111" s="2"/>
      <c r="T111" s="2"/>
      <c r="U111" s="2"/>
      <c r="V111" s="22">
        <f t="shared" si="13"/>
        <v>0</v>
      </c>
      <c r="W111" s="2"/>
      <c r="X111" s="2">
        <f t="shared" si="14"/>
        <v>7514.26</v>
      </c>
      <c r="Y111" s="2"/>
      <c r="Z111" s="22">
        <f t="shared" si="15"/>
        <v>0</v>
      </c>
    </row>
    <row r="112" spans="1:26" s="24" customFormat="1" hidden="1" outlineLevel="1" x14ac:dyDescent="0.35">
      <c r="A112" s="51"/>
      <c r="B112" s="11" t="str">
        <f>CONCATENATE("          ", "5040", " - ", "PURCHASES @ COST-LOGO CLOTHING")</f>
        <v xml:space="preserve">          5040 - PURCHASES @ COST-LOGO CLOTHING</v>
      </c>
      <c r="C112" s="11"/>
      <c r="D112" s="2">
        <v>34900.79</v>
      </c>
      <c r="E112" s="2"/>
      <c r="F112" s="22">
        <f t="shared" si="8"/>
        <v>2.3866657744796186E-2</v>
      </c>
      <c r="G112" s="2"/>
      <c r="H112" s="2"/>
      <c r="I112" s="2"/>
      <c r="J112" s="22">
        <f t="shared" si="9"/>
        <v>0</v>
      </c>
      <c r="K112" s="2"/>
      <c r="L112" s="2">
        <f t="shared" si="10"/>
        <v>34900.79</v>
      </c>
      <c r="M112" s="2"/>
      <c r="N112" s="22">
        <f t="shared" si="11"/>
        <v>0</v>
      </c>
      <c r="O112" s="11"/>
      <c r="P112" s="2">
        <v>167371.19</v>
      </c>
      <c r="Q112" s="2"/>
      <c r="R112" s="22">
        <f t="shared" si="12"/>
        <v>2.5339093384918281E-2</v>
      </c>
      <c r="S112" s="2"/>
      <c r="T112" s="2"/>
      <c r="U112" s="2"/>
      <c r="V112" s="22">
        <f t="shared" si="13"/>
        <v>0</v>
      </c>
      <c r="W112" s="2"/>
      <c r="X112" s="2">
        <f t="shared" si="14"/>
        <v>167371.19</v>
      </c>
      <c r="Y112" s="2"/>
      <c r="Z112" s="22">
        <f t="shared" si="15"/>
        <v>0</v>
      </c>
    </row>
    <row r="113" spans="1:26" s="24" customFormat="1" hidden="1" outlineLevel="1" x14ac:dyDescent="0.35">
      <c r="A113" s="51"/>
      <c r="B113" s="11" t="str">
        <f>CONCATENATE("          ", "5041", " - ", "PURCHASES @ COST-LOGO GIFTS")</f>
        <v xml:space="preserve">          5041 - PURCHASES @ COST-LOGO GIFTS</v>
      </c>
      <c r="C113" s="11"/>
      <c r="D113" s="2">
        <v>8769.24</v>
      </c>
      <c r="E113" s="2"/>
      <c r="F113" s="22">
        <f t="shared" si="8"/>
        <v>5.9967825874994943E-3</v>
      </c>
      <c r="G113" s="2"/>
      <c r="H113" s="2"/>
      <c r="I113" s="2"/>
      <c r="J113" s="22">
        <f t="shared" si="9"/>
        <v>0</v>
      </c>
      <c r="K113" s="2"/>
      <c r="L113" s="2">
        <f t="shared" si="10"/>
        <v>8769.24</v>
      </c>
      <c r="M113" s="2"/>
      <c r="N113" s="22">
        <f t="shared" si="11"/>
        <v>0</v>
      </c>
      <c r="O113" s="11"/>
      <c r="P113" s="2">
        <v>40971</v>
      </c>
      <c r="Q113" s="2"/>
      <c r="R113" s="22">
        <f t="shared" si="12"/>
        <v>6.2027879175232427E-3</v>
      </c>
      <c r="S113" s="2"/>
      <c r="T113" s="2"/>
      <c r="U113" s="2"/>
      <c r="V113" s="22">
        <f t="shared" si="13"/>
        <v>0</v>
      </c>
      <c r="W113" s="2"/>
      <c r="X113" s="2">
        <f t="shared" si="14"/>
        <v>40971</v>
      </c>
      <c r="Y113" s="2"/>
      <c r="Z113" s="22">
        <f t="shared" si="15"/>
        <v>0</v>
      </c>
    </row>
    <row r="114" spans="1:26" s="24" customFormat="1" hidden="1" outlineLevel="1" x14ac:dyDescent="0.35">
      <c r="A114" s="51"/>
      <c r="B114" s="11" t="str">
        <f>CONCATENATE("          ", "5042", " - ", "PURCHASES @ COST-EVERYDAY GIFT")</f>
        <v xml:space="preserve">          5042 - PURCHASES @ COST-EVERYDAY GIFT</v>
      </c>
      <c r="C114" s="11"/>
      <c r="D114" s="2">
        <v>6760.7</v>
      </c>
      <c r="E114" s="2"/>
      <c r="F114" s="22">
        <f t="shared" si="8"/>
        <v>4.623256751931505E-3</v>
      </c>
      <c r="G114" s="2"/>
      <c r="H114" s="2"/>
      <c r="I114" s="2"/>
      <c r="J114" s="22">
        <f t="shared" si="9"/>
        <v>0</v>
      </c>
      <c r="K114" s="2"/>
      <c r="L114" s="2">
        <f t="shared" si="10"/>
        <v>6760.7</v>
      </c>
      <c r="M114" s="2"/>
      <c r="N114" s="22">
        <f t="shared" si="11"/>
        <v>0</v>
      </c>
      <c r="O114" s="11"/>
      <c r="P114" s="2">
        <v>17821.98</v>
      </c>
      <c r="Q114" s="2"/>
      <c r="R114" s="22">
        <f t="shared" si="12"/>
        <v>2.6981514293119738E-3</v>
      </c>
      <c r="S114" s="2"/>
      <c r="T114" s="2"/>
      <c r="U114" s="2"/>
      <c r="V114" s="22">
        <f t="shared" si="13"/>
        <v>0</v>
      </c>
      <c r="W114" s="2"/>
      <c r="X114" s="2">
        <f t="shared" si="14"/>
        <v>17821.98</v>
      </c>
      <c r="Y114" s="2"/>
      <c r="Z114" s="22">
        <f t="shared" si="15"/>
        <v>0</v>
      </c>
    </row>
    <row r="115" spans="1:26" s="24" customFormat="1" hidden="1" outlineLevel="1" x14ac:dyDescent="0.35">
      <c r="A115" s="51"/>
      <c r="B115" s="11" t="str">
        <f>CONCATENATE("          ", "5043", " - ", "PURCHASES @ COST-CARDS")</f>
        <v xml:space="preserve">          5043 - PURCHASES @ COST-CARDS</v>
      </c>
      <c r="C115" s="11"/>
      <c r="D115" s="2">
        <v>8743.1</v>
      </c>
      <c r="E115" s="2"/>
      <c r="F115" s="22">
        <f t="shared" si="8"/>
        <v>5.9789069338696205E-3</v>
      </c>
      <c r="G115" s="2"/>
      <c r="H115" s="2"/>
      <c r="I115" s="2"/>
      <c r="J115" s="22">
        <f t="shared" si="9"/>
        <v>0</v>
      </c>
      <c r="K115" s="2"/>
      <c r="L115" s="2">
        <f t="shared" si="10"/>
        <v>8743.1</v>
      </c>
      <c r="M115" s="2"/>
      <c r="N115" s="22">
        <f t="shared" si="11"/>
        <v>0</v>
      </c>
      <c r="O115" s="11"/>
      <c r="P115" s="2">
        <v>55364.33</v>
      </c>
      <c r="Q115" s="2"/>
      <c r="R115" s="22">
        <f t="shared" si="12"/>
        <v>8.3818602715523081E-3</v>
      </c>
      <c r="S115" s="2"/>
      <c r="T115" s="2"/>
      <c r="U115" s="2"/>
      <c r="V115" s="22">
        <f t="shared" si="13"/>
        <v>0</v>
      </c>
      <c r="W115" s="2"/>
      <c r="X115" s="2">
        <f t="shared" si="14"/>
        <v>55364.33</v>
      </c>
      <c r="Y115" s="2"/>
      <c r="Z115" s="22">
        <f t="shared" si="15"/>
        <v>0</v>
      </c>
    </row>
    <row r="116" spans="1:26" s="24" customFormat="1" hidden="1" outlineLevel="1" x14ac:dyDescent="0.35">
      <c r="A116" s="51"/>
      <c r="B116" s="11" t="str">
        <f>CONCATENATE("          ", "5044", " - ", "PURCHASES @ COST-ACCESSORIES")</f>
        <v xml:space="preserve">          5044 - PURCHASES @ COST-ACCESSORIES</v>
      </c>
      <c r="C116" s="11"/>
      <c r="D116" s="2">
        <v>782.5</v>
      </c>
      <c r="E116" s="2"/>
      <c r="F116" s="22">
        <f t="shared" si="8"/>
        <v>5.3510707595166222E-4</v>
      </c>
      <c r="G116" s="2"/>
      <c r="H116" s="2"/>
      <c r="I116" s="2"/>
      <c r="J116" s="22">
        <f t="shared" si="9"/>
        <v>0</v>
      </c>
      <c r="K116" s="2"/>
      <c r="L116" s="2">
        <f t="shared" si="10"/>
        <v>782.5</v>
      </c>
      <c r="M116" s="2"/>
      <c r="N116" s="22">
        <f t="shared" si="11"/>
        <v>0</v>
      </c>
      <c r="O116" s="11"/>
      <c r="P116" s="2">
        <v>1064.83</v>
      </c>
      <c r="Q116" s="2"/>
      <c r="R116" s="22">
        <f t="shared" si="12"/>
        <v>1.6120950570443177E-4</v>
      </c>
      <c r="S116" s="2"/>
      <c r="T116" s="2"/>
      <c r="U116" s="2"/>
      <c r="V116" s="22">
        <f t="shared" si="13"/>
        <v>0</v>
      </c>
      <c r="W116" s="2"/>
      <c r="X116" s="2">
        <f t="shared" si="14"/>
        <v>1064.83</v>
      </c>
      <c r="Y116" s="2"/>
      <c r="Z116" s="22">
        <f t="shared" si="15"/>
        <v>0</v>
      </c>
    </row>
    <row r="117" spans="1:26" s="24" customFormat="1" hidden="1" outlineLevel="1" x14ac:dyDescent="0.35">
      <c r="A117" s="51"/>
      <c r="B117" s="11" t="str">
        <f>CONCATENATE("          ", "5045", " - ", "PURCHASES @ COST-SPECIAL ORDER")</f>
        <v xml:space="preserve">          5045 - PURCHASES @ COST-SPECIAL ORDER</v>
      </c>
      <c r="C117" s="11"/>
      <c r="D117" s="2">
        <v>5855.38</v>
      </c>
      <c r="E117" s="2"/>
      <c r="F117" s="22">
        <f t="shared" si="8"/>
        <v>4.0041600899499603E-3</v>
      </c>
      <c r="G117" s="2"/>
      <c r="H117" s="2"/>
      <c r="I117" s="2"/>
      <c r="J117" s="22">
        <f t="shared" si="9"/>
        <v>0</v>
      </c>
      <c r="K117" s="2"/>
      <c r="L117" s="2">
        <f t="shared" si="10"/>
        <v>5855.38</v>
      </c>
      <c r="M117" s="2"/>
      <c r="N117" s="22">
        <f t="shared" si="11"/>
        <v>0</v>
      </c>
      <c r="O117" s="11"/>
      <c r="P117" s="2">
        <v>93464.38</v>
      </c>
      <c r="Q117" s="2"/>
      <c r="R117" s="22">
        <f t="shared" si="12"/>
        <v>1.4150001878958313E-2</v>
      </c>
      <c r="S117" s="2"/>
      <c r="T117" s="2"/>
      <c r="U117" s="2"/>
      <c r="V117" s="22">
        <f t="shared" si="13"/>
        <v>0</v>
      </c>
      <c r="W117" s="2"/>
      <c r="X117" s="2">
        <f t="shared" si="14"/>
        <v>93464.38</v>
      </c>
      <c r="Y117" s="2"/>
      <c r="Z117" s="22">
        <f t="shared" si="15"/>
        <v>0</v>
      </c>
    </row>
    <row r="118" spans="1:26" s="24" customFormat="1" hidden="1" outlineLevel="1" x14ac:dyDescent="0.35">
      <c r="A118" s="51"/>
      <c r="B118" s="11" t="str">
        <f>CONCATENATE("          ", "5053", " - ", "PURCHASES @ COST-FOOD")</f>
        <v xml:space="preserve">          5053 - PURCHASES @ COST-FOOD</v>
      </c>
      <c r="C118" s="11"/>
      <c r="D118" s="2">
        <v>30627.69</v>
      </c>
      <c r="E118" s="2"/>
      <c r="F118" s="22">
        <f t="shared" si="8"/>
        <v>2.094452861220954E-2</v>
      </c>
      <c r="G118" s="2"/>
      <c r="H118" s="2"/>
      <c r="I118" s="2"/>
      <c r="J118" s="22">
        <f t="shared" si="9"/>
        <v>0</v>
      </c>
      <c r="K118" s="2"/>
      <c r="L118" s="2">
        <f t="shared" si="10"/>
        <v>30627.69</v>
      </c>
      <c r="M118" s="2"/>
      <c r="N118" s="22">
        <f t="shared" si="11"/>
        <v>0</v>
      </c>
      <c r="O118" s="11"/>
      <c r="P118" s="2">
        <v>297700.40000000002</v>
      </c>
      <c r="Q118" s="2"/>
      <c r="R118" s="22">
        <f t="shared" si="12"/>
        <v>4.5070231240678445E-2</v>
      </c>
      <c r="S118" s="2"/>
      <c r="T118" s="2"/>
      <c r="U118" s="2"/>
      <c r="V118" s="22">
        <f t="shared" si="13"/>
        <v>0</v>
      </c>
      <c r="W118" s="2"/>
      <c r="X118" s="2">
        <f t="shared" si="14"/>
        <v>297700.40000000002</v>
      </c>
      <c r="Y118" s="2"/>
      <c r="Z118" s="22">
        <f t="shared" si="15"/>
        <v>0</v>
      </c>
    </row>
    <row r="119" spans="1:26" s="24" customFormat="1" hidden="1" outlineLevel="1" x14ac:dyDescent="0.35">
      <c r="A119" s="51"/>
      <c r="B119" s="11" t="str">
        <f>CONCATENATE("          ", "5059", " - ", "PURCHASES @ COST-FOOD")</f>
        <v xml:space="preserve">          5059 - PURCHASES @ COST-FOOD</v>
      </c>
      <c r="C119" s="11"/>
      <c r="D119" s="2">
        <v>2417</v>
      </c>
      <c r="E119" s="2"/>
      <c r="F119" s="22">
        <f t="shared" si="8"/>
        <v>1.6528483100002142E-3</v>
      </c>
      <c r="G119" s="2"/>
      <c r="H119" s="2"/>
      <c r="I119" s="2"/>
      <c r="J119" s="22">
        <f t="shared" si="9"/>
        <v>0</v>
      </c>
      <c r="K119" s="2"/>
      <c r="L119" s="2">
        <f t="shared" si="10"/>
        <v>2417</v>
      </c>
      <c r="M119" s="2"/>
      <c r="N119" s="22">
        <f t="shared" si="11"/>
        <v>0</v>
      </c>
      <c r="O119" s="11"/>
      <c r="P119" s="2">
        <v>14195.29</v>
      </c>
      <c r="Q119" s="2"/>
      <c r="R119" s="22">
        <f t="shared" si="12"/>
        <v>2.1490901686006814E-3</v>
      </c>
      <c r="S119" s="2"/>
      <c r="T119" s="2"/>
      <c r="U119" s="2"/>
      <c r="V119" s="22">
        <f t="shared" si="13"/>
        <v>0</v>
      </c>
      <c r="W119" s="2"/>
      <c r="X119" s="2">
        <f t="shared" si="14"/>
        <v>14195.29</v>
      </c>
      <c r="Y119" s="2"/>
      <c r="Z119" s="22">
        <f t="shared" si="15"/>
        <v>0</v>
      </c>
    </row>
    <row r="120" spans="1:26" s="24" customFormat="1" hidden="1" outlineLevel="1" x14ac:dyDescent="0.35">
      <c r="A120" s="51"/>
      <c r="B120" s="11" t="str">
        <f>CONCATENATE("          ", "5081", " - ", "PURCHASES @ COST-ELECTRONICS")</f>
        <v xml:space="preserve">          5081 - PURCHASES @ COST-ELECTRONICS</v>
      </c>
      <c r="C120" s="11"/>
      <c r="D120" s="2">
        <v>313.26</v>
      </c>
      <c r="E120" s="2"/>
      <c r="F120" s="22">
        <f t="shared" si="8"/>
        <v>2.1422062953689163E-4</v>
      </c>
      <c r="G120" s="2"/>
      <c r="H120" s="2"/>
      <c r="I120" s="2"/>
      <c r="J120" s="22">
        <f t="shared" si="9"/>
        <v>0</v>
      </c>
      <c r="K120" s="2"/>
      <c r="L120" s="2">
        <f t="shared" si="10"/>
        <v>313.26</v>
      </c>
      <c r="M120" s="2"/>
      <c r="N120" s="22">
        <f t="shared" si="11"/>
        <v>0</v>
      </c>
      <c r="O120" s="11"/>
      <c r="P120" s="2">
        <v>25573.769999999997</v>
      </c>
      <c r="Q120" s="2"/>
      <c r="R120" s="22">
        <f t="shared" si="12"/>
        <v>3.8717305304122028E-3</v>
      </c>
      <c r="S120" s="2"/>
      <c r="T120" s="2"/>
      <c r="U120" s="2"/>
      <c r="V120" s="22">
        <f t="shared" si="13"/>
        <v>0</v>
      </c>
      <c r="W120" s="2"/>
      <c r="X120" s="2">
        <f t="shared" si="14"/>
        <v>25573.769999999997</v>
      </c>
      <c r="Y120" s="2"/>
      <c r="Z120" s="22">
        <f t="shared" si="15"/>
        <v>0</v>
      </c>
    </row>
    <row r="121" spans="1:26" s="24" customFormat="1" hidden="1" outlineLevel="1" x14ac:dyDescent="0.35">
      <c r="A121" s="51"/>
      <c r="B121" s="11" t="str">
        <f>CONCATENATE("          ", "5082", " - ", "PURCHASES @ COST-COMPUTER HARD")</f>
        <v xml:space="preserve">          5082 - PURCHASES @ COST-COMPUTER HARD</v>
      </c>
      <c r="C121" s="11"/>
      <c r="D121" s="2">
        <v>98264.71</v>
      </c>
      <c r="E121" s="2"/>
      <c r="F121" s="22">
        <f t="shared" si="8"/>
        <v>6.7197625095639701E-2</v>
      </c>
      <c r="G121" s="2"/>
      <c r="H121" s="2"/>
      <c r="I121" s="2"/>
      <c r="J121" s="22">
        <f t="shared" si="9"/>
        <v>0</v>
      </c>
      <c r="K121" s="2"/>
      <c r="L121" s="2">
        <f t="shared" si="10"/>
        <v>98264.71</v>
      </c>
      <c r="M121" s="2"/>
      <c r="N121" s="22">
        <f t="shared" si="11"/>
        <v>0</v>
      </c>
      <c r="O121" s="11"/>
      <c r="P121" s="2">
        <v>1079201.53</v>
      </c>
      <c r="Q121" s="2"/>
      <c r="R121" s="22">
        <f t="shared" si="12"/>
        <v>0.16338527765630806</v>
      </c>
      <c r="S121" s="2"/>
      <c r="T121" s="2"/>
      <c r="U121" s="2"/>
      <c r="V121" s="22">
        <f t="shared" si="13"/>
        <v>0</v>
      </c>
      <c r="W121" s="2"/>
      <c r="X121" s="2">
        <f t="shared" si="14"/>
        <v>1079201.53</v>
      </c>
      <c r="Y121" s="2"/>
      <c r="Z121" s="22">
        <f t="shared" si="15"/>
        <v>0</v>
      </c>
    </row>
    <row r="122" spans="1:26" s="24" customFormat="1" hidden="1" outlineLevel="1" x14ac:dyDescent="0.35">
      <c r="A122" s="51"/>
      <c r="B122" s="11" t="str">
        <f>CONCATENATE("          ", "5083", " - ", "PURCHASES @ COST-COMPUTER EQUI")</f>
        <v xml:space="preserve">          5083 - PURCHASES @ COST-COMPUTER EQUI</v>
      </c>
      <c r="C122" s="11"/>
      <c r="D122" s="2">
        <v>8829.83</v>
      </c>
      <c r="E122" s="2"/>
      <c r="F122" s="22">
        <f t="shared" si="8"/>
        <v>6.0382166293294131E-3</v>
      </c>
      <c r="G122" s="2"/>
      <c r="H122" s="2"/>
      <c r="I122" s="2"/>
      <c r="J122" s="22">
        <f t="shared" si="9"/>
        <v>0</v>
      </c>
      <c r="K122" s="2"/>
      <c r="L122" s="2">
        <f t="shared" si="10"/>
        <v>8829.83</v>
      </c>
      <c r="M122" s="2"/>
      <c r="N122" s="22">
        <f t="shared" si="11"/>
        <v>0</v>
      </c>
      <c r="O122" s="11"/>
      <c r="P122" s="2">
        <v>90556.67</v>
      </c>
      <c r="Q122" s="2"/>
      <c r="R122" s="22">
        <f t="shared" si="12"/>
        <v>1.3709790303559578E-2</v>
      </c>
      <c r="S122" s="2"/>
      <c r="T122" s="2"/>
      <c r="U122" s="2"/>
      <c r="V122" s="22">
        <f t="shared" si="13"/>
        <v>0</v>
      </c>
      <c r="W122" s="2"/>
      <c r="X122" s="2">
        <f t="shared" si="14"/>
        <v>90556.67</v>
      </c>
      <c r="Y122" s="2"/>
      <c r="Z122" s="22">
        <f t="shared" si="15"/>
        <v>0</v>
      </c>
    </row>
    <row r="123" spans="1:26" s="24" customFormat="1" hidden="1" outlineLevel="1" x14ac:dyDescent="0.35">
      <c r="A123" s="51"/>
      <c r="B123" s="11" t="str">
        <f>CONCATENATE("          ", "5085", " - ", "PURCHASES @ COST-SOFTWARE")</f>
        <v xml:space="preserve">          5085 - PURCHASES @ COST-SOFTWARE</v>
      </c>
      <c r="C123" s="11"/>
      <c r="D123" s="2">
        <v>4174.1400000000003</v>
      </c>
      <c r="E123" s="2"/>
      <c r="F123" s="22">
        <f t="shared" si="8"/>
        <v>2.8544560383551073E-3</v>
      </c>
      <c r="G123" s="2"/>
      <c r="H123" s="2"/>
      <c r="I123" s="2"/>
      <c r="J123" s="22">
        <f t="shared" si="9"/>
        <v>0</v>
      </c>
      <c r="K123" s="2"/>
      <c r="L123" s="2">
        <f t="shared" si="10"/>
        <v>4174.1400000000003</v>
      </c>
      <c r="M123" s="2"/>
      <c r="N123" s="22">
        <f t="shared" si="11"/>
        <v>0</v>
      </c>
      <c r="O123" s="11"/>
      <c r="P123" s="2">
        <v>28746.22</v>
      </c>
      <c r="Q123" s="2"/>
      <c r="R123" s="22">
        <f t="shared" si="12"/>
        <v>4.3520223106701082E-3</v>
      </c>
      <c r="S123" s="2"/>
      <c r="T123" s="2"/>
      <c r="U123" s="2"/>
      <c r="V123" s="22">
        <f t="shared" si="13"/>
        <v>0</v>
      </c>
      <c r="W123" s="2"/>
      <c r="X123" s="2">
        <f t="shared" si="14"/>
        <v>28746.22</v>
      </c>
      <c r="Y123" s="2"/>
      <c r="Z123" s="22">
        <f t="shared" si="15"/>
        <v>0</v>
      </c>
    </row>
    <row r="124" spans="1:26" s="24" customFormat="1" hidden="1" outlineLevel="1" x14ac:dyDescent="0.35">
      <c r="A124" s="51"/>
      <c r="B124" s="11" t="str">
        <f>CONCATENATE("          ", "5086", " - ", "PURCHASES @ COST-COMPUTER SUPP")</f>
        <v xml:space="preserve">          5086 - PURCHASES @ COST-COMPUTER SUPP</v>
      </c>
      <c r="C124" s="11"/>
      <c r="D124" s="2">
        <v>21.24</v>
      </c>
      <c r="E124" s="2"/>
      <c r="F124" s="22">
        <f t="shared" si="8"/>
        <v>1.4524823377908377E-5</v>
      </c>
      <c r="G124" s="2"/>
      <c r="H124" s="2"/>
      <c r="I124" s="2"/>
      <c r="J124" s="22">
        <f t="shared" si="9"/>
        <v>0</v>
      </c>
      <c r="K124" s="2"/>
      <c r="L124" s="2">
        <f t="shared" si="10"/>
        <v>21.24</v>
      </c>
      <c r="M124" s="2"/>
      <c r="N124" s="22">
        <f t="shared" si="11"/>
        <v>0</v>
      </c>
      <c r="O124" s="11"/>
      <c r="P124" s="2">
        <v>22739.85</v>
      </c>
      <c r="Q124" s="2"/>
      <c r="R124" s="22">
        <f t="shared" si="12"/>
        <v>3.4426903621168851E-3</v>
      </c>
      <c r="S124" s="2"/>
      <c r="T124" s="2"/>
      <c r="U124" s="2"/>
      <c r="V124" s="22">
        <f t="shared" si="13"/>
        <v>0</v>
      </c>
      <c r="W124" s="2"/>
      <c r="X124" s="2">
        <f t="shared" si="14"/>
        <v>22739.85</v>
      </c>
      <c r="Y124" s="2"/>
      <c r="Z124" s="22">
        <f t="shared" si="15"/>
        <v>0</v>
      </c>
    </row>
    <row r="125" spans="1:26" s="24" customFormat="1" hidden="1" outlineLevel="1" x14ac:dyDescent="0.35">
      <c r="A125" s="51"/>
      <c r="B125" s="11" t="str">
        <f>CONCATENATE("          ", "5200", " - ", "PURCHASES OFFSET")</f>
        <v xml:space="preserve">          5200 - PURCHASES OFFSET</v>
      </c>
      <c r="C125" s="11"/>
      <c r="D125" s="2">
        <v>-502374.21</v>
      </c>
      <c r="E125" s="2"/>
      <c r="F125" s="22">
        <f t="shared" si="8"/>
        <v>-0.34354504095415506</v>
      </c>
      <c r="G125" s="2"/>
      <c r="H125" s="2"/>
      <c r="I125" s="2"/>
      <c r="J125" s="22">
        <f t="shared" si="9"/>
        <v>0</v>
      </c>
      <c r="K125" s="2"/>
      <c r="L125" s="2">
        <f t="shared" si="10"/>
        <v>-502374.21</v>
      </c>
      <c r="M125" s="2"/>
      <c r="N125" s="22">
        <f t="shared" si="11"/>
        <v>0</v>
      </c>
      <c r="O125" s="11"/>
      <c r="P125" s="2">
        <v>-3379047.18</v>
      </c>
      <c r="Q125" s="2"/>
      <c r="R125" s="22">
        <f t="shared" si="12"/>
        <v>-0.51156947647958273</v>
      </c>
      <c r="S125" s="2"/>
      <c r="T125" s="2"/>
      <c r="U125" s="2"/>
      <c r="V125" s="22">
        <f t="shared" si="13"/>
        <v>0</v>
      </c>
      <c r="W125" s="2"/>
      <c r="X125" s="2">
        <f t="shared" si="14"/>
        <v>-3379047.18</v>
      </c>
      <c r="Y125" s="2"/>
      <c r="Z125" s="22">
        <f t="shared" si="15"/>
        <v>0</v>
      </c>
    </row>
    <row r="126" spans="1:26" s="24" customFormat="1" hidden="1" outlineLevel="1" x14ac:dyDescent="0.35">
      <c r="A126" s="51"/>
      <c r="B126" s="11" t="str">
        <f>CONCATENATE("          ", "5300", " - ", "COG$ OFFSET")</f>
        <v xml:space="preserve">          5300 - COG$ OFFSET</v>
      </c>
      <c r="C126" s="11"/>
      <c r="D126" s="2">
        <v>695026</v>
      </c>
      <c r="E126" s="2"/>
      <c r="F126" s="22">
        <f t="shared" si="8"/>
        <v>0.47528860136789775</v>
      </c>
      <c r="G126" s="2"/>
      <c r="H126" s="2"/>
      <c r="I126" s="2"/>
      <c r="J126" s="22">
        <f t="shared" si="9"/>
        <v>0</v>
      </c>
      <c r="K126" s="2"/>
      <c r="L126" s="2">
        <f t="shared" si="10"/>
        <v>695026</v>
      </c>
      <c r="M126" s="2"/>
      <c r="N126" s="22">
        <f t="shared" si="11"/>
        <v>0</v>
      </c>
      <c r="O126" s="11"/>
      <c r="P126" s="2">
        <v>3298180</v>
      </c>
      <c r="Q126" s="2"/>
      <c r="R126" s="22">
        <f t="shared" si="12"/>
        <v>0.49932662258223642</v>
      </c>
      <c r="S126" s="2"/>
      <c r="T126" s="2"/>
      <c r="U126" s="2"/>
      <c r="V126" s="22">
        <f t="shared" si="13"/>
        <v>0</v>
      </c>
      <c r="W126" s="2"/>
      <c r="X126" s="2">
        <f t="shared" si="14"/>
        <v>3298180</v>
      </c>
      <c r="Y126" s="2"/>
      <c r="Z126" s="22">
        <f t="shared" si="15"/>
        <v>0</v>
      </c>
    </row>
    <row r="127" spans="1:26" s="24" customFormat="1" hidden="1" outlineLevel="1" x14ac:dyDescent="0.35">
      <c r="A127" s="51"/>
      <c r="B127" s="11" t="str">
        <f>CONCATENATE("          ", "5501", " - ", "FREIGHT-IN-NEW TEXT")</f>
        <v xml:space="preserve">          5501 - FREIGHT-IN-NEW TEXT</v>
      </c>
      <c r="C127" s="11"/>
      <c r="D127" s="2">
        <v>7155.21</v>
      </c>
      <c r="E127" s="2"/>
      <c r="F127" s="22">
        <f t="shared" si="8"/>
        <v>4.8930396177892565E-3</v>
      </c>
      <c r="G127" s="2"/>
      <c r="H127" s="2"/>
      <c r="I127" s="2"/>
      <c r="J127" s="22">
        <f t="shared" si="9"/>
        <v>0</v>
      </c>
      <c r="K127" s="2"/>
      <c r="L127" s="2">
        <f t="shared" si="10"/>
        <v>7155.21</v>
      </c>
      <c r="M127" s="2"/>
      <c r="N127" s="22">
        <f t="shared" si="11"/>
        <v>0</v>
      </c>
      <c r="O127" s="11"/>
      <c r="P127" s="2">
        <v>44618.79</v>
      </c>
      <c r="Q127" s="2"/>
      <c r="R127" s="22">
        <f t="shared" si="12"/>
        <v>6.7550436041714113E-3</v>
      </c>
      <c r="S127" s="2"/>
      <c r="T127" s="2"/>
      <c r="U127" s="2"/>
      <c r="V127" s="22">
        <f t="shared" si="13"/>
        <v>0</v>
      </c>
      <c r="W127" s="2"/>
      <c r="X127" s="2">
        <f t="shared" si="14"/>
        <v>44618.79</v>
      </c>
      <c r="Y127" s="2"/>
      <c r="Z127" s="22">
        <f t="shared" si="15"/>
        <v>0</v>
      </c>
    </row>
    <row r="128" spans="1:26" s="24" customFormat="1" hidden="1" outlineLevel="1" x14ac:dyDescent="0.35">
      <c r="A128" s="51"/>
      <c r="B128" s="11" t="str">
        <f>CONCATENATE("          ", "5502", " - ", "FREIGHT-IN-USED TEXT")</f>
        <v xml:space="preserve">          5502 - FREIGHT-IN-USED TEXT</v>
      </c>
      <c r="C128" s="11"/>
      <c r="D128" s="2">
        <v>2129.7399999999998</v>
      </c>
      <c r="E128" s="2"/>
      <c r="F128" s="22">
        <f t="shared" si="8"/>
        <v>1.4564075960859975E-3</v>
      </c>
      <c r="G128" s="2"/>
      <c r="H128" s="2"/>
      <c r="I128" s="2"/>
      <c r="J128" s="22">
        <f t="shared" si="9"/>
        <v>0</v>
      </c>
      <c r="K128" s="2"/>
      <c r="L128" s="2">
        <f t="shared" si="10"/>
        <v>2129.7399999999998</v>
      </c>
      <c r="M128" s="2"/>
      <c r="N128" s="22">
        <f t="shared" si="11"/>
        <v>0</v>
      </c>
      <c r="O128" s="11"/>
      <c r="P128" s="2">
        <v>15652.310000000001</v>
      </c>
      <c r="Q128" s="2"/>
      <c r="R128" s="22">
        <f t="shared" si="12"/>
        <v>2.3696751201905796E-3</v>
      </c>
      <c r="S128" s="2"/>
      <c r="T128" s="2"/>
      <c r="U128" s="2"/>
      <c r="V128" s="22">
        <f t="shared" si="13"/>
        <v>0</v>
      </c>
      <c r="W128" s="2"/>
      <c r="X128" s="2">
        <f t="shared" si="14"/>
        <v>15652.310000000001</v>
      </c>
      <c r="Y128" s="2"/>
      <c r="Z128" s="22">
        <f t="shared" si="15"/>
        <v>0</v>
      </c>
    </row>
    <row r="129" spans="1:26" s="24" customFormat="1" hidden="1" outlineLevel="1" x14ac:dyDescent="0.35">
      <c r="A129" s="51"/>
      <c r="B129" s="11" t="str">
        <f>CONCATENATE("          ", "5504", " - ", "FREIGHT-IN-DIGITAL TEXT")</f>
        <v xml:space="preserve">          5504 - FREIGHT-IN-DIGITAL TEXT</v>
      </c>
      <c r="C129" s="11"/>
      <c r="D129" s="2"/>
      <c r="E129" s="2"/>
      <c r="F129" s="22">
        <f t="shared" si="8"/>
        <v>0</v>
      </c>
      <c r="G129" s="2"/>
      <c r="H129" s="2"/>
      <c r="I129" s="2"/>
      <c r="J129" s="22">
        <f t="shared" si="9"/>
        <v>0</v>
      </c>
      <c r="K129" s="2"/>
      <c r="L129" s="2">
        <f t="shared" si="10"/>
        <v>0</v>
      </c>
      <c r="M129" s="2"/>
      <c r="N129" s="22">
        <f t="shared" si="11"/>
        <v>0</v>
      </c>
      <c r="O129" s="11"/>
      <c r="P129" s="2">
        <v>21.98</v>
      </c>
      <c r="Q129" s="2"/>
      <c r="R129" s="22">
        <f t="shared" si="12"/>
        <v>3.3276531797408138E-6</v>
      </c>
      <c r="S129" s="2"/>
      <c r="T129" s="2"/>
      <c r="U129" s="2"/>
      <c r="V129" s="22">
        <f t="shared" si="13"/>
        <v>0</v>
      </c>
      <c r="W129" s="2"/>
      <c r="X129" s="2">
        <f t="shared" si="14"/>
        <v>21.98</v>
      </c>
      <c r="Y129" s="2"/>
      <c r="Z129" s="22">
        <f t="shared" si="15"/>
        <v>0</v>
      </c>
    </row>
    <row r="130" spans="1:26" s="24" customFormat="1" hidden="1" outlineLevel="1" x14ac:dyDescent="0.35">
      <c r="A130" s="51"/>
      <c r="B130" s="11" t="str">
        <f>CONCATENATE("          ", "5513", " - ", "FREIGHT-IN-TRADE BOOKS")</f>
        <v xml:space="preserve">          5513 - FREIGHT-IN-TRADE BOOKS</v>
      </c>
      <c r="C130" s="11"/>
      <c r="D130" s="2">
        <v>7.06</v>
      </c>
      <c r="E130" s="2"/>
      <c r="F130" s="22">
        <f t="shared" si="8"/>
        <v>4.827930934464837E-6</v>
      </c>
      <c r="G130" s="2"/>
      <c r="H130" s="2"/>
      <c r="I130" s="2"/>
      <c r="J130" s="22">
        <f t="shared" si="9"/>
        <v>0</v>
      </c>
      <c r="K130" s="2"/>
      <c r="L130" s="2">
        <f t="shared" si="10"/>
        <v>7.06</v>
      </c>
      <c r="M130" s="2"/>
      <c r="N130" s="22">
        <f t="shared" si="11"/>
        <v>0</v>
      </c>
      <c r="O130" s="11"/>
      <c r="P130" s="2">
        <v>33.520000000000003</v>
      </c>
      <c r="Q130" s="2"/>
      <c r="R130" s="22">
        <f t="shared" si="12"/>
        <v>5.0747467964018238E-6</v>
      </c>
      <c r="S130" s="2"/>
      <c r="T130" s="2"/>
      <c r="U130" s="2"/>
      <c r="V130" s="22">
        <f t="shared" si="13"/>
        <v>0</v>
      </c>
      <c r="W130" s="2"/>
      <c r="X130" s="2">
        <f t="shared" si="14"/>
        <v>33.520000000000003</v>
      </c>
      <c r="Y130" s="2"/>
      <c r="Z130" s="22">
        <f t="shared" si="15"/>
        <v>0</v>
      </c>
    </row>
    <row r="131" spans="1:26" s="24" customFormat="1" hidden="1" outlineLevel="1" x14ac:dyDescent="0.35">
      <c r="A131" s="51"/>
      <c r="B131" s="11" t="str">
        <f>CONCATENATE("          ", "5525", " - ", "FREIGHT-IN-TEST FORMS")</f>
        <v xml:space="preserve">          5525 - FREIGHT-IN-TEST FORMS</v>
      </c>
      <c r="C131" s="11"/>
      <c r="D131" s="2"/>
      <c r="E131" s="2"/>
      <c r="F131" s="22">
        <f t="shared" si="8"/>
        <v>0</v>
      </c>
      <c r="G131" s="2"/>
      <c r="H131" s="2"/>
      <c r="I131" s="2"/>
      <c r="J131" s="22">
        <f t="shared" si="9"/>
        <v>0</v>
      </c>
      <c r="K131" s="2"/>
      <c r="L131" s="2">
        <f t="shared" si="10"/>
        <v>0</v>
      </c>
      <c r="M131" s="2"/>
      <c r="N131" s="22">
        <f t="shared" si="11"/>
        <v>0</v>
      </c>
      <c r="O131" s="11"/>
      <c r="P131" s="2">
        <v>48.14</v>
      </c>
      <c r="Q131" s="2"/>
      <c r="R131" s="22">
        <f t="shared" si="12"/>
        <v>7.2881357630902073E-6</v>
      </c>
      <c r="S131" s="2"/>
      <c r="T131" s="2"/>
      <c r="U131" s="2"/>
      <c r="V131" s="22">
        <f t="shared" si="13"/>
        <v>0</v>
      </c>
      <c r="W131" s="2"/>
      <c r="X131" s="2">
        <f t="shared" si="14"/>
        <v>48.14</v>
      </c>
      <c r="Y131" s="2"/>
      <c r="Z131" s="22">
        <f t="shared" si="15"/>
        <v>0</v>
      </c>
    </row>
    <row r="132" spans="1:26" s="24" customFormat="1" hidden="1" outlineLevel="1" x14ac:dyDescent="0.35">
      <c r="A132" s="51"/>
      <c r="B132" s="11" t="str">
        <f>CONCATENATE("          ", "5527", " - ", "FREIGHT-IN-SCHOOL SUPPLIES")</f>
        <v xml:space="preserve">          5527 - FREIGHT-IN-SCHOOL SUPPLIES</v>
      </c>
      <c r="C132" s="11"/>
      <c r="D132" s="2"/>
      <c r="E132" s="2"/>
      <c r="F132" s="22">
        <f t="shared" si="8"/>
        <v>0</v>
      </c>
      <c r="G132" s="2"/>
      <c r="H132" s="2"/>
      <c r="I132" s="2"/>
      <c r="J132" s="22">
        <f t="shared" si="9"/>
        <v>0</v>
      </c>
      <c r="K132" s="2"/>
      <c r="L132" s="2">
        <f t="shared" si="10"/>
        <v>0</v>
      </c>
      <c r="M132" s="2"/>
      <c r="N132" s="22">
        <f t="shared" si="11"/>
        <v>0</v>
      </c>
      <c r="O132" s="11"/>
      <c r="P132" s="2">
        <v>177.5</v>
      </c>
      <c r="Q132" s="2"/>
      <c r="R132" s="22">
        <f t="shared" si="12"/>
        <v>2.6872540464239964E-5</v>
      </c>
      <c r="S132" s="2"/>
      <c r="T132" s="2"/>
      <c r="U132" s="2"/>
      <c r="V132" s="22">
        <f t="shared" si="13"/>
        <v>0</v>
      </c>
      <c r="W132" s="2"/>
      <c r="X132" s="2">
        <f t="shared" si="14"/>
        <v>177.5</v>
      </c>
      <c r="Y132" s="2"/>
      <c r="Z132" s="22">
        <f t="shared" si="15"/>
        <v>0</v>
      </c>
    </row>
    <row r="133" spans="1:26" s="24" customFormat="1" hidden="1" outlineLevel="1" x14ac:dyDescent="0.35">
      <c r="A133" s="51"/>
      <c r="B133" s="11" t="str">
        <f>CONCATENATE("          ", "5528", " - ", "FREIGHT-IN-ART/TECH")</f>
        <v xml:space="preserve">          5528 - FREIGHT-IN-ART/TECH</v>
      </c>
      <c r="C133" s="11"/>
      <c r="D133" s="2">
        <v>48.53</v>
      </c>
      <c r="E133" s="2"/>
      <c r="F133" s="22">
        <f t="shared" si="8"/>
        <v>3.3186896352631527E-5</v>
      </c>
      <c r="G133" s="2"/>
      <c r="H133" s="2"/>
      <c r="I133" s="2"/>
      <c r="J133" s="22">
        <f t="shared" si="9"/>
        <v>0</v>
      </c>
      <c r="K133" s="2"/>
      <c r="L133" s="2">
        <f t="shared" si="10"/>
        <v>48.53</v>
      </c>
      <c r="M133" s="2"/>
      <c r="N133" s="22">
        <f t="shared" si="11"/>
        <v>0</v>
      </c>
      <c r="O133" s="11"/>
      <c r="P133" s="2">
        <v>338.74</v>
      </c>
      <c r="Q133" s="2"/>
      <c r="R133" s="22">
        <f t="shared" si="12"/>
        <v>5.1283404827361381E-5</v>
      </c>
      <c r="S133" s="2"/>
      <c r="T133" s="2"/>
      <c r="U133" s="2"/>
      <c r="V133" s="22">
        <f t="shared" si="13"/>
        <v>0</v>
      </c>
      <c r="W133" s="2"/>
      <c r="X133" s="2">
        <f t="shared" si="14"/>
        <v>338.74</v>
      </c>
      <c r="Y133" s="2"/>
      <c r="Z133" s="22">
        <f t="shared" si="15"/>
        <v>0</v>
      </c>
    </row>
    <row r="134" spans="1:26" s="24" customFormat="1" hidden="1" outlineLevel="1" x14ac:dyDescent="0.35">
      <c r="A134" s="51"/>
      <c r="B134" s="11" t="str">
        <f>CONCATENATE("          ", "5540", " - ", "FREIGHT-IN-LOGO CLOTHING")</f>
        <v xml:space="preserve">          5540 - FREIGHT-IN-LOGO CLOTHING</v>
      </c>
      <c r="C134" s="11"/>
      <c r="D134" s="2">
        <v>347.67</v>
      </c>
      <c r="E134" s="2"/>
      <c r="F134" s="22">
        <f t="shared" si="8"/>
        <v>2.377516640205935E-4</v>
      </c>
      <c r="G134" s="2"/>
      <c r="H134" s="2"/>
      <c r="I134" s="2"/>
      <c r="J134" s="22">
        <f t="shared" si="9"/>
        <v>0</v>
      </c>
      <c r="K134" s="2"/>
      <c r="L134" s="2">
        <f t="shared" si="10"/>
        <v>347.67</v>
      </c>
      <c r="M134" s="2"/>
      <c r="N134" s="22">
        <f t="shared" si="11"/>
        <v>0</v>
      </c>
      <c r="O134" s="11"/>
      <c r="P134" s="2">
        <v>5790.63</v>
      </c>
      <c r="Q134" s="2"/>
      <c r="R134" s="22">
        <f t="shared" si="12"/>
        <v>8.7667007880812319E-4</v>
      </c>
      <c r="S134" s="2"/>
      <c r="T134" s="2"/>
      <c r="U134" s="2"/>
      <c r="V134" s="22">
        <f t="shared" si="13"/>
        <v>0</v>
      </c>
      <c r="W134" s="2"/>
      <c r="X134" s="2">
        <f t="shared" si="14"/>
        <v>5790.63</v>
      </c>
      <c r="Y134" s="2"/>
      <c r="Z134" s="22">
        <f t="shared" si="15"/>
        <v>0</v>
      </c>
    </row>
    <row r="135" spans="1:26" s="24" customFormat="1" hidden="1" outlineLevel="1" x14ac:dyDescent="0.35">
      <c r="A135" s="51"/>
      <c r="B135" s="11" t="str">
        <f>CONCATENATE("          ", "5541", " - ", "FREIGHT-IN-LOGO GIFTS")</f>
        <v xml:space="preserve">          5541 - FREIGHT-IN-LOGO GIFTS</v>
      </c>
      <c r="C135" s="11"/>
      <c r="D135" s="2">
        <v>182.93</v>
      </c>
      <c r="E135" s="2"/>
      <c r="F135" s="22">
        <f t="shared" si="8"/>
        <v>1.2509538326369019E-4</v>
      </c>
      <c r="G135" s="2"/>
      <c r="H135" s="2"/>
      <c r="I135" s="2"/>
      <c r="J135" s="22">
        <f t="shared" si="9"/>
        <v>0</v>
      </c>
      <c r="K135" s="2"/>
      <c r="L135" s="2">
        <f t="shared" si="10"/>
        <v>182.93</v>
      </c>
      <c r="M135" s="2"/>
      <c r="N135" s="22">
        <f t="shared" si="11"/>
        <v>0</v>
      </c>
      <c r="O135" s="11"/>
      <c r="P135" s="2">
        <v>1702.87</v>
      </c>
      <c r="Q135" s="2"/>
      <c r="R135" s="22">
        <f t="shared" si="12"/>
        <v>2.5780531256529749E-4</v>
      </c>
      <c r="S135" s="2"/>
      <c r="T135" s="2"/>
      <c r="U135" s="2"/>
      <c r="V135" s="22">
        <f t="shared" si="13"/>
        <v>0</v>
      </c>
      <c r="W135" s="2"/>
      <c r="X135" s="2">
        <f t="shared" si="14"/>
        <v>1702.87</v>
      </c>
      <c r="Y135" s="2"/>
      <c r="Z135" s="22">
        <f t="shared" si="15"/>
        <v>0</v>
      </c>
    </row>
    <row r="136" spans="1:26" s="24" customFormat="1" hidden="1" outlineLevel="1" x14ac:dyDescent="0.35">
      <c r="A136" s="51"/>
      <c r="B136" s="11" t="str">
        <f>CONCATENATE("          ", "5542", " - ", "FREIGHT-IN-EVERYDAY GIFTS")</f>
        <v xml:space="preserve">          5542 - FREIGHT-IN-EVERYDAY GIFTS</v>
      </c>
      <c r="C136" s="11"/>
      <c r="D136" s="2">
        <v>187.38</v>
      </c>
      <c r="E136" s="2"/>
      <c r="F136" s="22">
        <f t="shared" si="8"/>
        <v>1.2813848420680188E-4</v>
      </c>
      <c r="G136" s="2"/>
      <c r="H136" s="2"/>
      <c r="I136" s="2"/>
      <c r="J136" s="22">
        <f t="shared" si="9"/>
        <v>0</v>
      </c>
      <c r="K136" s="2"/>
      <c r="L136" s="2">
        <f t="shared" si="10"/>
        <v>187.38</v>
      </c>
      <c r="M136" s="2"/>
      <c r="N136" s="22">
        <f t="shared" si="11"/>
        <v>0</v>
      </c>
      <c r="O136" s="11"/>
      <c r="P136" s="2">
        <v>383.93</v>
      </c>
      <c r="Q136" s="2"/>
      <c r="R136" s="22">
        <f t="shared" si="12"/>
        <v>5.812492653766563E-5</v>
      </c>
      <c r="S136" s="2"/>
      <c r="T136" s="2"/>
      <c r="U136" s="2"/>
      <c r="V136" s="22">
        <f t="shared" si="13"/>
        <v>0</v>
      </c>
      <c r="W136" s="2"/>
      <c r="X136" s="2">
        <f t="shared" si="14"/>
        <v>383.93</v>
      </c>
      <c r="Y136" s="2"/>
      <c r="Z136" s="22">
        <f t="shared" si="15"/>
        <v>0</v>
      </c>
    </row>
    <row r="137" spans="1:26" s="24" customFormat="1" hidden="1" outlineLevel="1" x14ac:dyDescent="0.35">
      <c r="A137" s="51"/>
      <c r="B137" s="11" t="str">
        <f>CONCATENATE("          ", "5543", " - ", "FREIGHT-IN-CARDS")</f>
        <v xml:space="preserve">          5543 - FREIGHT-IN-CARDS</v>
      </c>
      <c r="C137" s="11"/>
      <c r="D137" s="2">
        <v>1992.81</v>
      </c>
      <c r="E137" s="2"/>
      <c r="F137" s="22">
        <f t="shared" si="8"/>
        <v>1.362768986616271E-3</v>
      </c>
      <c r="G137" s="2"/>
      <c r="H137" s="2"/>
      <c r="I137" s="2"/>
      <c r="J137" s="22">
        <f t="shared" si="9"/>
        <v>0</v>
      </c>
      <c r="K137" s="2"/>
      <c r="L137" s="2">
        <f t="shared" si="10"/>
        <v>1992.81</v>
      </c>
      <c r="M137" s="2"/>
      <c r="N137" s="22">
        <f t="shared" si="11"/>
        <v>0</v>
      </c>
      <c r="O137" s="11"/>
      <c r="P137" s="2">
        <v>9110.5300000000007</v>
      </c>
      <c r="Q137" s="2"/>
      <c r="R137" s="22">
        <f t="shared" si="12"/>
        <v>1.3792849919756177E-3</v>
      </c>
      <c r="S137" s="2"/>
      <c r="T137" s="2"/>
      <c r="U137" s="2"/>
      <c r="V137" s="22">
        <f t="shared" si="13"/>
        <v>0</v>
      </c>
      <c r="W137" s="2"/>
      <c r="X137" s="2">
        <f t="shared" si="14"/>
        <v>9110.5300000000007</v>
      </c>
      <c r="Y137" s="2"/>
      <c r="Z137" s="22">
        <f t="shared" si="15"/>
        <v>0</v>
      </c>
    </row>
    <row r="138" spans="1:26" s="24" customFormat="1" hidden="1" outlineLevel="1" x14ac:dyDescent="0.35">
      <c r="A138" s="51"/>
      <c r="B138" s="11" t="str">
        <f>CONCATENATE("          ", "5545", " - ", "FREIGHT-IN-SPECIAL ORDERS")</f>
        <v xml:space="preserve">          5545 - FREIGHT-IN-SPECIAL ORDERS</v>
      </c>
      <c r="C138" s="11"/>
      <c r="D138" s="2"/>
      <c r="E138" s="2"/>
      <c r="F138" s="22">
        <f t="shared" si="8"/>
        <v>0</v>
      </c>
      <c r="G138" s="2"/>
      <c r="H138" s="2"/>
      <c r="I138" s="2"/>
      <c r="J138" s="22">
        <f t="shared" si="9"/>
        <v>0</v>
      </c>
      <c r="K138" s="2"/>
      <c r="L138" s="2">
        <f t="shared" si="10"/>
        <v>0</v>
      </c>
      <c r="M138" s="2"/>
      <c r="N138" s="22">
        <f t="shared" si="11"/>
        <v>0</v>
      </c>
      <c r="O138" s="11"/>
      <c r="P138" s="2">
        <v>1113.79</v>
      </c>
      <c r="Q138" s="2"/>
      <c r="R138" s="22">
        <f t="shared" si="12"/>
        <v>1.6862178503473707E-4</v>
      </c>
      <c r="S138" s="2"/>
      <c r="T138" s="2"/>
      <c r="U138" s="2"/>
      <c r="V138" s="22">
        <f t="shared" si="13"/>
        <v>0</v>
      </c>
      <c r="W138" s="2"/>
      <c r="X138" s="2">
        <f t="shared" si="14"/>
        <v>1113.79</v>
      </c>
      <c r="Y138" s="2"/>
      <c r="Z138" s="22">
        <f t="shared" si="15"/>
        <v>0</v>
      </c>
    </row>
    <row r="139" spans="1:26" s="24" customFormat="1" hidden="1" outlineLevel="1" x14ac:dyDescent="0.35">
      <c r="A139" s="51"/>
      <c r="B139" s="11" t="str">
        <f>CONCATENATE("          ", "5581", " - ", "FREIGHT-IN-ELECTRONICS")</f>
        <v xml:space="preserve">          5581 - FREIGHT-IN-ELECTRONICS</v>
      </c>
      <c r="C139" s="11"/>
      <c r="D139" s="2"/>
      <c r="E139" s="2"/>
      <c r="F139" s="22">
        <f t="shared" si="8"/>
        <v>0</v>
      </c>
      <c r="G139" s="2"/>
      <c r="H139" s="2"/>
      <c r="I139" s="2"/>
      <c r="J139" s="22">
        <f t="shared" si="9"/>
        <v>0</v>
      </c>
      <c r="K139" s="2"/>
      <c r="L139" s="2">
        <f t="shared" si="10"/>
        <v>0</v>
      </c>
      <c r="M139" s="2"/>
      <c r="N139" s="22">
        <f t="shared" si="11"/>
        <v>0</v>
      </c>
      <c r="O139" s="11"/>
      <c r="P139" s="2">
        <v>31</v>
      </c>
      <c r="Q139" s="2"/>
      <c r="R139" s="22">
        <f t="shared" si="12"/>
        <v>4.6932324191066975E-6</v>
      </c>
      <c r="S139" s="2"/>
      <c r="T139" s="2"/>
      <c r="U139" s="2"/>
      <c r="V139" s="22">
        <f t="shared" si="13"/>
        <v>0</v>
      </c>
      <c r="W139" s="2"/>
      <c r="X139" s="2">
        <f t="shared" si="14"/>
        <v>31</v>
      </c>
      <c r="Y139" s="2"/>
      <c r="Z139" s="22">
        <f t="shared" si="15"/>
        <v>0</v>
      </c>
    </row>
    <row r="140" spans="1:26" s="24" customFormat="1" hidden="1" outlineLevel="1" x14ac:dyDescent="0.35">
      <c r="A140" s="51"/>
      <c r="B140" s="11" t="str">
        <f>CONCATENATE("          ", "5582", " - ", "FREIGHT-IN-COMPUTER HARDWARE")</f>
        <v xml:space="preserve">          5582 - FREIGHT-IN-COMPUTER HARDWARE</v>
      </c>
      <c r="C140" s="11"/>
      <c r="D140" s="2"/>
      <c r="E140" s="2"/>
      <c r="F140" s="22">
        <f t="shared" si="8"/>
        <v>0</v>
      </c>
      <c r="G140" s="2"/>
      <c r="H140" s="2"/>
      <c r="I140" s="2"/>
      <c r="J140" s="22">
        <f t="shared" si="9"/>
        <v>0</v>
      </c>
      <c r="K140" s="2"/>
      <c r="L140" s="2">
        <f t="shared" si="10"/>
        <v>0</v>
      </c>
      <c r="M140" s="2"/>
      <c r="N140" s="22">
        <f t="shared" si="11"/>
        <v>0</v>
      </c>
      <c r="O140" s="11"/>
      <c r="P140" s="2">
        <v>94</v>
      </c>
      <c r="Q140" s="2"/>
      <c r="R140" s="22">
        <f t="shared" si="12"/>
        <v>1.4231091851484826E-5</v>
      </c>
      <c r="S140" s="2"/>
      <c r="T140" s="2"/>
      <c r="U140" s="2"/>
      <c r="V140" s="22">
        <f t="shared" si="13"/>
        <v>0</v>
      </c>
      <c r="W140" s="2"/>
      <c r="X140" s="2">
        <f t="shared" si="14"/>
        <v>94</v>
      </c>
      <c r="Y140" s="2"/>
      <c r="Z140" s="22">
        <f t="shared" si="15"/>
        <v>0</v>
      </c>
    </row>
    <row r="141" spans="1:26" s="24" customFormat="1" hidden="1" outlineLevel="1" x14ac:dyDescent="0.35">
      <c r="A141" s="51"/>
      <c r="B141" s="11" t="str">
        <f>CONCATENATE("          ", "5583", " - ", "FREIGHT-IN-COMPUTER EQUIPMENT")</f>
        <v xml:space="preserve">          5583 - FREIGHT-IN-COMPUTER EQUIPMENT</v>
      </c>
      <c r="C141" s="11"/>
      <c r="D141" s="2">
        <v>10.06</v>
      </c>
      <c r="E141" s="2"/>
      <c r="F141" s="22">
        <f t="shared" si="8"/>
        <v>6.879459660158112E-6</v>
      </c>
      <c r="G141" s="2"/>
      <c r="H141" s="2"/>
      <c r="I141" s="2"/>
      <c r="J141" s="22">
        <f t="shared" si="9"/>
        <v>0</v>
      </c>
      <c r="K141" s="2"/>
      <c r="L141" s="2">
        <f t="shared" si="10"/>
        <v>10.06</v>
      </c>
      <c r="M141" s="2"/>
      <c r="N141" s="22">
        <f t="shared" si="11"/>
        <v>0</v>
      </c>
      <c r="O141" s="11"/>
      <c r="P141" s="2">
        <v>242.46</v>
      </c>
      <c r="Q141" s="2"/>
      <c r="R141" s="22">
        <f t="shared" si="12"/>
        <v>3.6707133301180965E-5</v>
      </c>
      <c r="S141" s="2"/>
      <c r="T141" s="2"/>
      <c r="U141" s="2"/>
      <c r="V141" s="22">
        <f t="shared" si="13"/>
        <v>0</v>
      </c>
      <c r="W141" s="2"/>
      <c r="X141" s="2">
        <f t="shared" si="14"/>
        <v>242.46</v>
      </c>
      <c r="Y141" s="2"/>
      <c r="Z141" s="22">
        <f t="shared" si="15"/>
        <v>0</v>
      </c>
    </row>
    <row r="142" spans="1:26" s="24" customFormat="1" hidden="1" outlineLevel="1" x14ac:dyDescent="0.35">
      <c r="A142" s="51"/>
      <c r="B142" s="11" t="str">
        <f>CONCATENATE("          ", "5586", " - ", "FREIGHT-IN-COMPUTER SUPPLIES")</f>
        <v xml:space="preserve">          5586 - FREIGHT-IN-COMPUTER SUPPLIES</v>
      </c>
      <c r="C142" s="11"/>
      <c r="D142" s="2"/>
      <c r="E142" s="2"/>
      <c r="F142" s="22">
        <f t="shared" si="8"/>
        <v>0</v>
      </c>
      <c r="G142" s="2"/>
      <c r="H142" s="2"/>
      <c r="I142" s="2"/>
      <c r="J142" s="22">
        <f t="shared" si="9"/>
        <v>0</v>
      </c>
      <c r="K142" s="2"/>
      <c r="L142" s="2">
        <f t="shared" si="10"/>
        <v>0</v>
      </c>
      <c r="M142" s="2"/>
      <c r="N142" s="22">
        <f t="shared" si="11"/>
        <v>0</v>
      </c>
      <c r="O142" s="11"/>
      <c r="P142" s="2">
        <v>24.12</v>
      </c>
      <c r="Q142" s="2"/>
      <c r="R142" s="22">
        <f t="shared" si="12"/>
        <v>3.6516376112533404E-6</v>
      </c>
      <c r="S142" s="2"/>
      <c r="T142" s="2"/>
      <c r="U142" s="2"/>
      <c r="V142" s="22">
        <f t="shared" si="13"/>
        <v>0</v>
      </c>
      <c r="W142" s="2"/>
      <c r="X142" s="2">
        <f t="shared" si="14"/>
        <v>24.12</v>
      </c>
      <c r="Y142" s="2"/>
      <c r="Z142" s="22">
        <f t="shared" si="15"/>
        <v>0</v>
      </c>
    </row>
    <row r="143" spans="1:26" x14ac:dyDescent="0.35">
      <c r="A143" s="9"/>
      <c r="B143" s="10"/>
      <c r="C143" s="10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O143" s="10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x14ac:dyDescent="0.35">
      <c r="A144" s="10"/>
      <c r="B144" s="26" t="s">
        <v>6</v>
      </c>
      <c r="C144" s="26"/>
      <c r="D144" s="19">
        <f>D12-D97</f>
        <v>547117.12000000023</v>
      </c>
      <c r="E144" s="13"/>
      <c r="F144" s="21">
        <f>IF(D$12=0,0,D144/D$12)</f>
        <v>0.37414216266619149</v>
      </c>
      <c r="G144" s="13"/>
      <c r="H144" s="19">
        <f>H12-H97</f>
        <v>985369</v>
      </c>
      <c r="I144" s="13"/>
      <c r="J144" s="21">
        <f>IF(H$12=0,0,H144/H$12)</f>
        <v>0.39448354218452436</v>
      </c>
      <c r="K144" s="16"/>
      <c r="L144" s="19">
        <f>+D144-H144</f>
        <v>-438251.87999999977</v>
      </c>
      <c r="M144" s="16"/>
      <c r="N144" s="21">
        <f>IF(H144=0,0,L144/H144)</f>
        <v>-0.44475915114033399</v>
      </c>
      <c r="O144" s="25"/>
      <c r="P144" s="19">
        <f>P12-P97</f>
        <v>2460607.359999998</v>
      </c>
      <c r="Q144" s="13"/>
      <c r="R144" s="21">
        <f>IF(P$12=0,0,P144/P$12)</f>
        <v>0.37252265266595275</v>
      </c>
      <c r="S144" s="13"/>
      <c r="T144" s="19">
        <f>T12-T97</f>
        <v>5071456</v>
      </c>
      <c r="U144" s="13"/>
      <c r="V144" s="21">
        <f>IF(T$12=0,0,T144/T$12)</f>
        <v>0.45634040166942041</v>
      </c>
      <c r="W144" s="16"/>
      <c r="X144" s="19">
        <f>+P144-T144</f>
        <v>-2610848.640000002</v>
      </c>
      <c r="Y144" s="16"/>
      <c r="Z144" s="21">
        <f>IF(T144=0,0,X144/T144)</f>
        <v>-0.5148124404510267</v>
      </c>
    </row>
    <row r="145" spans="1:26" x14ac:dyDescent="0.35">
      <c r="A145" s="9"/>
      <c r="B145" s="10"/>
      <c r="C145" s="9"/>
      <c r="D145" s="1"/>
      <c r="E145" s="1"/>
      <c r="F145" s="5"/>
      <c r="G145" s="1"/>
      <c r="H145" s="1"/>
      <c r="I145" s="1"/>
      <c r="J145" s="5"/>
      <c r="K145" s="1"/>
      <c r="L145" s="1"/>
      <c r="M145" s="1"/>
      <c r="N145" s="5"/>
      <c r="O145" s="36"/>
      <c r="P145" s="1"/>
      <c r="Q145" s="1"/>
      <c r="R145" s="5"/>
      <c r="S145" s="1"/>
      <c r="T145" s="1"/>
      <c r="U145" s="1"/>
      <c r="V145" s="5"/>
      <c r="W145" s="1"/>
      <c r="X145" s="1"/>
      <c r="Y145" s="1"/>
      <c r="Z145" s="5"/>
    </row>
    <row r="146" spans="1:26" s="23" customFormat="1" x14ac:dyDescent="0.35">
      <c r="A146" s="10"/>
      <c r="B146" s="25" t="s">
        <v>9</v>
      </c>
      <c r="C146" s="10"/>
      <c r="D146" s="20">
        <f>SUM(OSRRefD22x_0)</f>
        <v>646417.86</v>
      </c>
      <c r="E146" s="20"/>
      <c r="F146" s="30">
        <f t="shared" ref="F146:F157" si="16">IF(D$12=0,0,D146/D$12)</f>
        <v>0.442048269530391</v>
      </c>
      <c r="G146" s="20"/>
      <c r="H146" s="20">
        <f>SUM(OSRRefH22x_0)</f>
        <v>1068267.6919519217</v>
      </c>
      <c r="I146" s="20"/>
      <c r="J146" s="30">
        <f t="shared" ref="J146:J157" si="17">IF(H$12=0,0,H146/H$12)</f>
        <v>0.42767128164421686</v>
      </c>
      <c r="K146" s="4"/>
      <c r="L146" s="20">
        <f t="shared" ref="L146:L157" si="18">+D146-H146</f>
        <v>-421849.83195192169</v>
      </c>
      <c r="M146" s="4"/>
      <c r="N146" s="30">
        <f t="shared" ref="N146:N157" si="19">IF(H146=0,0,L146/H146)</f>
        <v>-0.39489150063232226</v>
      </c>
      <c r="O146" s="10"/>
      <c r="P146" s="20">
        <f>SUM(OSRRefP22x_0)</f>
        <v>4870085.5200000005</v>
      </c>
      <c r="Q146" s="20"/>
      <c r="R146" s="30">
        <f t="shared" ref="R146:R157" si="20">IF(P$12=0,0,P146/P$12)</f>
        <v>0.7373046208479388</v>
      </c>
      <c r="S146" s="20"/>
      <c r="T146" s="20">
        <f>SUM(OSRRefT22x_0)</f>
        <v>6809724.7490214529</v>
      </c>
      <c r="U146" s="20"/>
      <c r="V146" s="30">
        <f t="shared" ref="V146:V157" si="21">IF(T$12=0,0,T146/T$12)</f>
        <v>0.61275352230733005</v>
      </c>
      <c r="W146" s="4"/>
      <c r="X146" s="20">
        <f t="shared" ref="X146:X157" si="22">+P146-T146</f>
        <v>-1939639.2290214524</v>
      </c>
      <c r="Y146" s="4"/>
      <c r="Z146" s="30">
        <f t="shared" ref="Z146:Z157" si="23">IF(T146=0,0,X146/T146)</f>
        <v>-0.28483371949801284</v>
      </c>
    </row>
    <row r="147" spans="1:26" s="28" customFormat="1" outlineLevel="1" collapsed="1" x14ac:dyDescent="0.35">
      <c r="A147" s="27"/>
      <c r="B147" s="14" t="str">
        <f>CONCATENATE("     ","*Benefits                                         ")</f>
        <v xml:space="preserve">     *Benefits                                         </v>
      </c>
      <c r="C147" s="14"/>
      <c r="D147" s="1">
        <f>SUM(OSRRefD22_0x_0)</f>
        <v>150871.78</v>
      </c>
      <c r="E147" s="1"/>
      <c r="F147" s="5">
        <f t="shared" si="16"/>
        <v>0.10317259685549199</v>
      </c>
      <c r="G147" s="1"/>
      <c r="H147" s="1">
        <f>SUM(OSRRefH22_0x_0)</f>
        <v>197799.39762897298</v>
      </c>
      <c r="I147" s="1"/>
      <c r="J147" s="5">
        <f t="shared" si="17"/>
        <v>7.9187194866737698E-2</v>
      </c>
      <c r="K147" s="1"/>
      <c r="L147" s="1">
        <f t="shared" si="18"/>
        <v>-46927.617628972977</v>
      </c>
      <c r="M147" s="1"/>
      <c r="N147" s="5">
        <f t="shared" si="19"/>
        <v>-0.23724853660575143</v>
      </c>
      <c r="O147" s="14"/>
      <c r="P147" s="1">
        <f>SUM(OSRRefP22_0x_0)</f>
        <v>1094703.47</v>
      </c>
      <c r="Q147" s="1"/>
      <c r="R147" s="5">
        <f t="shared" si="20"/>
        <v>0.16573218757137406</v>
      </c>
      <c r="S147" s="1"/>
      <c r="T147" s="1">
        <f>SUM(OSRRefT22_0x_0)</f>
        <v>1257102.3806795045</v>
      </c>
      <c r="U147" s="1"/>
      <c r="V147" s="5">
        <f t="shared" si="21"/>
        <v>0.11311674701286371</v>
      </c>
      <c r="W147" s="1"/>
      <c r="X147" s="1">
        <f t="shared" si="22"/>
        <v>-162398.91067950451</v>
      </c>
      <c r="Y147" s="1"/>
      <c r="Z147" s="5">
        <f t="shared" si="23"/>
        <v>-0.12918511107402617</v>
      </c>
    </row>
    <row r="148" spans="1:26" s="24" customFormat="1" hidden="1" outlineLevel="2" x14ac:dyDescent="0.35">
      <c r="A148" s="29"/>
      <c r="B148" s="11" t="str">
        <f>CONCATENATE("          ", "6111", " - ", "F.I.C.A.")</f>
        <v xml:space="preserve">          6111 - F.I.C.A.</v>
      </c>
      <c r="C148" s="11"/>
      <c r="D148" s="7">
        <v>18515.070000000003</v>
      </c>
      <c r="E148" s="2"/>
      <c r="F148" s="6">
        <f t="shared" si="16"/>
        <v>1.2661399321073923E-2</v>
      </c>
      <c r="G148" s="2"/>
      <c r="H148" s="7">
        <v>25928.290899132684</v>
      </c>
      <c r="I148" s="2"/>
      <c r="J148" s="6">
        <f t="shared" si="17"/>
        <v>1.0380156100588334E-2</v>
      </c>
      <c r="K148" s="2"/>
      <c r="L148" s="7">
        <f t="shared" si="18"/>
        <v>-7413.2208991326806</v>
      </c>
      <c r="M148" s="2"/>
      <c r="N148" s="6">
        <f t="shared" si="19"/>
        <v>-0.28591243934943111</v>
      </c>
      <c r="O148" s="11"/>
      <c r="P148" s="7">
        <v>152374.04</v>
      </c>
      <c r="Q148" s="2"/>
      <c r="R148" s="6">
        <f t="shared" si="20"/>
        <v>2.3068605947040671E-2</v>
      </c>
      <c r="S148" s="2"/>
      <c r="T148" s="7">
        <v>167910.72217345267</v>
      </c>
      <c r="U148" s="2"/>
      <c r="V148" s="6">
        <f t="shared" si="21"/>
        <v>1.51089640531705E-2</v>
      </c>
      <c r="W148" s="2"/>
      <c r="X148" s="7">
        <f t="shared" si="22"/>
        <v>-15536.68217345266</v>
      </c>
      <c r="Y148" s="2"/>
      <c r="Z148" s="6">
        <f t="shared" si="23"/>
        <v>-9.2529422614257978E-2</v>
      </c>
    </row>
    <row r="149" spans="1:26" s="24" customFormat="1" hidden="1" outlineLevel="2" x14ac:dyDescent="0.35">
      <c r="A149" s="29"/>
      <c r="B149" s="11" t="str">
        <f>CONCATENATE("          ", "6112", " - ", "COMPENSATION INSURANCE")</f>
        <v xml:space="preserve">          6112 - COMPENSATION INSURANCE</v>
      </c>
      <c r="C149" s="11"/>
      <c r="D149" s="7">
        <v>1923.58</v>
      </c>
      <c r="E149" s="2"/>
      <c r="F149" s="6">
        <f t="shared" si="16"/>
        <v>1.3154265420563557E-3</v>
      </c>
      <c r="G149" s="2"/>
      <c r="H149" s="7">
        <v>15213.070267098074</v>
      </c>
      <c r="I149" s="2"/>
      <c r="J149" s="6">
        <f t="shared" si="17"/>
        <v>6.0904147040011566E-3</v>
      </c>
      <c r="K149" s="2"/>
      <c r="L149" s="7">
        <f t="shared" si="18"/>
        <v>-13289.490267098074</v>
      </c>
      <c r="M149" s="2"/>
      <c r="N149" s="6">
        <f t="shared" si="19"/>
        <v>-0.87355741042226009</v>
      </c>
      <c r="O149" s="11"/>
      <c r="P149" s="7">
        <v>59153.78</v>
      </c>
      <c r="Q149" s="2"/>
      <c r="R149" s="6">
        <f t="shared" si="20"/>
        <v>8.9555625164098509E-3</v>
      </c>
      <c r="S149" s="2"/>
      <c r="T149" s="7">
        <v>87010.684794548069</v>
      </c>
      <c r="U149" s="2"/>
      <c r="V149" s="6">
        <f t="shared" si="21"/>
        <v>7.8294065547794157E-3</v>
      </c>
      <c r="W149" s="2"/>
      <c r="X149" s="7">
        <f t="shared" si="22"/>
        <v>-27856.904794548071</v>
      </c>
      <c r="Y149" s="2"/>
      <c r="Z149" s="6">
        <f t="shared" si="23"/>
        <v>-0.32015498855484853</v>
      </c>
    </row>
    <row r="150" spans="1:26" s="24" customFormat="1" hidden="1" outlineLevel="2" x14ac:dyDescent="0.35">
      <c r="A150" s="29"/>
      <c r="B150" s="11" t="str">
        <f>CONCATENATE("          ", "6113", " - ", "GROUP INSURANCE")</f>
        <v xml:space="preserve">          6113 - GROUP INSURANCE</v>
      </c>
      <c r="C150" s="11"/>
      <c r="D150" s="7">
        <v>77850.680000000008</v>
      </c>
      <c r="E150" s="2"/>
      <c r="F150" s="6">
        <f t="shared" si="16"/>
        <v>5.3237635444918281E-2</v>
      </c>
      <c r="G150" s="2"/>
      <c r="H150" s="7">
        <v>101595.96153846146</v>
      </c>
      <c r="I150" s="2"/>
      <c r="J150" s="6">
        <f t="shared" si="17"/>
        <v>4.0673021760716008E-2</v>
      </c>
      <c r="K150" s="2"/>
      <c r="L150" s="7">
        <f t="shared" si="18"/>
        <v>-23745.281538461451</v>
      </c>
      <c r="M150" s="2"/>
      <c r="N150" s="6">
        <f t="shared" si="19"/>
        <v>-0.23372269112756155</v>
      </c>
      <c r="O150" s="11"/>
      <c r="P150" s="7">
        <v>526457.66</v>
      </c>
      <c r="Q150" s="2"/>
      <c r="R150" s="6">
        <f t="shared" si="20"/>
        <v>7.9702843780614568E-2</v>
      </c>
      <c r="S150" s="2"/>
      <c r="T150" s="7">
        <v>665028.92307692289</v>
      </c>
      <c r="U150" s="2"/>
      <c r="V150" s="6">
        <f t="shared" si="21"/>
        <v>5.984071751361051E-2</v>
      </c>
      <c r="W150" s="2"/>
      <c r="X150" s="7">
        <f t="shared" si="22"/>
        <v>-138571.26307692286</v>
      </c>
      <c r="Y150" s="2"/>
      <c r="Z150" s="6">
        <f t="shared" si="23"/>
        <v>-0.2083687765575491</v>
      </c>
    </row>
    <row r="151" spans="1:26" s="24" customFormat="1" hidden="1" outlineLevel="2" x14ac:dyDescent="0.35">
      <c r="A151" s="29"/>
      <c r="B151" s="11" t="str">
        <f>CONCATENATE("          ", "6114", " - ", "STATE UNEMPLOYMENT INSURANCE")</f>
        <v xml:space="preserve">          6114 - STATE UNEMPLOYMENT INSURANCE</v>
      </c>
      <c r="C151" s="11"/>
      <c r="D151" s="7">
        <v>1500.91</v>
      </c>
      <c r="E151" s="2"/>
      <c r="F151" s="6">
        <f t="shared" si="16"/>
        <v>1.0263866598934305E-3</v>
      </c>
      <c r="G151" s="2"/>
      <c r="H151" s="7">
        <v>1444.9020925500001</v>
      </c>
      <c r="I151" s="2"/>
      <c r="J151" s="6">
        <f t="shared" si="17"/>
        <v>5.7845344797629661E-4</v>
      </c>
      <c r="K151" s="2"/>
      <c r="L151" s="7">
        <f t="shared" si="18"/>
        <v>56.007907449999948</v>
      </c>
      <c r="M151" s="2"/>
      <c r="N151" s="6">
        <f t="shared" si="19"/>
        <v>3.876242393085317E-2</v>
      </c>
      <c r="O151" s="11"/>
      <c r="P151" s="7">
        <v>6066.75</v>
      </c>
      <c r="Q151" s="2"/>
      <c r="R151" s="6">
        <f t="shared" si="20"/>
        <v>9.1847315414888902E-4</v>
      </c>
      <c r="S151" s="2"/>
      <c r="T151" s="7">
        <v>7919.2394178499999</v>
      </c>
      <c r="U151" s="2"/>
      <c r="V151" s="6">
        <f t="shared" si="21"/>
        <v>7.125900129781223E-4</v>
      </c>
      <c r="W151" s="2"/>
      <c r="X151" s="7">
        <f t="shared" si="22"/>
        <v>-1852.4894178499999</v>
      </c>
      <c r="Y151" s="2"/>
      <c r="Z151" s="6">
        <f t="shared" si="23"/>
        <v>-0.2339226433380055</v>
      </c>
    </row>
    <row r="152" spans="1:26" s="24" customFormat="1" hidden="1" outlineLevel="2" x14ac:dyDescent="0.35">
      <c r="A152" s="29"/>
      <c r="B152" s="11" t="str">
        <f>CONCATENATE("          ", "6115", " - ", "P.E.R.S.")</f>
        <v xml:space="preserve">          6115 - P.E.R.S.</v>
      </c>
      <c r="C152" s="11"/>
      <c r="D152" s="7">
        <v>19996.609999999997</v>
      </c>
      <c r="E152" s="2"/>
      <c r="F152" s="6">
        <f t="shared" si="16"/>
        <v>1.3674539943828456E-2</v>
      </c>
      <c r="G152" s="2"/>
      <c r="H152" s="7">
        <v>15438.13109846155</v>
      </c>
      <c r="I152" s="2"/>
      <c r="J152" s="6">
        <f t="shared" si="17"/>
        <v>6.1805157666114663E-3</v>
      </c>
      <c r="K152" s="2"/>
      <c r="L152" s="7">
        <f t="shared" si="18"/>
        <v>4558.4789015384467</v>
      </c>
      <c r="M152" s="2"/>
      <c r="N152" s="6">
        <f t="shared" si="19"/>
        <v>0.29527401163167416</v>
      </c>
      <c r="O152" s="11"/>
      <c r="P152" s="7">
        <v>115421.24</v>
      </c>
      <c r="Q152" s="2"/>
      <c r="R152" s="6">
        <f t="shared" si="20"/>
        <v>1.7474151787790153E-2</v>
      </c>
      <c r="S152" s="2"/>
      <c r="T152" s="7">
        <v>95470.124118461608</v>
      </c>
      <c r="U152" s="2"/>
      <c r="V152" s="6">
        <f t="shared" si="21"/>
        <v>8.5906049047153703E-3</v>
      </c>
      <c r="W152" s="2"/>
      <c r="X152" s="7">
        <f t="shared" si="22"/>
        <v>19951.115881538397</v>
      </c>
      <c r="Y152" s="2"/>
      <c r="Z152" s="6">
        <f t="shared" si="23"/>
        <v>0.2089775839903861</v>
      </c>
    </row>
    <row r="153" spans="1:26" s="24" customFormat="1" hidden="1" outlineLevel="2" x14ac:dyDescent="0.35">
      <c r="A153" s="29"/>
      <c r="B153" s="11" t="str">
        <f>CONCATENATE("          ", "6116", " - ", "EDUCATIONAL BENEFITS")</f>
        <v xml:space="preserve">          6116 - EDUCATIONAL BENEFITS</v>
      </c>
      <c r="C153" s="11"/>
      <c r="D153" s="7"/>
      <c r="E153" s="2"/>
      <c r="F153" s="6">
        <f t="shared" si="16"/>
        <v>0</v>
      </c>
      <c r="G153" s="2"/>
      <c r="H153" s="7">
        <v>0</v>
      </c>
      <c r="I153" s="2"/>
      <c r="J153" s="6">
        <f t="shared" si="17"/>
        <v>0</v>
      </c>
      <c r="K153" s="2"/>
      <c r="L153" s="7">
        <f t="shared" si="18"/>
        <v>0</v>
      </c>
      <c r="M153" s="2"/>
      <c r="N153" s="6">
        <f t="shared" si="19"/>
        <v>0</v>
      </c>
      <c r="O153" s="11"/>
      <c r="P153" s="7">
        <v>0</v>
      </c>
      <c r="Q153" s="2"/>
      <c r="R153" s="6">
        <f t="shared" si="20"/>
        <v>0</v>
      </c>
      <c r="S153" s="2"/>
      <c r="T153" s="7">
        <v>0</v>
      </c>
      <c r="U153" s="2"/>
      <c r="V153" s="6">
        <f t="shared" si="21"/>
        <v>0</v>
      </c>
      <c r="W153" s="2"/>
      <c r="X153" s="7">
        <f t="shared" si="22"/>
        <v>0</v>
      </c>
      <c r="Y153" s="2"/>
      <c r="Z153" s="6">
        <f t="shared" si="23"/>
        <v>0</v>
      </c>
    </row>
    <row r="154" spans="1:26" s="24" customFormat="1" hidden="1" outlineLevel="2" x14ac:dyDescent="0.35">
      <c r="A154" s="29"/>
      <c r="B154" s="11" t="str">
        <f>CONCATENATE("          ", "6117", " - ", "RETIREMENT STAFF HOURLY")</f>
        <v xml:space="preserve">          6117 - RETIREMENT STAFF HOURLY</v>
      </c>
      <c r="C154" s="11"/>
      <c r="D154" s="7">
        <v>2208.6799999999998</v>
      </c>
      <c r="E154" s="2"/>
      <c r="F154" s="6">
        <f t="shared" si="16"/>
        <v>1.5103901552880731E-3</v>
      </c>
      <c r="G154" s="2"/>
      <c r="H154" s="7"/>
      <c r="I154" s="2"/>
      <c r="J154" s="6">
        <f t="shared" si="17"/>
        <v>0</v>
      </c>
      <c r="K154" s="2"/>
      <c r="L154" s="7">
        <f t="shared" si="18"/>
        <v>2208.6799999999998</v>
      </c>
      <c r="M154" s="2"/>
      <c r="N154" s="6">
        <f t="shared" si="19"/>
        <v>0</v>
      </c>
      <c r="O154" s="11"/>
      <c r="P154" s="7">
        <v>14605.25</v>
      </c>
      <c r="Q154" s="2"/>
      <c r="R154" s="6">
        <f t="shared" si="20"/>
        <v>2.2111558964244549E-3</v>
      </c>
      <c r="S154" s="2"/>
      <c r="T154" s="7"/>
      <c r="U154" s="2"/>
      <c r="V154" s="6">
        <f t="shared" si="21"/>
        <v>0</v>
      </c>
      <c r="W154" s="2"/>
      <c r="X154" s="7">
        <f t="shared" si="22"/>
        <v>14605.25</v>
      </c>
      <c r="Y154" s="2"/>
      <c r="Z154" s="6">
        <f t="shared" si="23"/>
        <v>0</v>
      </c>
    </row>
    <row r="155" spans="1:26" s="24" customFormat="1" hidden="1" outlineLevel="2" x14ac:dyDescent="0.35">
      <c r="A155" s="29"/>
      <c r="B155" s="11" t="str">
        <f>CONCATENATE("          ", "6118", " - ", "VACATION")</f>
        <v xml:space="preserve">          6118 - VACATION</v>
      </c>
      <c r="C155" s="11"/>
      <c r="D155" s="7">
        <v>15535.689999999999</v>
      </c>
      <c r="E155" s="2"/>
      <c r="F155" s="6">
        <f t="shared" si="16"/>
        <v>1.0623971436155245E-2</v>
      </c>
      <c r="G155" s="2"/>
      <c r="H155" s="7">
        <v>16275.298803846146</v>
      </c>
      <c r="I155" s="2"/>
      <c r="J155" s="6">
        <f t="shared" si="17"/>
        <v>6.5156682646326193E-3</v>
      </c>
      <c r="K155" s="2"/>
      <c r="L155" s="7">
        <f t="shared" si="18"/>
        <v>-739.60880384614757</v>
      </c>
      <c r="M155" s="2"/>
      <c r="N155" s="6">
        <f t="shared" si="19"/>
        <v>-4.5443639023780298E-2</v>
      </c>
      <c r="O155" s="11"/>
      <c r="P155" s="7">
        <v>112430.90999999999</v>
      </c>
      <c r="Q155" s="2"/>
      <c r="R155" s="6">
        <f t="shared" si="20"/>
        <v>1.7021431991021529E-2</v>
      </c>
      <c r="S155" s="2"/>
      <c r="T155" s="7">
        <v>100716.54398384616</v>
      </c>
      <c r="U155" s="2"/>
      <c r="V155" s="6">
        <f t="shared" si="21"/>
        <v>9.0626889272714204E-3</v>
      </c>
      <c r="W155" s="2"/>
      <c r="X155" s="7">
        <f t="shared" si="22"/>
        <v>11714.366016153828</v>
      </c>
      <c r="Y155" s="2"/>
      <c r="Z155" s="6">
        <f t="shared" si="23"/>
        <v>0.11631024609057956</v>
      </c>
    </row>
    <row r="156" spans="1:26" s="24" customFormat="1" hidden="1" outlineLevel="2" x14ac:dyDescent="0.35">
      <c r="A156" s="29"/>
      <c r="B156" s="11" t="str">
        <f>CONCATENATE("          ", "6119", " - ", "SICK LEAVE")</f>
        <v xml:space="preserve">          6119 - SICK LEAVE</v>
      </c>
      <c r="C156" s="11"/>
      <c r="D156" s="7">
        <v>10100.69</v>
      </c>
      <c r="E156" s="2"/>
      <c r="F156" s="6">
        <f t="shared" si="16"/>
        <v>6.9072852281075979E-3</v>
      </c>
      <c r="G156" s="2"/>
      <c r="H156" s="7">
        <v>15553.742929423066</v>
      </c>
      <c r="I156" s="2"/>
      <c r="J156" s="6">
        <f t="shared" si="17"/>
        <v>6.2267999145764795E-3</v>
      </c>
      <c r="K156" s="2"/>
      <c r="L156" s="7">
        <f t="shared" si="18"/>
        <v>-5453.0529294230655</v>
      </c>
      <c r="M156" s="2"/>
      <c r="N156" s="6">
        <f t="shared" si="19"/>
        <v>-0.35059425593999677</v>
      </c>
      <c r="O156" s="11"/>
      <c r="P156" s="7">
        <v>75582.259999999995</v>
      </c>
      <c r="Q156" s="2"/>
      <c r="R156" s="6">
        <f t="shared" si="20"/>
        <v>1.144274557875327E-2</v>
      </c>
      <c r="S156" s="2"/>
      <c r="T156" s="7">
        <v>88596.14311442303</v>
      </c>
      <c r="U156" s="2"/>
      <c r="V156" s="6">
        <f t="shared" si="21"/>
        <v>7.9720694678603668E-3</v>
      </c>
      <c r="W156" s="2"/>
      <c r="X156" s="7">
        <f t="shared" si="22"/>
        <v>-13013.883114423035</v>
      </c>
      <c r="Y156" s="2"/>
      <c r="Z156" s="6">
        <f t="shared" si="23"/>
        <v>-0.14688995092727053</v>
      </c>
    </row>
    <row r="157" spans="1:26" s="24" customFormat="1" hidden="1" outlineLevel="2" x14ac:dyDescent="0.35">
      <c r="A157" s="29"/>
      <c r="B157" s="11" t="str">
        <f>CONCATENATE("          ", "6156", " - ", "EMPLOYEE MEALS")</f>
        <v xml:space="preserve">          6156 - EMPLOYEE MEALS</v>
      </c>
      <c r="C157" s="11"/>
      <c r="D157" s="7">
        <v>3239.87</v>
      </c>
      <c r="E157" s="2"/>
      <c r="F157" s="6">
        <f t="shared" si="16"/>
        <v>2.215562124170622E-3</v>
      </c>
      <c r="G157" s="2"/>
      <c r="H157" s="7">
        <v>6350</v>
      </c>
      <c r="I157" s="2"/>
      <c r="J157" s="6">
        <f t="shared" si="17"/>
        <v>2.5421649076353423E-3</v>
      </c>
      <c r="K157" s="2"/>
      <c r="L157" s="7">
        <f t="shared" si="18"/>
        <v>-3110.13</v>
      </c>
      <c r="M157" s="2"/>
      <c r="N157" s="6">
        <f t="shared" si="19"/>
        <v>-0.48978425196850395</v>
      </c>
      <c r="O157" s="11"/>
      <c r="P157" s="7">
        <v>32611.58</v>
      </c>
      <c r="Q157" s="2"/>
      <c r="R157" s="6">
        <f t="shared" si="20"/>
        <v>4.9372169191706974E-3</v>
      </c>
      <c r="S157" s="2"/>
      <c r="T157" s="7">
        <v>44450</v>
      </c>
      <c r="U157" s="2"/>
      <c r="V157" s="6">
        <f t="shared" si="21"/>
        <v>3.9997055784780026E-3</v>
      </c>
      <c r="W157" s="2"/>
      <c r="X157" s="7">
        <f t="shared" si="22"/>
        <v>-11838.419999999998</v>
      </c>
      <c r="Y157" s="2"/>
      <c r="Z157" s="6">
        <f t="shared" si="23"/>
        <v>-0.26633115860517431</v>
      </c>
    </row>
    <row r="158" spans="1:26" s="28" customFormat="1" outlineLevel="1" collapsed="1" x14ac:dyDescent="0.35">
      <c r="A158" s="27"/>
      <c r="B158" s="14" t="str">
        <f>CONCATENATE("     ","*Payroll                                          ")</f>
        <v xml:space="preserve">     *Payroll                                          </v>
      </c>
      <c r="C158" s="14"/>
      <c r="D158" s="1">
        <f>SUM(OSRRefD22_1x_0)</f>
        <v>328486.05</v>
      </c>
      <c r="E158" s="1"/>
      <c r="F158" s="5">
        <f t="shared" ref="F158:F168" si="24">IF(D$12=0,0,D158/D$12)</f>
        <v>0.224632855854839</v>
      </c>
      <c r="G158" s="1"/>
      <c r="H158" s="1">
        <f>SUM(OSRRefH22_1x_0)</f>
        <v>521253.96098961541</v>
      </c>
      <c r="I158" s="1"/>
      <c r="J158" s="5">
        <f t="shared" ref="J158:J168" si="25">IF(H$12=0,0,H158/H$12)</f>
        <v>0.20867929568405069</v>
      </c>
      <c r="K158" s="1"/>
      <c r="L158" s="1">
        <f t="shared" ref="L158:L168" si="26">+D158-H158</f>
        <v>-192767.91098961543</v>
      </c>
      <c r="M158" s="1"/>
      <c r="N158" s="5">
        <f t="shared" ref="N158:N168" si="27">IF(H158=0,0,L158/H158)</f>
        <v>-0.36981572403524776</v>
      </c>
      <c r="O158" s="14"/>
      <c r="P158" s="1">
        <f>SUM(OSRRefP22_1x_0)</f>
        <v>2052760.11</v>
      </c>
      <c r="Q158" s="1"/>
      <c r="R158" s="5">
        <f t="shared" ref="R158:R168" si="28">IF(P$12=0,0,P158/P$12)</f>
        <v>0.31077678377100104</v>
      </c>
      <c r="S158" s="1"/>
      <c r="T158" s="1">
        <f>SUM(OSRRefT22_1x_0)</f>
        <v>2837201.0350086158</v>
      </c>
      <c r="U158" s="1"/>
      <c r="V158" s="5">
        <f t="shared" ref="V158:V168" si="29">IF(T$12=0,0,T158/T$12)</f>
        <v>0.25529738598397128</v>
      </c>
      <c r="W158" s="1"/>
      <c r="X158" s="1">
        <f t="shared" ref="X158:X168" si="30">+P158-T158</f>
        <v>-784440.92500861571</v>
      </c>
      <c r="Y158" s="1"/>
      <c r="Z158" s="5">
        <f t="shared" ref="Z158:Z168" si="31">IF(T158=0,0,X158/T158)</f>
        <v>-0.27648408249161432</v>
      </c>
    </row>
    <row r="159" spans="1:26" s="24" customFormat="1" hidden="1" outlineLevel="2" x14ac:dyDescent="0.35">
      <c r="A159" s="29"/>
      <c r="B159" s="11" t="str">
        <f>CONCATENATE("          ", "6001", " - ", "ADMINISTRATIVE SALARIES")</f>
        <v xml:space="preserve">          6001 - ADMINISTRATIVE SALARIES</v>
      </c>
      <c r="C159" s="11"/>
      <c r="D159" s="7">
        <v>35328.300000000003</v>
      </c>
      <c r="E159" s="2"/>
      <c r="F159" s="6">
        <f t="shared" si="24"/>
        <v>2.4159007426636563E-2</v>
      </c>
      <c r="G159" s="2"/>
      <c r="H159" s="7">
        <v>33786.163461538446</v>
      </c>
      <c r="I159" s="2"/>
      <c r="J159" s="6">
        <f t="shared" si="25"/>
        <v>1.3525984112685742E-2</v>
      </c>
      <c r="K159" s="2"/>
      <c r="L159" s="7">
        <f t="shared" si="26"/>
        <v>1542.1365384615565</v>
      </c>
      <c r="M159" s="2"/>
      <c r="N159" s="6">
        <f t="shared" si="27"/>
        <v>4.5644026443460994E-2</v>
      </c>
      <c r="O159" s="11"/>
      <c r="P159" s="7">
        <v>201855.35999999999</v>
      </c>
      <c r="Q159" s="2"/>
      <c r="R159" s="6">
        <f t="shared" si="28"/>
        <v>3.0559810307175913E-2</v>
      </c>
      <c r="S159" s="2"/>
      <c r="T159" s="7">
        <v>209474.21346153843</v>
      </c>
      <c r="U159" s="2"/>
      <c r="V159" s="6">
        <f t="shared" si="29"/>
        <v>1.8848935435982164E-2</v>
      </c>
      <c r="W159" s="2"/>
      <c r="X159" s="7">
        <f t="shared" si="30"/>
        <v>-7618.8534615384415</v>
      </c>
      <c r="Y159" s="2"/>
      <c r="Z159" s="6">
        <f t="shared" si="31"/>
        <v>-3.6371319102421834E-2</v>
      </c>
    </row>
    <row r="160" spans="1:26" s="24" customFormat="1" hidden="1" outlineLevel="2" x14ac:dyDescent="0.35">
      <c r="A160" s="29"/>
      <c r="B160" s="11" t="str">
        <f>CONCATENATE("          ", "6002", " - ", "STAFF SALARIES")</f>
        <v xml:space="preserve">          6002 - STAFF SALARIES</v>
      </c>
      <c r="C160" s="11"/>
      <c r="D160" s="7">
        <v>131650.63</v>
      </c>
      <c r="E160" s="2"/>
      <c r="F160" s="6">
        <f t="shared" si="24"/>
        <v>9.002834973353889E-2</v>
      </c>
      <c r="G160" s="2"/>
      <c r="H160" s="7">
        <v>128633.28949307698</v>
      </c>
      <c r="I160" s="2"/>
      <c r="J160" s="6">
        <f t="shared" si="25"/>
        <v>5.1497170787873747E-2</v>
      </c>
      <c r="K160" s="2"/>
      <c r="L160" s="7">
        <f t="shared" si="26"/>
        <v>3017.3405069230212</v>
      </c>
      <c r="M160" s="2"/>
      <c r="N160" s="6">
        <f t="shared" si="27"/>
        <v>2.3456917869502311E-2</v>
      </c>
      <c r="O160" s="11"/>
      <c r="P160" s="7">
        <v>796801.14</v>
      </c>
      <c r="Q160" s="2"/>
      <c r="R160" s="6">
        <f t="shared" si="28"/>
        <v>0.12063138522029596</v>
      </c>
      <c r="S160" s="2"/>
      <c r="T160" s="7">
        <v>795091.59880707704</v>
      </c>
      <c r="U160" s="2"/>
      <c r="V160" s="6">
        <f t="shared" si="29"/>
        <v>7.1544033816640276E-2</v>
      </c>
      <c r="W160" s="2"/>
      <c r="X160" s="7">
        <f t="shared" si="30"/>
        <v>1709.541192922974</v>
      </c>
      <c r="Y160" s="2"/>
      <c r="Z160" s="6">
        <f t="shared" si="31"/>
        <v>2.1501185467031722E-3</v>
      </c>
    </row>
    <row r="161" spans="1:26" s="24" customFormat="1" hidden="1" outlineLevel="2" x14ac:dyDescent="0.35">
      <c r="A161" s="29"/>
      <c r="B161" s="11" t="str">
        <f>CONCATENATE("          ", "6003", " - ", "STAFF HOURLY-9 MONTH")</f>
        <v xml:space="preserve">          6003 - STAFF HOURLY-9 MONTH</v>
      </c>
      <c r="C161" s="11"/>
      <c r="D161" s="7"/>
      <c r="E161" s="2"/>
      <c r="F161" s="6">
        <f t="shared" si="24"/>
        <v>0</v>
      </c>
      <c r="G161" s="2"/>
      <c r="H161" s="7">
        <v>0</v>
      </c>
      <c r="I161" s="2"/>
      <c r="J161" s="6">
        <f t="shared" si="25"/>
        <v>0</v>
      </c>
      <c r="K161" s="2"/>
      <c r="L161" s="7">
        <f t="shared" si="26"/>
        <v>0</v>
      </c>
      <c r="M161" s="2"/>
      <c r="N161" s="6">
        <f t="shared" si="27"/>
        <v>0</v>
      </c>
      <c r="O161" s="11"/>
      <c r="P161" s="7"/>
      <c r="Q161" s="2"/>
      <c r="R161" s="6">
        <f t="shared" si="28"/>
        <v>0</v>
      </c>
      <c r="S161" s="2"/>
      <c r="T161" s="7">
        <v>0</v>
      </c>
      <c r="U161" s="2"/>
      <c r="V161" s="6">
        <f t="shared" si="29"/>
        <v>0</v>
      </c>
      <c r="W161" s="2"/>
      <c r="X161" s="7">
        <f t="shared" si="30"/>
        <v>0</v>
      </c>
      <c r="Y161" s="2"/>
      <c r="Z161" s="6">
        <f t="shared" si="31"/>
        <v>0</v>
      </c>
    </row>
    <row r="162" spans="1:26" s="24" customFormat="1" hidden="1" outlineLevel="2" x14ac:dyDescent="0.35">
      <c r="A162" s="29"/>
      <c r="B162" s="11" t="str">
        <f>CONCATENATE("          ", "6004", " - ", "STAFF HOURLY")</f>
        <v xml:space="preserve">          6004 - STAFF HOURLY</v>
      </c>
      <c r="C162" s="11"/>
      <c r="D162" s="7">
        <v>60870.109999999993</v>
      </c>
      <c r="E162" s="2"/>
      <c r="F162" s="6">
        <f t="shared" si="24"/>
        <v>4.1625593067036462E-2</v>
      </c>
      <c r="G162" s="2"/>
      <c r="H162" s="7">
        <v>132488.28349999999</v>
      </c>
      <c r="I162" s="2"/>
      <c r="J162" s="6">
        <f t="shared" si="25"/>
        <v>5.3040482675046068E-2</v>
      </c>
      <c r="K162" s="2"/>
      <c r="L162" s="7">
        <f t="shared" si="26"/>
        <v>-71618.173500000004</v>
      </c>
      <c r="M162" s="2"/>
      <c r="N162" s="6">
        <f t="shared" si="27"/>
        <v>-0.54056231696895685</v>
      </c>
      <c r="O162" s="11"/>
      <c r="P162" s="7">
        <v>469084.57</v>
      </c>
      <c r="Q162" s="2"/>
      <c r="R162" s="6">
        <f t="shared" si="28"/>
        <v>7.1016868104087916E-2</v>
      </c>
      <c r="S162" s="2"/>
      <c r="T162" s="7">
        <v>812063.1335</v>
      </c>
      <c r="U162" s="2"/>
      <c r="V162" s="6">
        <f t="shared" si="29"/>
        <v>7.3071168619488799E-2</v>
      </c>
      <c r="W162" s="2"/>
      <c r="X162" s="7">
        <f t="shared" si="30"/>
        <v>-342978.56349999999</v>
      </c>
      <c r="Y162" s="2"/>
      <c r="Z162" s="6">
        <f t="shared" si="31"/>
        <v>-0.42235455514617326</v>
      </c>
    </row>
    <row r="163" spans="1:26" s="24" customFormat="1" hidden="1" outlineLevel="2" x14ac:dyDescent="0.35">
      <c r="A163" s="29"/>
      <c r="B163" s="11" t="str">
        <f>CONCATENATE("          ", "6005", " - ", "TEMPORARY WAGES-HOURLY")</f>
        <v xml:space="preserve">          6005 - TEMPORARY WAGES-HOURLY</v>
      </c>
      <c r="C163" s="11"/>
      <c r="D163" s="7">
        <v>27127.15</v>
      </c>
      <c r="E163" s="2"/>
      <c r="F163" s="6">
        <f t="shared" si="24"/>
        <v>1.855070915706343E-2</v>
      </c>
      <c r="G163" s="2"/>
      <c r="H163" s="7">
        <v>24815.994615</v>
      </c>
      <c r="I163" s="2"/>
      <c r="J163" s="6">
        <f t="shared" si="25"/>
        <v>9.9348583713890753E-3</v>
      </c>
      <c r="K163" s="2"/>
      <c r="L163" s="7">
        <f t="shared" si="26"/>
        <v>2311.1553850000018</v>
      </c>
      <c r="M163" s="2"/>
      <c r="N163" s="6">
        <f t="shared" si="27"/>
        <v>9.3131684659660055E-2</v>
      </c>
      <c r="O163" s="11"/>
      <c r="P163" s="7">
        <v>230969.15</v>
      </c>
      <c r="Q163" s="2"/>
      <c r="R163" s="6">
        <f t="shared" si="28"/>
        <v>3.496748072882315E-2</v>
      </c>
      <c r="S163" s="2"/>
      <c r="T163" s="7">
        <v>116543.13931999999</v>
      </c>
      <c r="U163" s="2"/>
      <c r="V163" s="6">
        <f t="shared" si="29"/>
        <v>1.0486799650653387E-2</v>
      </c>
      <c r="W163" s="2"/>
      <c r="X163" s="7">
        <f t="shared" si="30"/>
        <v>114426.01068000001</v>
      </c>
      <c r="Y163" s="2"/>
      <c r="Z163" s="6">
        <f t="shared" si="31"/>
        <v>0.98183394876478447</v>
      </c>
    </row>
    <row r="164" spans="1:26" s="24" customFormat="1" hidden="1" outlineLevel="2" x14ac:dyDescent="0.35">
      <c r="A164" s="29"/>
      <c r="B164" s="11" t="str">
        <f>CONCATENATE("          ", "6006", " - ", "TEMPORARY PART TIME")</f>
        <v xml:space="preserve">          6006 - TEMPORARY PART TIME</v>
      </c>
      <c r="C164" s="11"/>
      <c r="D164" s="7"/>
      <c r="E164" s="2"/>
      <c r="F164" s="6">
        <f t="shared" si="24"/>
        <v>0</v>
      </c>
      <c r="G164" s="2"/>
      <c r="H164" s="7">
        <v>0</v>
      </c>
      <c r="I164" s="2"/>
      <c r="J164" s="6">
        <f t="shared" si="25"/>
        <v>0</v>
      </c>
      <c r="K164" s="2"/>
      <c r="L164" s="7">
        <f t="shared" si="26"/>
        <v>0</v>
      </c>
      <c r="M164" s="2"/>
      <c r="N164" s="6">
        <f t="shared" si="27"/>
        <v>0</v>
      </c>
      <c r="O164" s="11"/>
      <c r="P164" s="7">
        <v>9987.9599999999991</v>
      </c>
      <c r="Q164" s="2"/>
      <c r="R164" s="6">
        <f t="shared" si="28"/>
        <v>1.5121231507335784E-3</v>
      </c>
      <c r="S164" s="2"/>
      <c r="T164" s="7">
        <v>0</v>
      </c>
      <c r="U164" s="2"/>
      <c r="V164" s="6">
        <f t="shared" si="29"/>
        <v>0</v>
      </c>
      <c r="W164" s="2"/>
      <c r="X164" s="7">
        <f t="shared" si="30"/>
        <v>9987.9599999999991</v>
      </c>
      <c r="Y164" s="2"/>
      <c r="Z164" s="6">
        <f t="shared" si="31"/>
        <v>0</v>
      </c>
    </row>
    <row r="165" spans="1:26" s="24" customFormat="1" hidden="1" outlineLevel="2" x14ac:dyDescent="0.35">
      <c r="A165" s="29"/>
      <c r="B165" s="11" t="str">
        <f>CONCATENATE("          ", "6007", " - ", "STUDENT HOURLY")</f>
        <v xml:space="preserve">          6007 - STUDENT HOURLY</v>
      </c>
      <c r="C165" s="11"/>
      <c r="D165" s="7">
        <v>71674.179999999993</v>
      </c>
      <c r="E165" s="2"/>
      <c r="F165" s="6">
        <f t="shared" si="24"/>
        <v>4.9013879720170107E-2</v>
      </c>
      <c r="G165" s="2"/>
      <c r="H165" s="7">
        <v>14878.362499999999</v>
      </c>
      <c r="I165" s="2"/>
      <c r="J165" s="6">
        <f t="shared" si="25"/>
        <v>5.9564174851303364E-3</v>
      </c>
      <c r="K165" s="2"/>
      <c r="L165" s="7">
        <f t="shared" si="26"/>
        <v>56795.81749999999</v>
      </c>
      <c r="M165" s="2"/>
      <c r="N165" s="6">
        <f t="shared" si="27"/>
        <v>3.8173433064290503</v>
      </c>
      <c r="O165" s="11"/>
      <c r="P165" s="7">
        <v>323892.36000000004</v>
      </c>
      <c r="Q165" s="2"/>
      <c r="R165" s="6">
        <f t="shared" si="28"/>
        <v>4.9035552395257344E-2</v>
      </c>
      <c r="S165" s="2"/>
      <c r="T165" s="7">
        <v>195330.11249999999</v>
      </c>
      <c r="U165" s="2"/>
      <c r="V165" s="6">
        <f t="shared" si="29"/>
        <v>1.7576219136355136E-2</v>
      </c>
      <c r="W165" s="2"/>
      <c r="X165" s="7">
        <f t="shared" si="30"/>
        <v>128562.24750000006</v>
      </c>
      <c r="Y165" s="2"/>
      <c r="Z165" s="6">
        <f t="shared" si="31"/>
        <v>0.65817935521846416</v>
      </c>
    </row>
    <row r="166" spans="1:26" s="24" customFormat="1" hidden="1" outlineLevel="2" x14ac:dyDescent="0.35">
      <c r="A166" s="29"/>
      <c r="B166" s="11" t="str">
        <f>CONCATENATE("          ", "6008", " - ", "STUDENT HOURLY-FICA EXEMPT")</f>
        <v xml:space="preserve">          6008 - STUDENT HOURLY-FICA EXEMPT</v>
      </c>
      <c r="C166" s="11"/>
      <c r="D166" s="7">
        <v>1835.68</v>
      </c>
      <c r="E166" s="2"/>
      <c r="F166" s="6">
        <f t="shared" si="24"/>
        <v>1.2553167503935429E-3</v>
      </c>
      <c r="G166" s="2"/>
      <c r="H166" s="7">
        <v>186651.86742</v>
      </c>
      <c r="I166" s="2"/>
      <c r="J166" s="6">
        <f t="shared" si="25"/>
        <v>7.4724382251925736E-2</v>
      </c>
      <c r="K166" s="2"/>
      <c r="L166" s="7">
        <f t="shared" si="26"/>
        <v>-184816.18742</v>
      </c>
      <c r="M166" s="2"/>
      <c r="N166" s="6">
        <f t="shared" si="27"/>
        <v>-0.99016522028215559</v>
      </c>
      <c r="O166" s="11"/>
      <c r="P166" s="7">
        <v>20169.57</v>
      </c>
      <c r="Q166" s="2"/>
      <c r="R166" s="6">
        <f t="shared" si="28"/>
        <v>3.0535638646271572E-3</v>
      </c>
      <c r="S166" s="2"/>
      <c r="T166" s="7">
        <v>708698.83742</v>
      </c>
      <c r="U166" s="2"/>
      <c r="V166" s="6">
        <f t="shared" si="29"/>
        <v>6.3770229324851505E-2</v>
      </c>
      <c r="W166" s="2"/>
      <c r="X166" s="7">
        <f t="shared" si="30"/>
        <v>-688529.26742000005</v>
      </c>
      <c r="Y166" s="2"/>
      <c r="Z166" s="6">
        <f t="shared" si="31"/>
        <v>-0.97153999846616546</v>
      </c>
    </row>
    <row r="167" spans="1:26" s="24" customFormat="1" hidden="1" outlineLevel="2" x14ac:dyDescent="0.35">
      <c r="A167" s="29"/>
      <c r="B167" s="11" t="str">
        <f>CONCATENATE("          ", "6009", " - ", "TEMPORARY-SEASONAL")</f>
        <v xml:space="preserve">          6009 - TEMPORARY-SEASONAL</v>
      </c>
      <c r="C167" s="11"/>
      <c r="D167" s="7"/>
      <c r="E167" s="2"/>
      <c r="F167" s="6">
        <f t="shared" si="24"/>
        <v>0</v>
      </c>
      <c r="G167" s="2"/>
      <c r="H167" s="7">
        <v>0</v>
      </c>
      <c r="I167" s="2"/>
      <c r="J167" s="6">
        <f t="shared" si="25"/>
        <v>0</v>
      </c>
      <c r="K167" s="2"/>
      <c r="L167" s="7">
        <f t="shared" si="26"/>
        <v>0</v>
      </c>
      <c r="M167" s="2"/>
      <c r="N167" s="6">
        <f t="shared" si="27"/>
        <v>0</v>
      </c>
      <c r="O167" s="11"/>
      <c r="P167" s="7"/>
      <c r="Q167" s="2"/>
      <c r="R167" s="6">
        <f t="shared" si="28"/>
        <v>0</v>
      </c>
      <c r="S167" s="2"/>
      <c r="T167" s="7">
        <v>0</v>
      </c>
      <c r="U167" s="2"/>
      <c r="V167" s="6">
        <f t="shared" si="29"/>
        <v>0</v>
      </c>
      <c r="W167" s="2"/>
      <c r="X167" s="7">
        <f t="shared" si="30"/>
        <v>0</v>
      </c>
      <c r="Y167" s="2"/>
      <c r="Z167" s="6">
        <f t="shared" si="31"/>
        <v>0</v>
      </c>
    </row>
    <row r="168" spans="1:26" s="24" customFormat="1" hidden="1" outlineLevel="2" x14ac:dyDescent="0.35">
      <c r="A168" s="29"/>
      <c r="B168" s="11" t="str">
        <f>CONCATENATE("          ", "6010", " - ", "GRATUITY")</f>
        <v xml:space="preserve">          6010 - GRATUITY</v>
      </c>
      <c r="C168" s="11"/>
      <c r="D168" s="7"/>
      <c r="E168" s="2"/>
      <c r="F168" s="6">
        <f t="shared" si="24"/>
        <v>0</v>
      </c>
      <c r="G168" s="2"/>
      <c r="H168" s="7">
        <v>0</v>
      </c>
      <c r="I168" s="2"/>
      <c r="J168" s="6">
        <f t="shared" si="25"/>
        <v>0</v>
      </c>
      <c r="K168" s="2"/>
      <c r="L168" s="7">
        <f t="shared" si="26"/>
        <v>0</v>
      </c>
      <c r="M168" s="2"/>
      <c r="N168" s="6">
        <f t="shared" si="27"/>
        <v>0</v>
      </c>
      <c r="O168" s="11"/>
      <c r="P168" s="7"/>
      <c r="Q168" s="2"/>
      <c r="R168" s="6">
        <f t="shared" si="28"/>
        <v>0</v>
      </c>
      <c r="S168" s="2"/>
      <c r="T168" s="7">
        <v>0</v>
      </c>
      <c r="U168" s="2"/>
      <c r="V168" s="6">
        <f t="shared" si="29"/>
        <v>0</v>
      </c>
      <c r="W168" s="2"/>
      <c r="X168" s="7">
        <f t="shared" si="30"/>
        <v>0</v>
      </c>
      <c r="Y168" s="2"/>
      <c r="Z168" s="6">
        <f t="shared" si="31"/>
        <v>0</v>
      </c>
    </row>
    <row r="169" spans="1:26" s="28" customFormat="1" outlineLevel="1" collapsed="1" x14ac:dyDescent="0.35">
      <c r="A169" s="27"/>
      <c r="B169" s="14" t="str">
        <f>CONCATENATE("     ","Advertising/Promo                                 ")</f>
        <v xml:space="preserve">     Advertising/Promo                                 </v>
      </c>
      <c r="C169" s="14"/>
      <c r="D169" s="1">
        <f>SUM(OSRRefD22_2x_0)</f>
        <v>1703.25</v>
      </c>
      <c r="E169" s="1"/>
      <c r="F169" s="5">
        <f t="shared" ref="F169:F173" si="32">IF(D$12=0,0,D169/D$12)</f>
        <v>1.1647554340123562E-3</v>
      </c>
      <c r="G169" s="1"/>
      <c r="H169" s="1">
        <f>SUM(OSRRefH22_2x_0)</f>
        <v>3700</v>
      </c>
      <c r="I169" s="1"/>
      <c r="J169" s="5">
        <f t="shared" ref="J169:J173" si="33">IF(H$12=0,0,H169/H$12)</f>
        <v>1.4812614422442152E-3</v>
      </c>
      <c r="K169" s="1"/>
      <c r="L169" s="1">
        <f t="shared" ref="L169:L173" si="34">+D169-H169</f>
        <v>-1996.75</v>
      </c>
      <c r="M169" s="1"/>
      <c r="N169" s="5">
        <f t="shared" ref="N169:N173" si="35">IF(H169=0,0,L169/H169)</f>
        <v>-0.53966216216216212</v>
      </c>
      <c r="O169" s="14"/>
      <c r="P169" s="1">
        <f>SUM(OSRRefP22_2x_0)</f>
        <v>18217.59</v>
      </c>
      <c r="Q169" s="1"/>
      <c r="R169" s="5">
        <f t="shared" ref="R169:R173" si="36">IF(P$12=0,0,P169/P$12)</f>
        <v>2.7580446447094836E-3</v>
      </c>
      <c r="S169" s="1"/>
      <c r="T169" s="1">
        <f>SUM(OSRRefT22_2x_0)</f>
        <v>25056</v>
      </c>
      <c r="U169" s="1"/>
      <c r="V169" s="5">
        <f t="shared" ref="V169:V173" si="37">IF(T$12=0,0,T169/T$12)</f>
        <v>2.2545921928986464E-3</v>
      </c>
      <c r="W169" s="1"/>
      <c r="X169" s="1">
        <f t="shared" ref="X169:X173" si="38">+P169-T169</f>
        <v>-6838.41</v>
      </c>
      <c r="Y169" s="1"/>
      <c r="Z169" s="5">
        <f t="shared" ref="Z169:Z173" si="39">IF(T169=0,0,X169/T169)</f>
        <v>-0.27292504789272032</v>
      </c>
    </row>
    <row r="170" spans="1:26" s="24" customFormat="1" hidden="1" outlineLevel="2" x14ac:dyDescent="0.35">
      <c r="A170" s="29"/>
      <c r="B170" s="11" t="str">
        <f>CONCATENATE("          ", "6362", " - ", "ADVERTISING EXPENSE")</f>
        <v xml:space="preserve">          6362 - ADVERTISING EXPENSE</v>
      </c>
      <c r="C170" s="11"/>
      <c r="D170" s="7">
        <v>1703.25</v>
      </c>
      <c r="E170" s="2"/>
      <c r="F170" s="6">
        <f t="shared" si="32"/>
        <v>1.1647554340123562E-3</v>
      </c>
      <c r="G170" s="2"/>
      <c r="H170" s="7">
        <v>3700</v>
      </c>
      <c r="I170" s="2"/>
      <c r="J170" s="6">
        <f t="shared" si="33"/>
        <v>1.4812614422442152E-3</v>
      </c>
      <c r="K170" s="2"/>
      <c r="L170" s="7">
        <f t="shared" si="34"/>
        <v>-1996.75</v>
      </c>
      <c r="M170" s="2"/>
      <c r="N170" s="6">
        <f t="shared" si="35"/>
        <v>-0.53966216216216212</v>
      </c>
      <c r="O170" s="11"/>
      <c r="P170" s="7">
        <v>18217.59</v>
      </c>
      <c r="Q170" s="2"/>
      <c r="R170" s="6">
        <f t="shared" si="36"/>
        <v>2.7580446447094836E-3</v>
      </c>
      <c r="S170" s="2"/>
      <c r="T170" s="7">
        <v>25056</v>
      </c>
      <c r="U170" s="2"/>
      <c r="V170" s="6">
        <f t="shared" si="37"/>
        <v>2.2545921928986464E-3</v>
      </c>
      <c r="W170" s="2"/>
      <c r="X170" s="7">
        <f t="shared" si="38"/>
        <v>-6838.41</v>
      </c>
      <c r="Y170" s="2"/>
      <c r="Z170" s="6">
        <f t="shared" si="39"/>
        <v>-0.27292504789272032</v>
      </c>
    </row>
    <row r="171" spans="1:26" s="28" customFormat="1" outlineLevel="1" collapsed="1" x14ac:dyDescent="0.35">
      <c r="A171" s="27"/>
      <c r="B171" s="14" t="str">
        <f>CONCATENATE("     ","Bad Debts/Over/Short                              ")</f>
        <v xml:space="preserve">     Bad Debts/Over/Short                              </v>
      </c>
      <c r="C171" s="14"/>
      <c r="D171" s="1">
        <f>SUM(OSRRefD22_3x_0)</f>
        <v>1872.1</v>
      </c>
      <c r="E171" s="1"/>
      <c r="F171" s="5">
        <f t="shared" si="32"/>
        <v>1.2802223091234592E-3</v>
      </c>
      <c r="G171" s="1"/>
      <c r="H171" s="1">
        <f>SUM(OSRRefH22_3x_0)</f>
        <v>151</v>
      </c>
      <c r="I171" s="1"/>
      <c r="J171" s="5">
        <f t="shared" si="33"/>
        <v>6.0451480480777433E-5</v>
      </c>
      <c r="K171" s="1"/>
      <c r="L171" s="1">
        <f t="shared" si="34"/>
        <v>1721.1</v>
      </c>
      <c r="M171" s="1"/>
      <c r="N171" s="5">
        <f t="shared" si="35"/>
        <v>11.398013245033113</v>
      </c>
      <c r="O171" s="14"/>
      <c r="P171" s="1">
        <f>SUM(OSRRefP22_3x_0)</f>
        <v>1999.8999999999999</v>
      </c>
      <c r="Q171" s="1"/>
      <c r="R171" s="5">
        <f t="shared" si="36"/>
        <v>3.0277404887004789E-4</v>
      </c>
      <c r="S171" s="1"/>
      <c r="T171" s="1">
        <f>SUM(OSRRefT22_3x_0)</f>
        <v>1095</v>
      </c>
      <c r="U171" s="1"/>
      <c r="V171" s="5">
        <f t="shared" si="37"/>
        <v>9.8530429886016033E-5</v>
      </c>
      <c r="W171" s="1"/>
      <c r="X171" s="1">
        <f t="shared" si="38"/>
        <v>904.89999999999986</v>
      </c>
      <c r="Y171" s="1"/>
      <c r="Z171" s="5">
        <f t="shared" si="39"/>
        <v>0.82639269406392679</v>
      </c>
    </row>
    <row r="172" spans="1:26" s="24" customFormat="1" hidden="1" outlineLevel="2" x14ac:dyDescent="0.35">
      <c r="A172" s="29"/>
      <c r="B172" s="11" t="str">
        <f>CONCATENATE("          ", "6272", " - ", "CASH (OVER/SHORT)")</f>
        <v xml:space="preserve">          6272 - CASH (OVER/SHORT)</v>
      </c>
      <c r="C172" s="11"/>
      <c r="D172" s="7">
        <v>-124.68</v>
      </c>
      <c r="E172" s="2"/>
      <c r="F172" s="6">
        <f t="shared" si="32"/>
        <v>-8.5261533839812466E-5</v>
      </c>
      <c r="G172" s="2"/>
      <c r="H172" s="7">
        <v>101</v>
      </c>
      <c r="I172" s="2"/>
      <c r="J172" s="6">
        <f t="shared" si="33"/>
        <v>4.0434433963963708E-5</v>
      </c>
      <c r="K172" s="2"/>
      <c r="L172" s="7">
        <f t="shared" si="34"/>
        <v>-225.68</v>
      </c>
      <c r="M172" s="2"/>
      <c r="N172" s="6">
        <f t="shared" si="35"/>
        <v>-2.2344554455445547</v>
      </c>
      <c r="O172" s="11"/>
      <c r="P172" s="7">
        <v>3.12</v>
      </c>
      <c r="Q172" s="2"/>
      <c r="R172" s="6">
        <f t="shared" si="36"/>
        <v>4.7235113379396443E-7</v>
      </c>
      <c r="S172" s="2"/>
      <c r="T172" s="7">
        <v>745</v>
      </c>
      <c r="U172" s="2"/>
      <c r="V172" s="6">
        <f t="shared" si="37"/>
        <v>6.7036685173590824E-5</v>
      </c>
      <c r="W172" s="2"/>
      <c r="X172" s="7">
        <f t="shared" si="38"/>
        <v>-741.88</v>
      </c>
      <c r="Y172" s="2"/>
      <c r="Z172" s="6">
        <f t="shared" si="39"/>
        <v>-0.99581208053691272</v>
      </c>
    </row>
    <row r="173" spans="1:26" s="24" customFormat="1" hidden="1" outlineLevel="2" x14ac:dyDescent="0.35">
      <c r="A173" s="29"/>
      <c r="B173" s="11" t="str">
        <f>CONCATENATE("          ", "6342", " - ", "BAD DEBT")</f>
        <v xml:space="preserve">          6342 - BAD DEBT</v>
      </c>
      <c r="C173" s="11"/>
      <c r="D173" s="7">
        <v>1996.78</v>
      </c>
      <c r="E173" s="2"/>
      <c r="F173" s="6">
        <f t="shared" si="32"/>
        <v>1.3654838429632717E-3</v>
      </c>
      <c r="G173" s="2"/>
      <c r="H173" s="7">
        <v>50</v>
      </c>
      <c r="I173" s="2"/>
      <c r="J173" s="6">
        <f t="shared" si="33"/>
        <v>2.0017046516813718E-5</v>
      </c>
      <c r="K173" s="2"/>
      <c r="L173" s="7">
        <f t="shared" si="34"/>
        <v>1946.78</v>
      </c>
      <c r="M173" s="2"/>
      <c r="N173" s="6">
        <f t="shared" si="35"/>
        <v>38.935600000000001</v>
      </c>
      <c r="O173" s="11"/>
      <c r="P173" s="7">
        <v>1996.78</v>
      </c>
      <c r="Q173" s="2"/>
      <c r="R173" s="6">
        <f t="shared" si="36"/>
        <v>3.0230169773625391E-4</v>
      </c>
      <c r="S173" s="2"/>
      <c r="T173" s="7">
        <v>350</v>
      </c>
      <c r="U173" s="2"/>
      <c r="V173" s="6">
        <f t="shared" si="37"/>
        <v>3.1493744712425216E-5</v>
      </c>
      <c r="W173" s="2"/>
      <c r="X173" s="7">
        <f t="shared" si="38"/>
        <v>1646.78</v>
      </c>
      <c r="Y173" s="2"/>
      <c r="Z173" s="6">
        <f t="shared" si="39"/>
        <v>4.7050857142857145</v>
      </c>
    </row>
    <row r="174" spans="1:26" s="28" customFormat="1" outlineLevel="1" collapsed="1" x14ac:dyDescent="0.35">
      <c r="A174" s="27"/>
      <c r="B174" s="14" t="str">
        <f>CONCATENATE("     ","Bank/card Fees                                    ")</f>
        <v xml:space="preserve">     Bank/card Fees                                    </v>
      </c>
      <c r="C174" s="14"/>
      <c r="D174" s="1">
        <f>SUM(OSRRefD22_4x_0)</f>
        <v>15972.030000000002</v>
      </c>
      <c r="E174" s="1"/>
      <c r="F174" s="5">
        <f t="shared" ref="F174:F179" si="40">IF(D$12=0,0,D174/D$12)</f>
        <v>1.0922359450878247E-2</v>
      </c>
      <c r="G174" s="1"/>
      <c r="H174" s="1">
        <f>SUM(OSRRefH22_4x_0)</f>
        <v>24544</v>
      </c>
      <c r="I174" s="1"/>
      <c r="J174" s="5">
        <f t="shared" ref="J174:J179" si="41">IF(H$12=0,0,H174/H$12)</f>
        <v>9.8259677941735183E-3</v>
      </c>
      <c r="K174" s="1"/>
      <c r="L174" s="1">
        <f t="shared" ref="L174:L179" si="42">+D174-H174</f>
        <v>-8571.9699999999975</v>
      </c>
      <c r="M174" s="1"/>
      <c r="N174" s="5">
        <f t="shared" ref="N174:N179" si="43">IF(H174=0,0,L174/H174)</f>
        <v>-0.34924910365058659</v>
      </c>
      <c r="O174" s="14"/>
      <c r="P174" s="1">
        <f>SUM(OSRRefP22_4x_0)</f>
        <v>67591.679999999993</v>
      </c>
      <c r="Q174" s="1"/>
      <c r="R174" s="5">
        <f t="shared" ref="R174:R179" si="44">IF(P$12=0,0,P174/P$12)</f>
        <v>1.0233014962512445E-2</v>
      </c>
      <c r="S174" s="1"/>
      <c r="T174" s="1">
        <f>SUM(OSRRefT22_4x_0)</f>
        <v>197542</v>
      </c>
      <c r="U174" s="1"/>
      <c r="V174" s="5">
        <f t="shared" ref="V174:V179" si="45">IF(T$12=0,0,T174/T$12)</f>
        <v>1.7775249479948293E-2</v>
      </c>
      <c r="W174" s="1"/>
      <c r="X174" s="1">
        <f t="shared" ref="X174:X179" si="46">+P174-T174</f>
        <v>-129950.32</v>
      </c>
      <c r="Y174" s="1"/>
      <c r="Z174" s="5">
        <f t="shared" ref="Z174:Z179" si="47">IF(T174=0,0,X174/T174)</f>
        <v>-0.65783640947241606</v>
      </c>
    </row>
    <row r="175" spans="1:26" s="24" customFormat="1" hidden="1" outlineLevel="2" x14ac:dyDescent="0.35">
      <c r="A175" s="29"/>
      <c r="B175" s="11" t="str">
        <f>CONCATENATE("          ", "6381", " - ", "BANK/CREDIT CARD FEES")</f>
        <v xml:space="preserve">          6381 - BANK/CREDIT CARD FEES</v>
      </c>
      <c r="C175" s="11"/>
      <c r="D175" s="7">
        <v>15972.030000000002</v>
      </c>
      <c r="E175" s="2"/>
      <c r="F175" s="6">
        <f t="shared" si="40"/>
        <v>1.0922359450878247E-2</v>
      </c>
      <c r="G175" s="2"/>
      <c r="H175" s="7">
        <v>24544</v>
      </c>
      <c r="I175" s="2"/>
      <c r="J175" s="6">
        <f t="shared" si="41"/>
        <v>9.8259677941735183E-3</v>
      </c>
      <c r="K175" s="2"/>
      <c r="L175" s="7">
        <f t="shared" si="42"/>
        <v>-8571.9699999999975</v>
      </c>
      <c r="M175" s="2"/>
      <c r="N175" s="6">
        <f t="shared" si="43"/>
        <v>-0.34924910365058659</v>
      </c>
      <c r="O175" s="11"/>
      <c r="P175" s="7">
        <v>67591.679999999993</v>
      </c>
      <c r="Q175" s="2"/>
      <c r="R175" s="6">
        <f t="shared" si="44"/>
        <v>1.0233014962512445E-2</v>
      </c>
      <c r="S175" s="2"/>
      <c r="T175" s="7">
        <v>197542</v>
      </c>
      <c r="U175" s="2"/>
      <c r="V175" s="6">
        <f t="shared" si="45"/>
        <v>1.7775249479948293E-2</v>
      </c>
      <c r="W175" s="2"/>
      <c r="X175" s="7">
        <f t="shared" si="46"/>
        <v>-129950.32</v>
      </c>
      <c r="Y175" s="2"/>
      <c r="Z175" s="6">
        <f t="shared" si="47"/>
        <v>-0.65783640947241606</v>
      </c>
    </row>
    <row r="176" spans="1:26" s="28" customFormat="1" outlineLevel="1" collapsed="1" x14ac:dyDescent="0.35">
      <c r="A176" s="27"/>
      <c r="B176" s="14" t="str">
        <f>CONCATENATE("     ","Depreciation                                      ")</f>
        <v xml:space="preserve">     Depreciation                                      </v>
      </c>
      <c r="C176" s="14"/>
      <c r="D176" s="1">
        <f>SUM(OSRRefD22_5x_0)</f>
        <v>77647.64</v>
      </c>
      <c r="E176" s="1"/>
      <c r="F176" s="5">
        <f t="shared" si="40"/>
        <v>5.3098787980763354E-2</v>
      </c>
      <c r="G176" s="1"/>
      <c r="H176" s="1">
        <f>SUM(OSRRefH22_5x_0)</f>
        <v>77087</v>
      </c>
      <c r="I176" s="1"/>
      <c r="J176" s="5">
        <f t="shared" si="41"/>
        <v>3.0861081296832384E-2</v>
      </c>
      <c r="K176" s="1"/>
      <c r="L176" s="1">
        <f t="shared" si="42"/>
        <v>560.63999999999942</v>
      </c>
      <c r="M176" s="1"/>
      <c r="N176" s="5">
        <f t="shared" si="43"/>
        <v>7.2728216171338801E-3</v>
      </c>
      <c r="O176" s="14"/>
      <c r="P176" s="1">
        <f>SUM(OSRRefP22_5x_0)</f>
        <v>546305.33000000007</v>
      </c>
      <c r="Q176" s="1"/>
      <c r="R176" s="5">
        <f t="shared" si="44"/>
        <v>8.2707673725380099E-2</v>
      </c>
      <c r="S176" s="1"/>
      <c r="T176" s="1">
        <f>SUM(OSRRefT22_5x_0)</f>
        <v>543669</v>
      </c>
      <c r="U176" s="1"/>
      <c r="V176" s="5">
        <f t="shared" si="45"/>
        <v>4.8920493411598591E-2</v>
      </c>
      <c r="W176" s="1"/>
      <c r="X176" s="1">
        <f t="shared" si="46"/>
        <v>2636.3300000000745</v>
      </c>
      <c r="Y176" s="1"/>
      <c r="Z176" s="5">
        <f t="shared" si="47"/>
        <v>4.8491453439502242E-3</v>
      </c>
    </row>
    <row r="177" spans="1:26" s="24" customFormat="1" hidden="1" outlineLevel="2" x14ac:dyDescent="0.35">
      <c r="A177" s="29"/>
      <c r="B177" s="11" t="str">
        <f>CONCATENATE("          ", "6321", " - ", "BUILDING DEPRECIATION")</f>
        <v xml:space="preserve">          6321 - BUILDING DEPRECIATION</v>
      </c>
      <c r="C177" s="11"/>
      <c r="D177" s="7">
        <v>45060.52</v>
      </c>
      <c r="E177" s="2"/>
      <c r="F177" s="6">
        <f t="shared" si="40"/>
        <v>3.0814317058225422E-2</v>
      </c>
      <c r="G177" s="2"/>
      <c r="H177" s="7"/>
      <c r="I177" s="2"/>
      <c r="J177" s="6">
        <f t="shared" si="41"/>
        <v>0</v>
      </c>
      <c r="K177" s="2"/>
      <c r="L177" s="7">
        <f t="shared" si="42"/>
        <v>45060.52</v>
      </c>
      <c r="M177" s="2"/>
      <c r="N177" s="6">
        <f t="shared" si="43"/>
        <v>0</v>
      </c>
      <c r="O177" s="11"/>
      <c r="P177" s="7">
        <v>316207.83</v>
      </c>
      <c r="Q177" s="2"/>
      <c r="R177" s="6">
        <f t="shared" si="44"/>
        <v>4.7872156094560629E-2</v>
      </c>
      <c r="S177" s="2"/>
      <c r="T177" s="7"/>
      <c r="U177" s="2"/>
      <c r="V177" s="6">
        <f t="shared" si="45"/>
        <v>0</v>
      </c>
      <c r="W177" s="2"/>
      <c r="X177" s="7">
        <f t="shared" si="46"/>
        <v>316207.83</v>
      </c>
      <c r="Y177" s="2"/>
      <c r="Z177" s="6">
        <f t="shared" si="47"/>
        <v>0</v>
      </c>
    </row>
    <row r="178" spans="1:26" s="24" customFormat="1" hidden="1" outlineLevel="2" x14ac:dyDescent="0.35">
      <c r="A178" s="29"/>
      <c r="B178" s="11" t="str">
        <f>CONCATENATE("          ", "6322", " - ", "EQUIPMENT DEPRECIATION EXPENSE")</f>
        <v xml:space="preserve">          6322 - EQUIPMENT DEPRECIATION EXPENSE</v>
      </c>
      <c r="C178" s="11"/>
      <c r="D178" s="7">
        <v>32587.119999999999</v>
      </c>
      <c r="E178" s="2"/>
      <c r="F178" s="6">
        <f t="shared" si="40"/>
        <v>2.2284470922537932E-2</v>
      </c>
      <c r="G178" s="2"/>
      <c r="H178" s="7">
        <v>76537</v>
      </c>
      <c r="I178" s="2"/>
      <c r="J178" s="6">
        <f t="shared" si="41"/>
        <v>3.0640893785147432E-2</v>
      </c>
      <c r="K178" s="2"/>
      <c r="L178" s="7">
        <f t="shared" si="42"/>
        <v>-43949.880000000005</v>
      </c>
      <c r="M178" s="2"/>
      <c r="N178" s="6">
        <f t="shared" si="43"/>
        <v>-0.57423050289402522</v>
      </c>
      <c r="O178" s="11"/>
      <c r="P178" s="7">
        <v>230097.5</v>
      </c>
      <c r="Q178" s="2"/>
      <c r="R178" s="6">
        <f t="shared" si="44"/>
        <v>3.4835517630819463E-2</v>
      </c>
      <c r="S178" s="2"/>
      <c r="T178" s="7">
        <v>539819</v>
      </c>
      <c r="U178" s="2"/>
      <c r="V178" s="6">
        <f t="shared" si="45"/>
        <v>4.8574062219761911E-2</v>
      </c>
      <c r="W178" s="2"/>
      <c r="X178" s="7">
        <f t="shared" si="46"/>
        <v>-309721.5</v>
      </c>
      <c r="Y178" s="2"/>
      <c r="Z178" s="6">
        <f t="shared" si="47"/>
        <v>-0.57375064604987969</v>
      </c>
    </row>
    <row r="179" spans="1:26" s="24" customFormat="1" hidden="1" outlineLevel="2" x14ac:dyDescent="0.35">
      <c r="A179" s="29"/>
      <c r="B179" s="11" t="str">
        <f>CONCATENATE("          ", "6326", " - ", "VEHICLES DEPRECIATION EXPENSE")</f>
        <v xml:space="preserve">          6326 - VEHICLES DEPRECIATION EXPENSE</v>
      </c>
      <c r="C179" s="11"/>
      <c r="D179" s="7"/>
      <c r="E179" s="2"/>
      <c r="F179" s="6">
        <f t="shared" si="40"/>
        <v>0</v>
      </c>
      <c r="G179" s="2"/>
      <c r="H179" s="7">
        <v>550</v>
      </c>
      <c r="I179" s="2"/>
      <c r="J179" s="6">
        <f t="shared" si="41"/>
        <v>2.2018751168495089E-4</v>
      </c>
      <c r="K179" s="2"/>
      <c r="L179" s="7">
        <f t="shared" si="42"/>
        <v>-550</v>
      </c>
      <c r="M179" s="2"/>
      <c r="N179" s="6">
        <f t="shared" si="43"/>
        <v>-1</v>
      </c>
      <c r="O179" s="11"/>
      <c r="P179" s="7"/>
      <c r="Q179" s="2"/>
      <c r="R179" s="6">
        <f t="shared" si="44"/>
        <v>0</v>
      </c>
      <c r="S179" s="2"/>
      <c r="T179" s="7">
        <v>3850</v>
      </c>
      <c r="U179" s="2"/>
      <c r="V179" s="6">
        <f t="shared" si="45"/>
        <v>3.4643119183667742E-4</v>
      </c>
      <c r="W179" s="2"/>
      <c r="X179" s="7">
        <f t="shared" si="46"/>
        <v>-3850</v>
      </c>
      <c r="Y179" s="2"/>
      <c r="Z179" s="6">
        <f t="shared" si="47"/>
        <v>-1</v>
      </c>
    </row>
    <row r="180" spans="1:26" s="28" customFormat="1" outlineLevel="1" collapsed="1" x14ac:dyDescent="0.35">
      <c r="A180" s="27"/>
      <c r="B180" s="14" t="str">
        <f>CONCATENATE("     ","Discounts and Markdowns                           ")</f>
        <v xml:space="preserve">     Discounts and Markdowns                           </v>
      </c>
      <c r="C180" s="14"/>
      <c r="D180" s="1">
        <f>SUM(OSRRefD22_6x_0)</f>
        <v>-42.86</v>
      </c>
      <c r="E180" s="1"/>
      <c r="F180" s="5">
        <f t="shared" ref="F180:F182" si="48">IF(D$12=0,0,D180/D$12)</f>
        <v>-2.9309507061071238E-5</v>
      </c>
      <c r="G180" s="1"/>
      <c r="H180" s="1">
        <f>SUM(OSRRefH22_6x_0)</f>
        <v>30087</v>
      </c>
      <c r="I180" s="1"/>
      <c r="J180" s="5">
        <f t="shared" ref="J180:J182" si="49">IF(H$12=0,0,H180/H$12)</f>
        <v>1.2045057571027487E-2</v>
      </c>
      <c r="K180" s="1"/>
      <c r="L180" s="1">
        <f t="shared" ref="L180:L182" si="50">+D180-H180</f>
        <v>-30129.86</v>
      </c>
      <c r="M180" s="1"/>
      <c r="N180" s="5">
        <f t="shared" ref="N180:N182" si="51">IF(H180=0,0,L180/H180)</f>
        <v>-1.001424535513677</v>
      </c>
      <c r="O180" s="14"/>
      <c r="P180" s="1">
        <f>SUM(OSRRefP22_6x_0)</f>
        <v>-42.86</v>
      </c>
      <c r="Q180" s="1"/>
      <c r="R180" s="5">
        <f t="shared" ref="R180:R182" si="52">IF(P$12=0,0,P180/P$12)</f>
        <v>-6.4887723059004217E-6</v>
      </c>
      <c r="S180" s="1"/>
      <c r="T180" s="1">
        <f>SUM(OSRRefT22_6x_0)</f>
        <v>212576</v>
      </c>
      <c r="U180" s="1"/>
      <c r="V180" s="5">
        <f t="shared" ref="V180:V182" si="53">IF(T$12=0,0,T180/T$12)</f>
        <v>1.9128040788538581E-2</v>
      </c>
      <c r="W180" s="1"/>
      <c r="X180" s="1">
        <f t="shared" ref="X180:X182" si="54">+P180-T180</f>
        <v>-212618.86</v>
      </c>
      <c r="Y180" s="1"/>
      <c r="Z180" s="5">
        <f t="shared" ref="Z180:Z182" si="55">IF(T180=0,0,X180/T180)</f>
        <v>-1.0002016220081289</v>
      </c>
    </row>
    <row r="181" spans="1:26" s="24" customFormat="1" hidden="1" outlineLevel="2" x14ac:dyDescent="0.35">
      <c r="A181" s="29"/>
      <c r="B181" s="11" t="str">
        <f>CONCATENATE("          ", "6382", " - ", "DISCOUNTS/MARK DOWNS")</f>
        <v xml:space="preserve">          6382 - DISCOUNTS/MARK DOWNS</v>
      </c>
      <c r="C181" s="11"/>
      <c r="D181" s="7"/>
      <c r="E181" s="2"/>
      <c r="F181" s="6">
        <f t="shared" si="48"/>
        <v>0</v>
      </c>
      <c r="G181" s="2"/>
      <c r="H181" s="7">
        <v>30087</v>
      </c>
      <c r="I181" s="2"/>
      <c r="J181" s="6">
        <f t="shared" si="49"/>
        <v>1.2045057571027487E-2</v>
      </c>
      <c r="K181" s="2"/>
      <c r="L181" s="7">
        <f t="shared" si="50"/>
        <v>-30087</v>
      </c>
      <c r="M181" s="2"/>
      <c r="N181" s="6">
        <f t="shared" si="51"/>
        <v>-1</v>
      </c>
      <c r="O181" s="11"/>
      <c r="P181" s="7">
        <v>0</v>
      </c>
      <c r="Q181" s="2"/>
      <c r="R181" s="6">
        <f t="shared" si="52"/>
        <v>0</v>
      </c>
      <c r="S181" s="2"/>
      <c r="T181" s="7">
        <v>212576</v>
      </c>
      <c r="U181" s="2"/>
      <c r="V181" s="6">
        <f t="shared" si="53"/>
        <v>1.9128040788538581E-2</v>
      </c>
      <c r="W181" s="2"/>
      <c r="X181" s="7">
        <f t="shared" si="54"/>
        <v>-212576</v>
      </c>
      <c r="Y181" s="2"/>
      <c r="Z181" s="6">
        <f t="shared" si="55"/>
        <v>-1</v>
      </c>
    </row>
    <row r="182" spans="1:26" s="24" customFormat="1" hidden="1" outlineLevel="2" x14ac:dyDescent="0.35">
      <c r="A182" s="29"/>
      <c r="B182" s="11" t="str">
        <f>CONCATENATE("          ", "9175", " - ", "EARNED DISCOUNTS")</f>
        <v xml:space="preserve">          9175 - EARNED DISCOUNTS</v>
      </c>
      <c r="C182" s="11"/>
      <c r="D182" s="7">
        <v>-42.86</v>
      </c>
      <c r="E182" s="2"/>
      <c r="F182" s="6">
        <f t="shared" si="48"/>
        <v>-2.9309507061071238E-5</v>
      </c>
      <c r="G182" s="2"/>
      <c r="H182" s="7"/>
      <c r="I182" s="2"/>
      <c r="J182" s="6">
        <f t="shared" si="49"/>
        <v>0</v>
      </c>
      <c r="K182" s="2"/>
      <c r="L182" s="7">
        <f t="shared" si="50"/>
        <v>-42.86</v>
      </c>
      <c r="M182" s="2"/>
      <c r="N182" s="6">
        <f t="shared" si="51"/>
        <v>0</v>
      </c>
      <c r="O182" s="11"/>
      <c r="P182" s="7">
        <v>-42.86</v>
      </c>
      <c r="Q182" s="2"/>
      <c r="R182" s="6">
        <f t="shared" si="52"/>
        <v>-6.4887723059004217E-6</v>
      </c>
      <c r="S182" s="2"/>
      <c r="T182" s="7"/>
      <c r="U182" s="2"/>
      <c r="V182" s="6">
        <f t="shared" si="53"/>
        <v>0</v>
      </c>
      <c r="W182" s="2"/>
      <c r="X182" s="7">
        <f t="shared" si="54"/>
        <v>-42.86</v>
      </c>
      <c r="Y182" s="2"/>
      <c r="Z182" s="6">
        <f t="shared" si="55"/>
        <v>0</v>
      </c>
    </row>
    <row r="183" spans="1:26" s="28" customFormat="1" outlineLevel="1" collapsed="1" x14ac:dyDescent="0.35">
      <c r="A183" s="27"/>
      <c r="B183" s="14" t="str">
        <f>CONCATENATE("     ","Donations                                         ")</f>
        <v xml:space="preserve">     Donations                                         </v>
      </c>
      <c r="C183" s="14"/>
      <c r="D183" s="1">
        <f>SUM(OSRRefD22_7x_0)</f>
        <v>1459.14</v>
      </c>
      <c r="E183" s="1"/>
      <c r="F183" s="5">
        <f t="shared" ref="F183:F185" si="56">IF(D$12=0,0,D183/D$12)</f>
        <v>9.9782254160269454E-4</v>
      </c>
      <c r="G183" s="1"/>
      <c r="H183" s="1">
        <f>SUM(OSRRefH22_7x_0)</f>
        <v>11773</v>
      </c>
      <c r="I183" s="1"/>
      <c r="J183" s="5">
        <f t="shared" ref="J183:J185" si="57">IF(H$12=0,0,H183/H$12)</f>
        <v>4.7132137728489584E-3</v>
      </c>
      <c r="K183" s="1"/>
      <c r="L183" s="1">
        <f t="shared" ref="L183:L185" si="58">+D183-H183</f>
        <v>-10313.86</v>
      </c>
      <c r="M183" s="1"/>
      <c r="N183" s="5">
        <f t="shared" ref="N183:N185" si="59">IF(H183=0,0,L183/H183)</f>
        <v>-0.87606047736345882</v>
      </c>
      <c r="O183" s="14"/>
      <c r="P183" s="1">
        <f>SUM(OSRRefP22_7x_0)</f>
        <v>38281.15</v>
      </c>
      <c r="Q183" s="1"/>
      <c r="R183" s="5">
        <f t="shared" ref="R183:R185" si="60">IF(P$12=0,0,P183/P$12)</f>
        <v>5.7955591684092376E-3</v>
      </c>
      <c r="S183" s="1"/>
      <c r="T183" s="1">
        <f>SUM(OSRRefT22_7x_0)</f>
        <v>85638</v>
      </c>
      <c r="U183" s="1"/>
      <c r="V183" s="5">
        <f t="shared" ref="V183:V185" si="61">IF(T$12=0,0,T183/T$12)</f>
        <v>7.7058894562362021E-3</v>
      </c>
      <c r="W183" s="1"/>
      <c r="X183" s="1">
        <f t="shared" ref="X183:X185" si="62">+P183-T183</f>
        <v>-47356.85</v>
      </c>
      <c r="Y183" s="1"/>
      <c r="Z183" s="5">
        <f t="shared" ref="Z183:Z185" si="63">IF(T183=0,0,X183/T183)</f>
        <v>-0.55298874331488357</v>
      </c>
    </row>
    <row r="184" spans="1:26" s="24" customFormat="1" hidden="1" outlineLevel="2" x14ac:dyDescent="0.35">
      <c r="A184" s="29"/>
      <c r="B184" s="11" t="str">
        <f>CONCATENATE("          ", "6395", " - ", "DONATION-OFF CAMPUS")</f>
        <v xml:space="preserve">          6395 - DONATION-OFF CAMPUS</v>
      </c>
      <c r="C184" s="11"/>
      <c r="D184" s="7"/>
      <c r="E184" s="2"/>
      <c r="F184" s="6">
        <f t="shared" si="56"/>
        <v>0</v>
      </c>
      <c r="G184" s="2"/>
      <c r="H184" s="7"/>
      <c r="I184" s="2"/>
      <c r="J184" s="6">
        <f t="shared" si="57"/>
        <v>0</v>
      </c>
      <c r="K184" s="2"/>
      <c r="L184" s="7">
        <f t="shared" si="58"/>
        <v>0</v>
      </c>
      <c r="M184" s="2"/>
      <c r="N184" s="6">
        <f t="shared" si="59"/>
        <v>0</v>
      </c>
      <c r="O184" s="11"/>
      <c r="P184" s="7"/>
      <c r="Q184" s="2"/>
      <c r="R184" s="6">
        <f t="shared" si="60"/>
        <v>0</v>
      </c>
      <c r="S184" s="2"/>
      <c r="T184" s="7">
        <v>0</v>
      </c>
      <c r="U184" s="2"/>
      <c r="V184" s="6">
        <f t="shared" si="61"/>
        <v>0</v>
      </c>
      <c r="W184" s="2"/>
      <c r="X184" s="7">
        <f t="shared" si="62"/>
        <v>0</v>
      </c>
      <c r="Y184" s="2"/>
      <c r="Z184" s="6">
        <f t="shared" si="63"/>
        <v>0</v>
      </c>
    </row>
    <row r="185" spans="1:26" s="24" customFormat="1" hidden="1" outlineLevel="2" x14ac:dyDescent="0.35">
      <c r="A185" s="29"/>
      <c r="B185" s="11" t="str">
        <f>CONCATENATE("          ", "6399", " - ", "DONATION-ON CAMPUS")</f>
        <v xml:space="preserve">          6399 - DONATION-ON CAMPUS</v>
      </c>
      <c r="C185" s="11"/>
      <c r="D185" s="7">
        <v>1459.14</v>
      </c>
      <c r="E185" s="2"/>
      <c r="F185" s="6">
        <f t="shared" si="56"/>
        <v>9.9782254160269454E-4</v>
      </c>
      <c r="G185" s="2"/>
      <c r="H185" s="7">
        <v>11773</v>
      </c>
      <c r="I185" s="2"/>
      <c r="J185" s="6">
        <f t="shared" si="57"/>
        <v>4.7132137728489584E-3</v>
      </c>
      <c r="K185" s="2"/>
      <c r="L185" s="7">
        <f t="shared" si="58"/>
        <v>-10313.86</v>
      </c>
      <c r="M185" s="2"/>
      <c r="N185" s="6">
        <f t="shared" si="59"/>
        <v>-0.87606047736345882</v>
      </c>
      <c r="O185" s="11"/>
      <c r="P185" s="7">
        <v>38281.15</v>
      </c>
      <c r="Q185" s="2"/>
      <c r="R185" s="6">
        <f t="shared" si="60"/>
        <v>5.7955591684092376E-3</v>
      </c>
      <c r="S185" s="2"/>
      <c r="T185" s="7">
        <v>85638</v>
      </c>
      <c r="U185" s="2"/>
      <c r="V185" s="6">
        <f t="shared" si="61"/>
        <v>7.7058894562362021E-3</v>
      </c>
      <c r="W185" s="2"/>
      <c r="X185" s="7">
        <f t="shared" si="62"/>
        <v>-47356.85</v>
      </c>
      <c r="Y185" s="2"/>
      <c r="Z185" s="6">
        <f t="shared" si="63"/>
        <v>-0.55298874331488357</v>
      </c>
    </row>
    <row r="186" spans="1:26" s="28" customFormat="1" outlineLevel="1" collapsed="1" x14ac:dyDescent="0.35">
      <c r="A186" s="27"/>
      <c r="B186" s="14" t="str">
        <f>CONCATENATE("     ","Employees' Appreciation                           ")</f>
        <v xml:space="preserve">     Employees' Appreciation                           </v>
      </c>
      <c r="C186" s="14"/>
      <c r="D186" s="1">
        <f>SUM(OSRRefD22_8x_0)</f>
        <v>78.33</v>
      </c>
      <c r="E186" s="1"/>
      <c r="F186" s="5">
        <f t="shared" ref="F186:F192" si="64">IF(D$12=0,0,D186/D$12)</f>
        <v>5.356541502785138E-5</v>
      </c>
      <c r="G186" s="1"/>
      <c r="H186" s="1">
        <f>SUM(OSRRefH22_8x_0)</f>
        <v>765</v>
      </c>
      <c r="I186" s="1"/>
      <c r="J186" s="5">
        <f t="shared" ref="J186:J192" si="65">IF(H$12=0,0,H186/H$12)</f>
        <v>3.062608117072499E-4</v>
      </c>
      <c r="K186" s="1"/>
      <c r="L186" s="1">
        <f t="shared" ref="L186:L192" si="66">+D186-H186</f>
        <v>-686.67</v>
      </c>
      <c r="M186" s="1"/>
      <c r="N186" s="5">
        <f t="shared" ref="N186:N192" si="67">IF(H186=0,0,L186/H186)</f>
        <v>-0.89760784313725483</v>
      </c>
      <c r="O186" s="14"/>
      <c r="P186" s="1">
        <f>SUM(OSRRefP22_8x_0)</f>
        <v>196.03</v>
      </c>
      <c r="Q186" s="1"/>
      <c r="R186" s="5">
        <f t="shared" ref="R186:R192" si="68">IF(P$12=0,0,P186/P$12)</f>
        <v>2.9677882294112452E-5</v>
      </c>
      <c r="S186" s="1"/>
      <c r="T186" s="1">
        <f>SUM(OSRRefT22_8x_0)</f>
        <v>5205</v>
      </c>
      <c r="U186" s="1"/>
      <c r="V186" s="5">
        <f t="shared" ref="V186:V192" si="69">IF(T$12=0,0,T186/T$12)</f>
        <v>4.683569749376379E-4</v>
      </c>
      <c r="W186" s="1"/>
      <c r="X186" s="1">
        <f t="shared" ref="X186:X192" si="70">+P186-T186</f>
        <v>-5008.97</v>
      </c>
      <c r="Y186" s="1"/>
      <c r="Z186" s="5">
        <f t="shared" ref="Z186:Z192" si="71">IF(T186=0,0,X186/T186)</f>
        <v>-0.9623381364073007</v>
      </c>
    </row>
    <row r="187" spans="1:26" s="24" customFormat="1" hidden="1" outlineLevel="2" x14ac:dyDescent="0.35">
      <c r="A187" s="29"/>
      <c r="B187" s="11" t="str">
        <f>CONCATENATE("          ", "6277", " - ", "EMPLOYEE APPRECIATION")</f>
        <v xml:space="preserve">          6277 - EMPLOYEE APPRECIATION</v>
      </c>
      <c r="C187" s="11"/>
      <c r="D187" s="7">
        <v>78.33</v>
      </c>
      <c r="E187" s="2"/>
      <c r="F187" s="6">
        <f t="shared" si="64"/>
        <v>5.356541502785138E-5</v>
      </c>
      <c r="G187" s="2"/>
      <c r="H187" s="7">
        <v>765</v>
      </c>
      <c r="I187" s="2"/>
      <c r="J187" s="6">
        <f t="shared" si="65"/>
        <v>3.062608117072499E-4</v>
      </c>
      <c r="K187" s="2"/>
      <c r="L187" s="7">
        <f t="shared" si="66"/>
        <v>-686.67</v>
      </c>
      <c r="M187" s="2"/>
      <c r="N187" s="6">
        <f t="shared" si="67"/>
        <v>-0.89760784313725483</v>
      </c>
      <c r="O187" s="11"/>
      <c r="P187" s="7">
        <v>196.03</v>
      </c>
      <c r="Q187" s="2"/>
      <c r="R187" s="6">
        <f t="shared" si="68"/>
        <v>2.9677882294112452E-5</v>
      </c>
      <c r="S187" s="2"/>
      <c r="T187" s="7">
        <v>5205</v>
      </c>
      <c r="U187" s="2"/>
      <c r="V187" s="6">
        <f t="shared" si="69"/>
        <v>4.683569749376379E-4</v>
      </c>
      <c r="W187" s="2"/>
      <c r="X187" s="7">
        <f t="shared" si="70"/>
        <v>-5008.97</v>
      </c>
      <c r="Y187" s="2"/>
      <c r="Z187" s="6">
        <f t="shared" si="71"/>
        <v>-0.9623381364073007</v>
      </c>
    </row>
    <row r="188" spans="1:26" s="28" customFormat="1" outlineLevel="1" collapsed="1" x14ac:dyDescent="0.35">
      <c r="A188" s="27"/>
      <c r="B188" s="14" t="str">
        <f>CONCATENATE("     ","Equipment Rental                                  ")</f>
        <v xml:space="preserve">     Equipment Rental                                  </v>
      </c>
      <c r="C188" s="14"/>
      <c r="D188" s="1">
        <f>SUM(OSRRefD22_9x_0)</f>
        <v>2009.31</v>
      </c>
      <c r="E188" s="1"/>
      <c r="F188" s="5">
        <f t="shared" si="64"/>
        <v>1.374052394607584E-3</v>
      </c>
      <c r="G188" s="1"/>
      <c r="H188" s="1">
        <f>SUM(OSRRefH22_9x_0)</f>
        <v>4216.333333333333</v>
      </c>
      <c r="I188" s="1"/>
      <c r="J188" s="5">
        <f t="shared" si="65"/>
        <v>1.6879708092745113E-3</v>
      </c>
      <c r="K188" s="1"/>
      <c r="L188" s="1">
        <f t="shared" si="66"/>
        <v>-2207.0233333333331</v>
      </c>
      <c r="M188" s="1"/>
      <c r="N188" s="5">
        <f t="shared" si="67"/>
        <v>-0.52344612222310061</v>
      </c>
      <c r="O188" s="14"/>
      <c r="P188" s="1">
        <f>SUM(OSRRefP22_9x_0)</f>
        <v>18375.350000000002</v>
      </c>
      <c r="Q188" s="1"/>
      <c r="R188" s="5">
        <f t="shared" si="68"/>
        <v>2.7819286558849118E-3</v>
      </c>
      <c r="S188" s="1"/>
      <c r="T188" s="1">
        <f>SUM(OSRRefT22_9x_0)</f>
        <v>28749.333333333332</v>
      </c>
      <c r="U188" s="1"/>
      <c r="V188" s="5">
        <f t="shared" si="69"/>
        <v>2.5869261847211904E-3</v>
      </c>
      <c r="W188" s="1"/>
      <c r="X188" s="1">
        <f t="shared" si="70"/>
        <v>-10373.98333333333</v>
      </c>
      <c r="Y188" s="1"/>
      <c r="Z188" s="5">
        <f t="shared" si="71"/>
        <v>-0.36084257026249872</v>
      </c>
    </row>
    <row r="189" spans="1:26" s="24" customFormat="1" hidden="1" outlineLevel="2" x14ac:dyDescent="0.35">
      <c r="A189" s="29"/>
      <c r="B189" s="11" t="str">
        <f>CONCATENATE("          ", "6351", " - ", "EQUIPMENT RENTAL")</f>
        <v xml:space="preserve">          6351 - EQUIPMENT RENTAL</v>
      </c>
      <c r="C189" s="11"/>
      <c r="D189" s="7">
        <v>2009.31</v>
      </c>
      <c r="E189" s="2"/>
      <c r="F189" s="6">
        <f t="shared" si="64"/>
        <v>1.374052394607584E-3</v>
      </c>
      <c r="G189" s="2"/>
      <c r="H189" s="7">
        <v>4216.333333333333</v>
      </c>
      <c r="I189" s="2"/>
      <c r="J189" s="6">
        <f t="shared" si="65"/>
        <v>1.6879708092745113E-3</v>
      </c>
      <c r="K189" s="2"/>
      <c r="L189" s="7">
        <f t="shared" si="66"/>
        <v>-2207.0233333333331</v>
      </c>
      <c r="M189" s="2"/>
      <c r="N189" s="6">
        <f t="shared" si="67"/>
        <v>-0.52344612222310061</v>
      </c>
      <c r="O189" s="11"/>
      <c r="P189" s="7">
        <v>18375.350000000002</v>
      </c>
      <c r="Q189" s="2"/>
      <c r="R189" s="6">
        <f t="shared" si="68"/>
        <v>2.7819286558849118E-3</v>
      </c>
      <c r="S189" s="2"/>
      <c r="T189" s="7">
        <v>28749.333333333332</v>
      </c>
      <c r="U189" s="2"/>
      <c r="V189" s="6">
        <f t="shared" si="69"/>
        <v>2.5869261847211904E-3</v>
      </c>
      <c r="W189" s="2"/>
      <c r="X189" s="7">
        <f t="shared" si="70"/>
        <v>-10373.98333333333</v>
      </c>
      <c r="Y189" s="2"/>
      <c r="Z189" s="6">
        <f t="shared" si="71"/>
        <v>-0.36084257026249872</v>
      </c>
    </row>
    <row r="190" spans="1:26" s="28" customFormat="1" outlineLevel="1" collapsed="1" x14ac:dyDescent="0.35">
      <c r="A190" s="27"/>
      <c r="B190" s="14" t="str">
        <f>CONCATENATE("     ","Freight out/Postage                               ")</f>
        <v xml:space="preserve">     Freight out/Postage                               </v>
      </c>
      <c r="C190" s="14"/>
      <c r="D190" s="1">
        <f>SUM(OSRRefD22_10x_0)</f>
        <v>-21639.420000000002</v>
      </c>
      <c r="E190" s="1"/>
      <c r="F190" s="5">
        <f t="shared" si="64"/>
        <v>-1.4797963912447183E-2</v>
      </c>
      <c r="G190" s="1"/>
      <c r="H190" s="1">
        <f>SUM(OSRRefH22_10x_0)</f>
        <v>-11285</v>
      </c>
      <c r="I190" s="1"/>
      <c r="J190" s="5">
        <f t="shared" si="65"/>
        <v>-4.5178473988448566E-3</v>
      </c>
      <c r="K190" s="1"/>
      <c r="L190" s="1">
        <f t="shared" si="66"/>
        <v>-10354.420000000002</v>
      </c>
      <c r="M190" s="1"/>
      <c r="N190" s="5">
        <f t="shared" si="67"/>
        <v>0.91753832521045653</v>
      </c>
      <c r="O190" s="14"/>
      <c r="P190" s="1">
        <f>SUM(OSRRefP22_10x_0)</f>
        <v>-35711.140000000014</v>
      </c>
      <c r="Q190" s="1"/>
      <c r="R190" s="5">
        <f t="shared" si="68"/>
        <v>-5.4064735474599361E-3</v>
      </c>
      <c r="S190" s="1"/>
      <c r="T190" s="1">
        <f>SUM(OSRRefT22_10x_0)</f>
        <v>40940</v>
      </c>
      <c r="U190" s="1"/>
      <c r="V190" s="5">
        <f t="shared" si="69"/>
        <v>3.6838683100762527E-3</v>
      </c>
      <c r="W190" s="1"/>
      <c r="X190" s="1">
        <f t="shared" si="70"/>
        <v>-76651.140000000014</v>
      </c>
      <c r="Y190" s="1"/>
      <c r="Z190" s="5">
        <f t="shared" si="71"/>
        <v>-1.8722799218368347</v>
      </c>
    </row>
    <row r="191" spans="1:26" s="24" customFormat="1" hidden="1" outlineLevel="2" x14ac:dyDescent="0.35">
      <c r="A191" s="29"/>
      <c r="B191" s="11" t="str">
        <f>CONCATENATE("          ", "6305", " - ", "FREIGHT OUT")</f>
        <v xml:space="preserve">          6305 - FREIGHT OUT</v>
      </c>
      <c r="C191" s="11"/>
      <c r="D191" s="7">
        <v>18846.8</v>
      </c>
      <c r="E191" s="2"/>
      <c r="F191" s="6">
        <f t="shared" si="64"/>
        <v>1.2888250529131997E-2</v>
      </c>
      <c r="G191" s="2"/>
      <c r="H191" s="7">
        <v>4685</v>
      </c>
      <c r="I191" s="2"/>
      <c r="J191" s="6">
        <f t="shared" si="65"/>
        <v>1.8755972586254454E-3</v>
      </c>
      <c r="K191" s="2"/>
      <c r="L191" s="7">
        <f t="shared" si="66"/>
        <v>14161.8</v>
      </c>
      <c r="M191" s="2"/>
      <c r="N191" s="6">
        <f t="shared" si="67"/>
        <v>3.0227961579509071</v>
      </c>
      <c r="O191" s="11"/>
      <c r="P191" s="7">
        <v>136589.76000000001</v>
      </c>
      <c r="Q191" s="2"/>
      <c r="R191" s="6">
        <f t="shared" si="68"/>
        <v>2.0678951282258173E-2</v>
      </c>
      <c r="S191" s="2"/>
      <c r="T191" s="7">
        <v>37480</v>
      </c>
      <c r="U191" s="2"/>
      <c r="V191" s="6">
        <f t="shared" si="69"/>
        <v>3.3725301480619918E-3</v>
      </c>
      <c r="W191" s="2"/>
      <c r="X191" s="7">
        <f t="shared" si="70"/>
        <v>99109.760000000009</v>
      </c>
      <c r="Y191" s="2"/>
      <c r="Z191" s="6">
        <f t="shared" si="71"/>
        <v>2.6443372465314838</v>
      </c>
    </row>
    <row r="192" spans="1:26" s="24" customFormat="1" hidden="1" outlineLevel="2" x14ac:dyDescent="0.35">
      <c r="A192" s="29"/>
      <c r="B192" s="11" t="str">
        <f>CONCATENATE("          ", "6307", " - ", "POSTAGE")</f>
        <v xml:space="preserve">          6307 - POSTAGE</v>
      </c>
      <c r="C192" s="11"/>
      <c r="D192" s="7">
        <v>-40486.22</v>
      </c>
      <c r="E192" s="2"/>
      <c r="F192" s="6">
        <f t="shared" si="64"/>
        <v>-2.768621444157918E-2</v>
      </c>
      <c r="G192" s="2"/>
      <c r="H192" s="7">
        <v>-15970</v>
      </c>
      <c r="I192" s="2"/>
      <c r="J192" s="6">
        <f t="shared" si="65"/>
        <v>-6.393444657470302E-3</v>
      </c>
      <c r="K192" s="2"/>
      <c r="L192" s="7">
        <f t="shared" si="66"/>
        <v>-24516.22</v>
      </c>
      <c r="M192" s="2"/>
      <c r="N192" s="6">
        <f t="shared" si="67"/>
        <v>1.5351421415153412</v>
      </c>
      <c r="O192" s="11"/>
      <c r="P192" s="7">
        <v>-172300.90000000002</v>
      </c>
      <c r="Q192" s="2"/>
      <c r="R192" s="6">
        <f t="shared" si="68"/>
        <v>-2.6085424829718106E-2</v>
      </c>
      <c r="S192" s="2"/>
      <c r="T192" s="7">
        <v>3460</v>
      </c>
      <c r="U192" s="2"/>
      <c r="V192" s="6">
        <f t="shared" si="69"/>
        <v>3.1133816201426071E-4</v>
      </c>
      <c r="W192" s="2"/>
      <c r="X192" s="7">
        <f t="shared" si="70"/>
        <v>-175760.90000000002</v>
      </c>
      <c r="Y192" s="2"/>
      <c r="Z192" s="6">
        <f t="shared" si="71"/>
        <v>-50.797947976878618</v>
      </c>
    </row>
    <row r="193" spans="1:26" s="28" customFormat="1" outlineLevel="1" collapsed="1" x14ac:dyDescent="0.35">
      <c r="A193" s="27"/>
      <c r="B193" s="14" t="str">
        <f>CONCATENATE("     ","General                                           ")</f>
        <v xml:space="preserve">     General                                           </v>
      </c>
      <c r="C193" s="14"/>
      <c r="D193" s="1">
        <f>SUM(OSRRefD22_11x_0)</f>
        <v>198.64</v>
      </c>
      <c r="E193" s="1"/>
      <c r="F193" s="5">
        <f t="shared" ref="F193:F196" si="72">IF(D$12=0,0,D193/D$12)</f>
        <v>1.358385553572373E-4</v>
      </c>
      <c r="G193" s="1"/>
      <c r="H193" s="1">
        <f>SUM(OSRRefH22_11x_0)</f>
        <v>1510</v>
      </c>
      <c r="I193" s="1"/>
      <c r="J193" s="5">
        <f t="shared" ref="J193:J196" si="73">IF(H$12=0,0,H193/H$12)</f>
        <v>6.0451480480777425E-4</v>
      </c>
      <c r="K193" s="1"/>
      <c r="L193" s="1">
        <f t="shared" ref="L193:L196" si="74">+D193-H193</f>
        <v>-1311.3600000000001</v>
      </c>
      <c r="M193" s="1"/>
      <c r="N193" s="5">
        <f t="shared" ref="N193:N196" si="75">IF(H193=0,0,L193/H193)</f>
        <v>-0.86845033112582792</v>
      </c>
      <c r="O193" s="14"/>
      <c r="P193" s="1">
        <f>SUM(OSRRefP22_11x_0)</f>
        <v>17508.22</v>
      </c>
      <c r="Q193" s="1"/>
      <c r="R193" s="5">
        <f t="shared" ref="R193:R196" si="76">IF(P$12=0,0,P193/P$12)</f>
        <v>2.6506498614468476E-3</v>
      </c>
      <c r="S193" s="1"/>
      <c r="T193" s="1">
        <f>SUM(OSRRefT22_11x_0)</f>
        <v>24025</v>
      </c>
      <c r="U193" s="1"/>
      <c r="V193" s="5">
        <f t="shared" ref="V193:V196" si="77">IF(T$12=0,0,T193/T$12)</f>
        <v>2.1618206191886167E-3</v>
      </c>
      <c r="W193" s="1"/>
      <c r="X193" s="1">
        <f t="shared" ref="X193:X196" si="78">+P193-T193</f>
        <v>-6516.7799999999988</v>
      </c>
      <c r="Y193" s="1"/>
      <c r="Z193" s="5">
        <f t="shared" ref="Z193:Z196" si="79">IF(T193=0,0,X193/T193)</f>
        <v>-0.27124994797086366</v>
      </c>
    </row>
    <row r="194" spans="1:26" s="24" customFormat="1" hidden="1" outlineLevel="2" x14ac:dyDescent="0.35">
      <c r="A194" s="29"/>
      <c r="B194" s="11" t="str">
        <f>CONCATENATE("          ", "6269", " - ", "ENTERTAINMENT")</f>
        <v xml:space="preserve">          6269 - ENTERTAINMENT</v>
      </c>
      <c r="C194" s="11"/>
      <c r="D194" s="7"/>
      <c r="E194" s="2"/>
      <c r="F194" s="6">
        <f t="shared" si="72"/>
        <v>0</v>
      </c>
      <c r="G194" s="2"/>
      <c r="H194" s="7"/>
      <c r="I194" s="2"/>
      <c r="J194" s="6">
        <f t="shared" si="73"/>
        <v>0</v>
      </c>
      <c r="K194" s="2"/>
      <c r="L194" s="7">
        <f t="shared" si="74"/>
        <v>0</v>
      </c>
      <c r="M194" s="2"/>
      <c r="N194" s="6">
        <f t="shared" si="75"/>
        <v>0</v>
      </c>
      <c r="O194" s="11"/>
      <c r="P194" s="7"/>
      <c r="Q194" s="2"/>
      <c r="R194" s="6">
        <f t="shared" si="76"/>
        <v>0</v>
      </c>
      <c r="S194" s="2"/>
      <c r="T194" s="7">
        <v>1375</v>
      </c>
      <c r="U194" s="2"/>
      <c r="V194" s="6">
        <f t="shared" si="77"/>
        <v>1.2372542565595621E-4</v>
      </c>
      <c r="W194" s="2"/>
      <c r="X194" s="7">
        <f t="shared" si="78"/>
        <v>-1375</v>
      </c>
      <c r="Y194" s="2"/>
      <c r="Z194" s="6">
        <f t="shared" si="79"/>
        <v>-1</v>
      </c>
    </row>
    <row r="195" spans="1:26" s="24" customFormat="1" hidden="1" outlineLevel="2" x14ac:dyDescent="0.35">
      <c r="A195" s="29"/>
      <c r="B195" s="11" t="str">
        <f>CONCATENATE("          ", "6276", " - ", "PROPERTY TAX")</f>
        <v xml:space="preserve">          6276 - PROPERTY TAX</v>
      </c>
      <c r="C195" s="11"/>
      <c r="D195" s="7"/>
      <c r="E195" s="2"/>
      <c r="F195" s="6">
        <f t="shared" si="72"/>
        <v>0</v>
      </c>
      <c r="G195" s="2"/>
      <c r="H195" s="7"/>
      <c r="I195" s="2"/>
      <c r="J195" s="6">
        <f t="shared" si="73"/>
        <v>0</v>
      </c>
      <c r="K195" s="2"/>
      <c r="L195" s="7">
        <f t="shared" si="74"/>
        <v>0</v>
      </c>
      <c r="M195" s="2"/>
      <c r="N195" s="6">
        <f t="shared" si="75"/>
        <v>0</v>
      </c>
      <c r="O195" s="11"/>
      <c r="P195" s="7"/>
      <c r="Q195" s="2"/>
      <c r="R195" s="6">
        <f t="shared" si="76"/>
        <v>0</v>
      </c>
      <c r="S195" s="2"/>
      <c r="T195" s="7">
        <v>150</v>
      </c>
      <c r="U195" s="2"/>
      <c r="V195" s="6">
        <f t="shared" si="77"/>
        <v>1.349731916246795E-5</v>
      </c>
      <c r="W195" s="2"/>
      <c r="X195" s="7">
        <f t="shared" si="78"/>
        <v>-150</v>
      </c>
      <c r="Y195" s="2"/>
      <c r="Z195" s="6">
        <f t="shared" si="79"/>
        <v>-1</v>
      </c>
    </row>
    <row r="196" spans="1:26" s="24" customFormat="1" hidden="1" outlineLevel="2" x14ac:dyDescent="0.35">
      <c r="A196" s="29"/>
      <c r="B196" s="11" t="str">
        <f>CONCATENATE("          ", "6279", " - ", "GENERAL EXPENSE")</f>
        <v xml:space="preserve">          6279 - GENERAL EXPENSE</v>
      </c>
      <c r="C196" s="11"/>
      <c r="D196" s="7">
        <v>198.64</v>
      </c>
      <c r="E196" s="2"/>
      <c r="F196" s="6">
        <f t="shared" si="72"/>
        <v>1.358385553572373E-4</v>
      </c>
      <c r="G196" s="2"/>
      <c r="H196" s="7">
        <v>1510</v>
      </c>
      <c r="I196" s="2"/>
      <c r="J196" s="6">
        <f t="shared" si="73"/>
        <v>6.0451480480777425E-4</v>
      </c>
      <c r="K196" s="2"/>
      <c r="L196" s="7">
        <f t="shared" si="74"/>
        <v>-1311.3600000000001</v>
      </c>
      <c r="M196" s="2"/>
      <c r="N196" s="6">
        <f t="shared" si="75"/>
        <v>-0.86845033112582792</v>
      </c>
      <c r="O196" s="11"/>
      <c r="P196" s="7">
        <v>17508.22</v>
      </c>
      <c r="Q196" s="2"/>
      <c r="R196" s="6">
        <f t="shared" si="76"/>
        <v>2.6506498614468476E-3</v>
      </c>
      <c r="S196" s="2"/>
      <c r="T196" s="7">
        <v>22500</v>
      </c>
      <c r="U196" s="2"/>
      <c r="V196" s="6">
        <f t="shared" si="77"/>
        <v>2.0245978743701925E-3</v>
      </c>
      <c r="W196" s="2"/>
      <c r="X196" s="7">
        <f t="shared" si="78"/>
        <v>-4991.7799999999988</v>
      </c>
      <c r="Y196" s="2"/>
      <c r="Z196" s="6">
        <f t="shared" si="79"/>
        <v>-0.22185688888888883</v>
      </c>
    </row>
    <row r="197" spans="1:26" s="28" customFormat="1" outlineLevel="1" collapsed="1" x14ac:dyDescent="0.35">
      <c r="A197" s="27"/>
      <c r="B197" s="14" t="str">
        <f>CONCATENATE("     ","Insurance                                         ")</f>
        <v xml:space="preserve">     Insurance                                         </v>
      </c>
      <c r="C197" s="14"/>
      <c r="D197" s="1">
        <f>SUM(OSRRefD22_12x_0)</f>
        <v>8563.32</v>
      </c>
      <c r="E197" s="1"/>
      <c r="F197" s="5">
        <f t="shared" ref="F197:F213" si="80">IF(D$12=0,0,D197/D$12)</f>
        <v>5.8559656557679082E-3</v>
      </c>
      <c r="G197" s="1"/>
      <c r="H197" s="1">
        <f>SUM(OSRRefH22_12x_0)</f>
        <v>9321</v>
      </c>
      <c r="I197" s="1"/>
      <c r="J197" s="5">
        <f t="shared" ref="J197:J213" si="81">IF(H$12=0,0,H197/H$12)</f>
        <v>3.7315778116644134E-3</v>
      </c>
      <c r="K197" s="1"/>
      <c r="L197" s="1">
        <f t="shared" ref="L197:L213" si="82">+D197-H197</f>
        <v>-757.68000000000029</v>
      </c>
      <c r="M197" s="1"/>
      <c r="N197" s="5">
        <f t="shared" ref="N197:N213" si="83">IF(H197=0,0,L197/H197)</f>
        <v>-8.128741551335697E-2</v>
      </c>
      <c r="O197" s="14"/>
      <c r="P197" s="1">
        <f>SUM(OSRRefP22_12x_0)</f>
        <v>66055.239999999991</v>
      </c>
      <c r="Q197" s="1"/>
      <c r="R197" s="5">
        <f t="shared" ref="R197:R213" si="84">IF(P$12=0,0,P197/P$12)</f>
        <v>1.0000406252253983E-2</v>
      </c>
      <c r="S197" s="1"/>
      <c r="T197" s="1">
        <f>SUM(OSRRefT22_12x_0)</f>
        <v>65247.000000000007</v>
      </c>
      <c r="U197" s="1"/>
      <c r="V197" s="5">
        <f t="shared" ref="V197:V213" si="85">IF(T$12=0,0,T197/T$12)</f>
        <v>5.8710638892903099E-3</v>
      </c>
      <c r="W197" s="1"/>
      <c r="X197" s="1">
        <f t="shared" ref="X197:X213" si="86">+P197-T197</f>
        <v>808.23999999998341</v>
      </c>
      <c r="Y197" s="1"/>
      <c r="Z197" s="5">
        <f t="shared" ref="Z197:Z213" si="87">IF(T197=0,0,X197/T197)</f>
        <v>1.2387389458518911E-2</v>
      </c>
    </row>
    <row r="198" spans="1:26" s="24" customFormat="1" hidden="1" outlineLevel="2" x14ac:dyDescent="0.35">
      <c r="A198" s="29"/>
      <c r="B198" s="11" t="str">
        <f>CONCATENATE("          ", "6314", " - ", "LIABILITY INSURANCE")</f>
        <v xml:space="preserve">          6314 - LIABILITY INSURANCE</v>
      </c>
      <c r="C198" s="11"/>
      <c r="D198" s="7">
        <v>8563.32</v>
      </c>
      <c r="E198" s="2"/>
      <c r="F198" s="6">
        <f t="shared" si="80"/>
        <v>5.8559656557679082E-3</v>
      </c>
      <c r="G198" s="2"/>
      <c r="H198" s="7">
        <v>9321</v>
      </c>
      <c r="I198" s="2"/>
      <c r="J198" s="6">
        <f t="shared" si="81"/>
        <v>3.7315778116644134E-3</v>
      </c>
      <c r="K198" s="2"/>
      <c r="L198" s="7">
        <f t="shared" si="82"/>
        <v>-757.68000000000029</v>
      </c>
      <c r="M198" s="2"/>
      <c r="N198" s="6">
        <f t="shared" si="83"/>
        <v>-8.128741551335697E-2</v>
      </c>
      <c r="O198" s="11"/>
      <c r="P198" s="7">
        <v>66055.239999999991</v>
      </c>
      <c r="Q198" s="2"/>
      <c r="R198" s="6">
        <f t="shared" si="84"/>
        <v>1.0000406252253983E-2</v>
      </c>
      <c r="S198" s="2"/>
      <c r="T198" s="7">
        <v>65247.000000000007</v>
      </c>
      <c r="U198" s="2"/>
      <c r="V198" s="6">
        <f t="shared" si="85"/>
        <v>5.8710638892903099E-3</v>
      </c>
      <c r="W198" s="2"/>
      <c r="X198" s="7">
        <f t="shared" si="86"/>
        <v>808.23999999998341</v>
      </c>
      <c r="Y198" s="2"/>
      <c r="Z198" s="6">
        <f t="shared" si="87"/>
        <v>1.2387389458518911E-2</v>
      </c>
    </row>
    <row r="199" spans="1:26" s="28" customFormat="1" outlineLevel="1" collapsed="1" x14ac:dyDescent="0.35">
      <c r="A199" s="27"/>
      <c r="B199" s="14" t="str">
        <f>CONCATENATE("     ","Interest                                          ")</f>
        <v xml:space="preserve">     Interest                                          </v>
      </c>
      <c r="C199" s="14"/>
      <c r="D199" s="1">
        <f>SUM(OSRRefD22_13x_0)</f>
        <v>11554</v>
      </c>
      <c r="E199" s="1"/>
      <c r="F199" s="5">
        <f t="shared" si="80"/>
        <v>7.9011209655533623E-3</v>
      </c>
      <c r="G199" s="1"/>
      <c r="H199" s="1">
        <f>SUM(OSRRefH22_13x_0)</f>
        <v>11554</v>
      </c>
      <c r="I199" s="1"/>
      <c r="J199" s="5">
        <f t="shared" si="81"/>
        <v>4.6255391091053139E-3</v>
      </c>
      <c r="K199" s="1"/>
      <c r="L199" s="1">
        <f t="shared" si="82"/>
        <v>0</v>
      </c>
      <c r="M199" s="1"/>
      <c r="N199" s="5">
        <f t="shared" si="83"/>
        <v>0</v>
      </c>
      <c r="O199" s="14"/>
      <c r="P199" s="1">
        <f>SUM(OSRRefP22_13x_0)</f>
        <v>80129</v>
      </c>
      <c r="Q199" s="1"/>
      <c r="R199" s="5">
        <f t="shared" si="84"/>
        <v>1.2131097435825825E-2</v>
      </c>
      <c r="S199" s="1"/>
      <c r="T199" s="1">
        <f>SUM(OSRRefT22_13x_0)</f>
        <v>80878</v>
      </c>
      <c r="U199" s="1"/>
      <c r="V199" s="5">
        <f t="shared" si="85"/>
        <v>7.2775745281472197E-3</v>
      </c>
      <c r="W199" s="1"/>
      <c r="X199" s="1">
        <f t="shared" si="86"/>
        <v>-749</v>
      </c>
      <c r="Y199" s="1"/>
      <c r="Z199" s="5">
        <f t="shared" si="87"/>
        <v>-9.2608620391206511E-3</v>
      </c>
    </row>
    <row r="200" spans="1:26" s="24" customFormat="1" hidden="1" outlineLevel="2" x14ac:dyDescent="0.35">
      <c r="A200" s="29"/>
      <c r="B200" s="11" t="str">
        <f>CONCATENATE("          ", "6401", " - ", "INTEREST EXPENSE")</f>
        <v xml:space="preserve">          6401 - INTEREST EXPENSE</v>
      </c>
      <c r="C200" s="11"/>
      <c r="D200" s="7">
        <v>11554</v>
      </c>
      <c r="E200" s="2"/>
      <c r="F200" s="6">
        <f t="shared" si="80"/>
        <v>7.9011209655533623E-3</v>
      </c>
      <c r="G200" s="2"/>
      <c r="H200" s="7">
        <v>11554</v>
      </c>
      <c r="I200" s="2"/>
      <c r="J200" s="6">
        <f t="shared" si="81"/>
        <v>4.6255391091053139E-3</v>
      </c>
      <c r="K200" s="2"/>
      <c r="L200" s="7">
        <f t="shared" si="82"/>
        <v>0</v>
      </c>
      <c r="M200" s="2"/>
      <c r="N200" s="6">
        <f t="shared" si="83"/>
        <v>0</v>
      </c>
      <c r="O200" s="11"/>
      <c r="P200" s="7">
        <v>80129</v>
      </c>
      <c r="Q200" s="2"/>
      <c r="R200" s="6">
        <f t="shared" si="84"/>
        <v>1.2131097435825825E-2</v>
      </c>
      <c r="S200" s="2"/>
      <c r="T200" s="7">
        <v>80878</v>
      </c>
      <c r="U200" s="2"/>
      <c r="V200" s="6">
        <f t="shared" si="85"/>
        <v>7.2775745281472197E-3</v>
      </c>
      <c r="W200" s="2"/>
      <c r="X200" s="7">
        <f t="shared" si="86"/>
        <v>-749</v>
      </c>
      <c r="Y200" s="2"/>
      <c r="Z200" s="6">
        <f t="shared" si="87"/>
        <v>-9.2608620391206511E-3</v>
      </c>
    </row>
    <row r="201" spans="1:26" s="28" customFormat="1" outlineLevel="1" collapsed="1" x14ac:dyDescent="0.35">
      <c r="A201" s="27"/>
      <c r="B201" s="14" t="str">
        <f>CONCATENATE("     ","Inventory Adjustment                              ")</f>
        <v xml:space="preserve">     Inventory Adjustment                              </v>
      </c>
      <c r="C201" s="14"/>
      <c r="D201" s="1">
        <f>SUM(OSRRefD22_14x_0)</f>
        <v>3350</v>
      </c>
      <c r="E201" s="1"/>
      <c r="F201" s="5">
        <f t="shared" si="80"/>
        <v>2.2908737436908222E-3</v>
      </c>
      <c r="G201" s="1"/>
      <c r="H201" s="1">
        <f>SUM(OSRRefH22_14x_0)</f>
        <v>4350</v>
      </c>
      <c r="I201" s="1"/>
      <c r="J201" s="5">
        <f t="shared" si="81"/>
        <v>1.7414830469627935E-3</v>
      </c>
      <c r="K201" s="1"/>
      <c r="L201" s="1">
        <f t="shared" si="82"/>
        <v>-1000</v>
      </c>
      <c r="M201" s="1"/>
      <c r="N201" s="5">
        <f t="shared" si="83"/>
        <v>-0.22988505747126436</v>
      </c>
      <c r="O201" s="14"/>
      <c r="P201" s="1">
        <f>SUM(OSRRefP22_14x_0)</f>
        <v>28450</v>
      </c>
      <c r="Q201" s="1"/>
      <c r="R201" s="5">
        <f t="shared" si="84"/>
        <v>4.3071762039866308E-3</v>
      </c>
      <c r="S201" s="1"/>
      <c r="T201" s="1">
        <f>SUM(OSRRefT22_14x_0)</f>
        <v>35450</v>
      </c>
      <c r="U201" s="1"/>
      <c r="V201" s="5">
        <f t="shared" si="85"/>
        <v>3.1898664287299257E-3</v>
      </c>
      <c r="W201" s="1"/>
      <c r="X201" s="1">
        <f t="shared" si="86"/>
        <v>-7000</v>
      </c>
      <c r="Y201" s="1"/>
      <c r="Z201" s="5">
        <f t="shared" si="87"/>
        <v>-0.19746121297602257</v>
      </c>
    </row>
    <row r="202" spans="1:26" s="24" customFormat="1" hidden="1" outlineLevel="2" x14ac:dyDescent="0.35">
      <c r="A202" s="29"/>
      <c r="B202" s="11" t="str">
        <f>CONCATENATE("          ", "6408", " - ", "INVENTORY ADJUSTMENT")</f>
        <v xml:space="preserve">          6408 - INVENTORY ADJUSTMENT</v>
      </c>
      <c r="C202" s="11"/>
      <c r="D202" s="7">
        <v>3350</v>
      </c>
      <c r="E202" s="2"/>
      <c r="F202" s="6">
        <f t="shared" si="80"/>
        <v>2.2908737436908222E-3</v>
      </c>
      <c r="G202" s="2"/>
      <c r="H202" s="7">
        <v>4350</v>
      </c>
      <c r="I202" s="2"/>
      <c r="J202" s="6">
        <f t="shared" si="81"/>
        <v>1.7414830469627935E-3</v>
      </c>
      <c r="K202" s="2"/>
      <c r="L202" s="7">
        <f t="shared" si="82"/>
        <v>-1000</v>
      </c>
      <c r="M202" s="2"/>
      <c r="N202" s="6">
        <f t="shared" si="83"/>
        <v>-0.22988505747126436</v>
      </c>
      <c r="O202" s="11"/>
      <c r="P202" s="7">
        <v>28450</v>
      </c>
      <c r="Q202" s="2"/>
      <c r="R202" s="6">
        <f t="shared" si="84"/>
        <v>4.3071762039866308E-3</v>
      </c>
      <c r="S202" s="2"/>
      <c r="T202" s="7">
        <v>35450</v>
      </c>
      <c r="U202" s="2"/>
      <c r="V202" s="6">
        <f t="shared" si="85"/>
        <v>3.1898664287299257E-3</v>
      </c>
      <c r="W202" s="2"/>
      <c r="X202" s="7">
        <f t="shared" si="86"/>
        <v>-7000</v>
      </c>
      <c r="Y202" s="2"/>
      <c r="Z202" s="6">
        <f t="shared" si="87"/>
        <v>-0.19746121297602257</v>
      </c>
    </row>
    <row r="203" spans="1:26" s="28" customFormat="1" outlineLevel="1" collapsed="1" x14ac:dyDescent="0.35">
      <c r="A203" s="27"/>
      <c r="B203" s="14" t="str">
        <f>CONCATENATE("     ","Professional Services                             ")</f>
        <v xml:space="preserve">     Professional Services                             </v>
      </c>
      <c r="C203" s="14"/>
      <c r="D203" s="1">
        <f>SUM(OSRRefD22_15x_0)</f>
        <v>0</v>
      </c>
      <c r="E203" s="1"/>
      <c r="F203" s="5">
        <f t="shared" si="80"/>
        <v>0</v>
      </c>
      <c r="G203" s="1"/>
      <c r="H203" s="1">
        <f>SUM(OSRRefH22_15x_0)</f>
        <v>250</v>
      </c>
      <c r="I203" s="1"/>
      <c r="J203" s="5">
        <f t="shared" si="81"/>
        <v>1.000852325840686E-4</v>
      </c>
      <c r="K203" s="1"/>
      <c r="L203" s="1">
        <f t="shared" si="82"/>
        <v>-250</v>
      </c>
      <c r="M203" s="1"/>
      <c r="N203" s="5">
        <f t="shared" si="83"/>
        <v>-1</v>
      </c>
      <c r="O203" s="14"/>
      <c r="P203" s="1">
        <f>SUM(OSRRefP22_15x_0)</f>
        <v>0</v>
      </c>
      <c r="Q203" s="1"/>
      <c r="R203" s="5">
        <f t="shared" si="84"/>
        <v>0</v>
      </c>
      <c r="S203" s="1"/>
      <c r="T203" s="1">
        <f>SUM(OSRRefT22_15x_0)</f>
        <v>7050</v>
      </c>
      <c r="U203" s="1"/>
      <c r="V203" s="5">
        <f t="shared" si="85"/>
        <v>6.3437400063599369E-4</v>
      </c>
      <c r="W203" s="1"/>
      <c r="X203" s="1">
        <f t="shared" si="86"/>
        <v>-7050</v>
      </c>
      <c r="Y203" s="1"/>
      <c r="Z203" s="5">
        <f t="shared" si="87"/>
        <v>-1</v>
      </c>
    </row>
    <row r="204" spans="1:26" s="24" customFormat="1" hidden="1" outlineLevel="2" x14ac:dyDescent="0.35">
      <c r="A204" s="29"/>
      <c r="B204" s="11" t="str">
        <f>CONCATENATE("          ", "6336", " - ", "PROFESSIONAL SERVICES")</f>
        <v xml:space="preserve">          6336 - PROFESSIONAL SERVICES</v>
      </c>
      <c r="C204" s="11"/>
      <c r="D204" s="7"/>
      <c r="E204" s="2"/>
      <c r="F204" s="6">
        <f t="shared" si="80"/>
        <v>0</v>
      </c>
      <c r="G204" s="2"/>
      <c r="H204" s="7">
        <v>250</v>
      </c>
      <c r="I204" s="2"/>
      <c r="J204" s="6">
        <f t="shared" si="81"/>
        <v>1.000852325840686E-4</v>
      </c>
      <c r="K204" s="2"/>
      <c r="L204" s="7">
        <f t="shared" si="82"/>
        <v>-250</v>
      </c>
      <c r="M204" s="2"/>
      <c r="N204" s="6">
        <f t="shared" si="83"/>
        <v>-1</v>
      </c>
      <c r="O204" s="11"/>
      <c r="P204" s="7"/>
      <c r="Q204" s="2"/>
      <c r="R204" s="6">
        <f t="shared" si="84"/>
        <v>0</v>
      </c>
      <c r="S204" s="2"/>
      <c r="T204" s="7">
        <v>7050</v>
      </c>
      <c r="U204" s="2"/>
      <c r="V204" s="6">
        <f t="shared" si="85"/>
        <v>6.3437400063599369E-4</v>
      </c>
      <c r="W204" s="2"/>
      <c r="X204" s="7">
        <f t="shared" si="86"/>
        <v>-7050</v>
      </c>
      <c r="Y204" s="2"/>
      <c r="Z204" s="6">
        <f t="shared" si="87"/>
        <v>-1</v>
      </c>
    </row>
    <row r="205" spans="1:26" s="28" customFormat="1" outlineLevel="1" collapsed="1" x14ac:dyDescent="0.35">
      <c r="A205" s="27"/>
      <c r="B205" s="14" t="str">
        <f>CONCATENATE("     ","R/H Commissions                                   ")</f>
        <v xml:space="preserve">     R/H Commissions                                   </v>
      </c>
      <c r="C205" s="14"/>
      <c r="D205" s="1">
        <f>SUM(OSRRefD22_16x_0)</f>
        <v>-29103.129999999997</v>
      </c>
      <c r="E205" s="1"/>
      <c r="F205" s="5">
        <f t="shared" si="80"/>
        <v>-1.9901969067528561E-2</v>
      </c>
      <c r="G205" s="1"/>
      <c r="H205" s="1">
        <f>SUM(OSRRefH22_16x_0)</f>
        <v>20731</v>
      </c>
      <c r="I205" s="1"/>
      <c r="J205" s="5">
        <f t="shared" si="81"/>
        <v>8.2994678268013041E-3</v>
      </c>
      <c r="K205" s="1"/>
      <c r="L205" s="1">
        <f t="shared" si="82"/>
        <v>-49834.13</v>
      </c>
      <c r="M205" s="1"/>
      <c r="N205" s="5">
        <f t="shared" si="83"/>
        <v>-2.4038459312141236</v>
      </c>
      <c r="O205" s="14"/>
      <c r="P205" s="1">
        <f>SUM(OSRRefP22_16x_0)</f>
        <v>45913.36</v>
      </c>
      <c r="Q205" s="1"/>
      <c r="R205" s="5">
        <f t="shared" si="84"/>
        <v>6.951034503939248E-3</v>
      </c>
      <c r="S205" s="1"/>
      <c r="T205" s="1">
        <f>SUM(OSRRefT22_16x_0)</f>
        <v>169302</v>
      </c>
      <c r="U205" s="1"/>
      <c r="V205" s="5">
        <f t="shared" si="85"/>
        <v>1.5234154192294326E-2</v>
      </c>
      <c r="W205" s="1"/>
      <c r="X205" s="1">
        <f t="shared" si="86"/>
        <v>-123388.64</v>
      </c>
      <c r="Y205" s="1"/>
      <c r="Z205" s="5">
        <f t="shared" si="87"/>
        <v>-0.72880792902623714</v>
      </c>
    </row>
    <row r="206" spans="1:26" s="24" customFormat="1" hidden="1" outlineLevel="2" x14ac:dyDescent="0.35">
      <c r="A206" s="29"/>
      <c r="B206" s="11" t="str">
        <f>CONCATENATE("          ", "6387", " - ", "COMMISSION DUE HOUSING")</f>
        <v xml:space="preserve">          6387 - COMMISSION DUE HOUSING</v>
      </c>
      <c r="C206" s="11"/>
      <c r="D206" s="7">
        <v>-29103.129999999997</v>
      </c>
      <c r="E206" s="2"/>
      <c r="F206" s="6">
        <f t="shared" si="80"/>
        <v>-1.9901969067528561E-2</v>
      </c>
      <c r="G206" s="2"/>
      <c r="H206" s="7">
        <v>20731</v>
      </c>
      <c r="I206" s="2"/>
      <c r="J206" s="6">
        <f t="shared" si="81"/>
        <v>8.2994678268013041E-3</v>
      </c>
      <c r="K206" s="2"/>
      <c r="L206" s="7">
        <f t="shared" si="82"/>
        <v>-49834.13</v>
      </c>
      <c r="M206" s="2"/>
      <c r="N206" s="6">
        <f t="shared" si="83"/>
        <v>-2.4038459312141236</v>
      </c>
      <c r="O206" s="11"/>
      <c r="P206" s="7">
        <v>45913.36</v>
      </c>
      <c r="Q206" s="2"/>
      <c r="R206" s="6">
        <f t="shared" si="84"/>
        <v>6.951034503939248E-3</v>
      </c>
      <c r="S206" s="2"/>
      <c r="T206" s="7">
        <v>169302</v>
      </c>
      <c r="U206" s="2"/>
      <c r="V206" s="6">
        <f t="shared" si="85"/>
        <v>1.5234154192294326E-2</v>
      </c>
      <c r="W206" s="2"/>
      <c r="X206" s="7">
        <f t="shared" si="86"/>
        <v>-123388.64</v>
      </c>
      <c r="Y206" s="2"/>
      <c r="Z206" s="6">
        <f t="shared" si="87"/>
        <v>-0.72880792902623714</v>
      </c>
    </row>
    <row r="207" spans="1:26" s="28" customFormat="1" outlineLevel="1" collapsed="1" x14ac:dyDescent="0.35">
      <c r="A207" s="27"/>
      <c r="B207" s="14" t="str">
        <f>CONCATENATE("     ","Rent                                              ")</f>
        <v xml:space="preserve">     Rent                                              </v>
      </c>
      <c r="C207" s="14"/>
      <c r="D207" s="1">
        <f>SUM(OSRRefD22_17x_0)</f>
        <v>6900</v>
      </c>
      <c r="E207" s="1"/>
      <c r="F207" s="5">
        <f t="shared" si="80"/>
        <v>4.7185160690945294E-3</v>
      </c>
      <c r="G207" s="1"/>
      <c r="H207" s="1">
        <f>SUM(OSRRefH22_17x_0)</f>
        <v>8843</v>
      </c>
      <c r="I207" s="1"/>
      <c r="J207" s="5">
        <f t="shared" si="81"/>
        <v>3.5402148469636744E-3</v>
      </c>
      <c r="K207" s="1"/>
      <c r="L207" s="1">
        <f t="shared" si="82"/>
        <v>-1943</v>
      </c>
      <c r="M207" s="1"/>
      <c r="N207" s="5">
        <f t="shared" si="83"/>
        <v>-0.21972181386407327</v>
      </c>
      <c r="O207" s="14"/>
      <c r="P207" s="1">
        <f>SUM(OSRRefP22_17x_0)</f>
        <v>59400</v>
      </c>
      <c r="Q207" s="1"/>
      <c r="R207" s="5">
        <f t="shared" si="84"/>
        <v>8.9928388933850911E-3</v>
      </c>
      <c r="S207" s="1"/>
      <c r="T207" s="1">
        <f>SUM(OSRRefT22_17x_0)</f>
        <v>61902</v>
      </c>
      <c r="U207" s="1"/>
      <c r="V207" s="5">
        <f t="shared" si="85"/>
        <v>5.5700736719672735E-3</v>
      </c>
      <c r="W207" s="1"/>
      <c r="X207" s="1">
        <f t="shared" si="86"/>
        <v>-2502</v>
      </c>
      <c r="Y207" s="1"/>
      <c r="Z207" s="5">
        <f t="shared" si="87"/>
        <v>-4.0418726373945918E-2</v>
      </c>
    </row>
    <row r="208" spans="1:26" s="24" customFormat="1" hidden="1" outlineLevel="2" x14ac:dyDescent="0.35">
      <c r="A208" s="29"/>
      <c r="B208" s="11" t="str">
        <f>CONCATENATE("          ", "6273", " - ", "RENT")</f>
        <v xml:space="preserve">          6273 - RENT</v>
      </c>
      <c r="C208" s="11"/>
      <c r="D208" s="7">
        <v>6900</v>
      </c>
      <c r="E208" s="2"/>
      <c r="F208" s="6">
        <f t="shared" si="80"/>
        <v>4.7185160690945294E-3</v>
      </c>
      <c r="G208" s="2"/>
      <c r="H208" s="7">
        <v>8843</v>
      </c>
      <c r="I208" s="2"/>
      <c r="J208" s="6">
        <f t="shared" si="81"/>
        <v>3.5402148469636744E-3</v>
      </c>
      <c r="K208" s="2"/>
      <c r="L208" s="7">
        <f t="shared" si="82"/>
        <v>-1943</v>
      </c>
      <c r="M208" s="2"/>
      <c r="N208" s="6">
        <f t="shared" si="83"/>
        <v>-0.21972181386407327</v>
      </c>
      <c r="O208" s="11"/>
      <c r="P208" s="7">
        <v>59400</v>
      </c>
      <c r="Q208" s="2"/>
      <c r="R208" s="6">
        <f t="shared" si="84"/>
        <v>8.9928388933850911E-3</v>
      </c>
      <c r="S208" s="2"/>
      <c r="T208" s="7">
        <v>61902</v>
      </c>
      <c r="U208" s="2"/>
      <c r="V208" s="6">
        <f t="shared" si="85"/>
        <v>5.5700736719672735E-3</v>
      </c>
      <c r="W208" s="2"/>
      <c r="X208" s="7">
        <f t="shared" si="86"/>
        <v>-2502</v>
      </c>
      <c r="Y208" s="2"/>
      <c r="Z208" s="6">
        <f t="shared" si="87"/>
        <v>-4.0418726373945918E-2</v>
      </c>
    </row>
    <row r="209" spans="1:26" s="28" customFormat="1" outlineLevel="1" collapsed="1" x14ac:dyDescent="0.35">
      <c r="A209" s="27"/>
      <c r="B209" s="14" t="str">
        <f>CONCATENATE("     ","Repair and Maintenance                            ")</f>
        <v xml:space="preserve">     Repair and Maintenance                            </v>
      </c>
      <c r="C209" s="14"/>
      <c r="D209" s="1">
        <f>SUM(OSRRefD22_18x_0)</f>
        <v>10131.150000000001</v>
      </c>
      <c r="E209" s="1"/>
      <c r="F209" s="5">
        <f t="shared" si="80"/>
        <v>6.9281150831024714E-3</v>
      </c>
      <c r="G209" s="1"/>
      <c r="H209" s="1">
        <f>SUM(OSRRefH22_18x_0)</f>
        <v>31878</v>
      </c>
      <c r="I209" s="1"/>
      <c r="J209" s="5">
        <f t="shared" si="81"/>
        <v>1.2762068177259755E-2</v>
      </c>
      <c r="K209" s="1"/>
      <c r="L209" s="1">
        <f t="shared" si="82"/>
        <v>-21746.85</v>
      </c>
      <c r="M209" s="1"/>
      <c r="N209" s="5">
        <f t="shared" si="83"/>
        <v>-0.68218991153773756</v>
      </c>
      <c r="O209" s="14"/>
      <c r="P209" s="1">
        <f>SUM(OSRRefP22_18x_0)</f>
        <v>276473.99</v>
      </c>
      <c r="Q209" s="1"/>
      <c r="R209" s="5">
        <f t="shared" si="84"/>
        <v>4.1856667513154221E-2</v>
      </c>
      <c r="S209" s="1"/>
      <c r="T209" s="1">
        <f>SUM(OSRRefT22_18x_0)</f>
        <v>331693</v>
      </c>
      <c r="U209" s="1"/>
      <c r="V209" s="5">
        <f t="shared" si="85"/>
        <v>2.9846441899709881E-2</v>
      </c>
      <c r="W209" s="1"/>
      <c r="X209" s="1">
        <f t="shared" si="86"/>
        <v>-55219.010000000009</v>
      </c>
      <c r="Y209" s="1"/>
      <c r="Z209" s="5">
        <f t="shared" si="87"/>
        <v>-0.16647625967385507</v>
      </c>
    </row>
    <row r="210" spans="1:26" s="24" customFormat="1" hidden="1" outlineLevel="2" x14ac:dyDescent="0.35">
      <c r="A210" s="29"/>
      <c r="B210" s="11" t="str">
        <f>CONCATENATE("          ", "6371", " - ", "COMPUTER SOFTWARE MAINTENANCE")</f>
        <v xml:space="preserve">          6371 - COMPUTER SOFTWARE MAINTENANCE</v>
      </c>
      <c r="C210" s="11"/>
      <c r="D210" s="7">
        <v>3500</v>
      </c>
      <c r="E210" s="2"/>
      <c r="F210" s="6">
        <f t="shared" si="80"/>
        <v>2.393450179975486E-3</v>
      </c>
      <c r="G210" s="2"/>
      <c r="H210" s="7">
        <v>8000</v>
      </c>
      <c r="I210" s="2"/>
      <c r="J210" s="6">
        <f t="shared" si="81"/>
        <v>3.2027274426901951E-3</v>
      </c>
      <c r="K210" s="2"/>
      <c r="L210" s="7">
        <f t="shared" si="82"/>
        <v>-4500</v>
      </c>
      <c r="M210" s="2"/>
      <c r="N210" s="6">
        <f t="shared" si="83"/>
        <v>-0.5625</v>
      </c>
      <c r="O210" s="11"/>
      <c r="P210" s="7">
        <v>65436.47</v>
      </c>
      <c r="Q210" s="2"/>
      <c r="R210" s="6">
        <f t="shared" si="84"/>
        <v>9.9067278192226729E-3</v>
      </c>
      <c r="S210" s="2"/>
      <c r="T210" s="7">
        <v>186543</v>
      </c>
      <c r="U210" s="2"/>
      <c r="V210" s="6">
        <f t="shared" si="85"/>
        <v>1.6785536056828393E-2</v>
      </c>
      <c r="W210" s="2"/>
      <c r="X210" s="7">
        <f t="shared" si="86"/>
        <v>-121106.53</v>
      </c>
      <c r="Y210" s="2"/>
      <c r="Z210" s="6">
        <f t="shared" si="87"/>
        <v>-0.64921508713808607</v>
      </c>
    </row>
    <row r="211" spans="1:26" s="24" customFormat="1" hidden="1" outlineLevel="2" x14ac:dyDescent="0.35">
      <c r="A211" s="29"/>
      <c r="B211" s="11" t="str">
        <f>CONCATENATE("          ", "6372", " - ", "COMPUTER HARDWARE MAINTENANCE")</f>
        <v xml:space="preserve">          6372 - COMPUTER HARDWARE MAINTENANCE</v>
      </c>
      <c r="C211" s="11"/>
      <c r="D211" s="7"/>
      <c r="E211" s="2"/>
      <c r="F211" s="6">
        <f t="shared" si="80"/>
        <v>0</v>
      </c>
      <c r="G211" s="2"/>
      <c r="H211" s="7">
        <v>1500</v>
      </c>
      <c r="I211" s="2"/>
      <c r="J211" s="6">
        <f t="shared" si="81"/>
        <v>6.0051139550441153E-4</v>
      </c>
      <c r="K211" s="2"/>
      <c r="L211" s="7">
        <f t="shared" si="82"/>
        <v>-1500</v>
      </c>
      <c r="M211" s="2"/>
      <c r="N211" s="6">
        <f t="shared" si="83"/>
        <v>-1</v>
      </c>
      <c r="O211" s="11"/>
      <c r="P211" s="7">
        <v>0</v>
      </c>
      <c r="Q211" s="2"/>
      <c r="R211" s="6">
        <f t="shared" si="84"/>
        <v>0</v>
      </c>
      <c r="S211" s="2"/>
      <c r="T211" s="7">
        <v>14020</v>
      </c>
      <c r="U211" s="2"/>
      <c r="V211" s="6">
        <f t="shared" si="85"/>
        <v>1.2615494310520045E-3</v>
      </c>
      <c r="W211" s="2"/>
      <c r="X211" s="7">
        <f t="shared" si="86"/>
        <v>-14020</v>
      </c>
      <c r="Y211" s="2"/>
      <c r="Z211" s="6">
        <f t="shared" si="87"/>
        <v>-1</v>
      </c>
    </row>
    <row r="212" spans="1:26" s="24" customFormat="1" hidden="1" outlineLevel="2" x14ac:dyDescent="0.35">
      <c r="A212" s="29"/>
      <c r="B212" s="11" t="str">
        <f>CONCATENATE("          ", "6373", " - ", "MAINTENANCE CONTRACTS")</f>
        <v xml:space="preserve">          6373 - MAINTENANCE CONTRACTS</v>
      </c>
      <c r="C212" s="11"/>
      <c r="D212" s="7">
        <v>1127.94</v>
      </c>
      <c r="E212" s="2"/>
      <c r="F212" s="6">
        <f t="shared" si="80"/>
        <v>7.7133377028615715E-4</v>
      </c>
      <c r="G212" s="2"/>
      <c r="H212" s="7">
        <v>9819</v>
      </c>
      <c r="I212" s="2"/>
      <c r="J212" s="6">
        <f t="shared" si="81"/>
        <v>3.9309475949718779E-3</v>
      </c>
      <c r="K212" s="2"/>
      <c r="L212" s="7">
        <f t="shared" si="82"/>
        <v>-8691.06</v>
      </c>
      <c r="M212" s="2"/>
      <c r="N212" s="6">
        <f t="shared" si="83"/>
        <v>-0.88512679498930635</v>
      </c>
      <c r="O212" s="11"/>
      <c r="P212" s="7">
        <v>175361.03</v>
      </c>
      <c r="Q212" s="2"/>
      <c r="R212" s="6">
        <f t="shared" si="84"/>
        <v>2.6548711969159425E-2</v>
      </c>
      <c r="S212" s="2"/>
      <c r="T212" s="7">
        <v>50686</v>
      </c>
      <c r="U212" s="2"/>
      <c r="V212" s="6">
        <f t="shared" si="85"/>
        <v>4.56083412712567E-3</v>
      </c>
      <c r="W212" s="2"/>
      <c r="X212" s="7">
        <f t="shared" si="86"/>
        <v>124675.03</v>
      </c>
      <c r="Y212" s="2"/>
      <c r="Z212" s="6">
        <f t="shared" si="87"/>
        <v>2.4597527916979045</v>
      </c>
    </row>
    <row r="213" spans="1:26" s="24" customFormat="1" hidden="1" outlineLevel="2" x14ac:dyDescent="0.35">
      <c r="A213" s="29"/>
      <c r="B213" s="11" t="str">
        <f>CONCATENATE("          ", "6375", " - ", "OUTSIDE REPAIRS &amp; MAINTENANCE")</f>
        <v xml:space="preserve">          6375 - OUTSIDE REPAIRS &amp; MAINTENANCE</v>
      </c>
      <c r="C213" s="11"/>
      <c r="D213" s="7">
        <v>5503.21</v>
      </c>
      <c r="E213" s="2"/>
      <c r="F213" s="6">
        <f t="shared" si="80"/>
        <v>3.7633311328408268E-3</v>
      </c>
      <c r="G213" s="2"/>
      <c r="H213" s="7">
        <v>12559</v>
      </c>
      <c r="I213" s="2"/>
      <c r="J213" s="6">
        <f t="shared" si="81"/>
        <v>5.0278817440932702E-3</v>
      </c>
      <c r="K213" s="2"/>
      <c r="L213" s="7">
        <f t="shared" si="82"/>
        <v>-7055.79</v>
      </c>
      <c r="M213" s="2"/>
      <c r="N213" s="6">
        <f t="shared" si="83"/>
        <v>-0.56181144995620669</v>
      </c>
      <c r="O213" s="11"/>
      <c r="P213" s="7">
        <v>35676.49</v>
      </c>
      <c r="Q213" s="2"/>
      <c r="R213" s="6">
        <f t="shared" si="84"/>
        <v>5.4012277247721258E-3</v>
      </c>
      <c r="S213" s="2"/>
      <c r="T213" s="7">
        <v>80444</v>
      </c>
      <c r="U213" s="2"/>
      <c r="V213" s="6">
        <f t="shared" si="85"/>
        <v>7.2385222847038124E-3</v>
      </c>
      <c r="W213" s="2"/>
      <c r="X213" s="7">
        <f t="shared" si="86"/>
        <v>-44767.51</v>
      </c>
      <c r="Y213" s="2"/>
      <c r="Z213" s="6">
        <f t="shared" si="87"/>
        <v>-0.55650527074735223</v>
      </c>
    </row>
    <row r="214" spans="1:26" s="28" customFormat="1" outlineLevel="1" collapsed="1" x14ac:dyDescent="0.35">
      <c r="A214" s="27"/>
      <c r="B214" s="14" t="str">
        <f>CONCATENATE("     ","Royalty &amp; Commissions                             ")</f>
        <v xml:space="preserve">     Royalty &amp; Commissions                             </v>
      </c>
      <c r="C214" s="14"/>
      <c r="D214" s="1">
        <f>SUM(OSRRefD22_19x_0)</f>
        <v>7789.59</v>
      </c>
      <c r="E214" s="1"/>
      <c r="F214" s="5">
        <f t="shared" ref="F214:F218" si="88">IF(D$12=0,0,D214/D$12)</f>
        <v>5.3268558821243563E-3</v>
      </c>
      <c r="G214" s="1"/>
      <c r="H214" s="1">
        <f>SUM(OSRRefH22_19x_0)</f>
        <v>12899</v>
      </c>
      <c r="I214" s="1"/>
      <c r="J214" s="5">
        <f t="shared" ref="J214:J218" si="89">IF(H$12=0,0,H214/H$12)</f>
        <v>5.1639976604076028E-3</v>
      </c>
      <c r="K214" s="1"/>
      <c r="L214" s="1">
        <f t="shared" ref="L214:L218" si="90">+D214-H214</f>
        <v>-5109.41</v>
      </c>
      <c r="M214" s="1"/>
      <c r="N214" s="5">
        <f t="shared" ref="N214:N218" si="91">IF(H214=0,0,L214/H214)</f>
        <v>-0.39610900069772847</v>
      </c>
      <c r="O214" s="14"/>
      <c r="P214" s="1">
        <f>SUM(OSRRefP22_19x_0)</f>
        <v>36551.350000000006</v>
      </c>
      <c r="Q214" s="1"/>
      <c r="R214" s="5">
        <f t="shared" ref="R214:R218" si="92">IF(P$12=0,0,P214/P$12)</f>
        <v>5.5336767994230845E-3</v>
      </c>
      <c r="S214" s="1"/>
      <c r="T214" s="1">
        <f>SUM(OSRRefT22_19x_0)</f>
        <v>58033</v>
      </c>
      <c r="U214" s="1"/>
      <c r="V214" s="5">
        <f t="shared" ref="V214:V218" si="93">IF(T$12=0,0,T214/T$12)</f>
        <v>5.2219328197033506E-3</v>
      </c>
      <c r="W214" s="1"/>
      <c r="X214" s="1">
        <f t="shared" ref="X214:X218" si="94">+P214-T214</f>
        <v>-21481.649999999994</v>
      </c>
      <c r="Y214" s="1"/>
      <c r="Z214" s="5">
        <f t="shared" ref="Z214:Z218" si="95">IF(T214=0,0,X214/T214)</f>
        <v>-0.37016266606930531</v>
      </c>
    </row>
    <row r="215" spans="1:26" s="24" customFormat="1" hidden="1" outlineLevel="2" x14ac:dyDescent="0.35">
      <c r="A215" s="29"/>
      <c r="B215" s="11" t="str">
        <f>CONCATENATE("          ", "6252", " - ", "ROYALTY DUE CSTV")</f>
        <v xml:space="preserve">          6252 - ROYALTY DUE CSTV</v>
      </c>
      <c r="C215" s="11"/>
      <c r="D215" s="7"/>
      <c r="E215" s="2"/>
      <c r="F215" s="6">
        <f t="shared" si="88"/>
        <v>0</v>
      </c>
      <c r="G215" s="2"/>
      <c r="H215" s="7">
        <v>1085</v>
      </c>
      <c r="I215" s="2"/>
      <c r="J215" s="6">
        <f t="shared" si="89"/>
        <v>4.343699094148577E-4</v>
      </c>
      <c r="K215" s="2"/>
      <c r="L215" s="7">
        <f t="shared" si="90"/>
        <v>-1085</v>
      </c>
      <c r="M215" s="2"/>
      <c r="N215" s="6">
        <f t="shared" si="91"/>
        <v>-1</v>
      </c>
      <c r="O215" s="11"/>
      <c r="P215" s="7"/>
      <c r="Q215" s="2"/>
      <c r="R215" s="6">
        <f t="shared" si="92"/>
        <v>0</v>
      </c>
      <c r="S215" s="2"/>
      <c r="T215" s="7">
        <v>7595</v>
      </c>
      <c r="U215" s="2"/>
      <c r="V215" s="6">
        <f t="shared" si="93"/>
        <v>6.8341426025962724E-4</v>
      </c>
      <c r="W215" s="2"/>
      <c r="X215" s="7">
        <f t="shared" si="94"/>
        <v>-7595</v>
      </c>
      <c r="Y215" s="2"/>
      <c r="Z215" s="6">
        <f t="shared" si="95"/>
        <v>-1</v>
      </c>
    </row>
    <row r="216" spans="1:26" s="24" customFormat="1" hidden="1" outlineLevel="2" x14ac:dyDescent="0.35">
      <c r="A216" s="29"/>
      <c r="B216" s="11" t="str">
        <f>CONCATENATE("          ", "6253", " - ", "ROYALTY DUE ATHLETICS-LRG")</f>
        <v xml:space="preserve">          6253 - ROYALTY DUE ATHLETICS-LRG</v>
      </c>
      <c r="C216" s="11"/>
      <c r="D216" s="7">
        <v>7785.78</v>
      </c>
      <c r="E216" s="2"/>
      <c r="F216" s="6">
        <f t="shared" si="88"/>
        <v>5.3242504406427254E-3</v>
      </c>
      <c r="G216" s="2"/>
      <c r="H216" s="7">
        <v>4037</v>
      </c>
      <c r="I216" s="2"/>
      <c r="J216" s="6">
        <f t="shared" si="89"/>
        <v>1.6161763357675396E-3</v>
      </c>
      <c r="K216" s="2"/>
      <c r="L216" s="7">
        <f t="shared" si="90"/>
        <v>3748.7799999999997</v>
      </c>
      <c r="M216" s="2"/>
      <c r="N216" s="6">
        <f t="shared" si="91"/>
        <v>0.92860540004954173</v>
      </c>
      <c r="O216" s="11"/>
      <c r="P216" s="7">
        <v>26197.58</v>
      </c>
      <c r="Q216" s="2"/>
      <c r="R216" s="6">
        <f t="shared" si="92"/>
        <v>3.966171992198105E-3</v>
      </c>
      <c r="S216" s="2"/>
      <c r="T216" s="7">
        <v>28259</v>
      </c>
      <c r="U216" s="2"/>
      <c r="V216" s="6">
        <f t="shared" si="93"/>
        <v>2.5428049480812121E-3</v>
      </c>
      <c r="W216" s="2"/>
      <c r="X216" s="7">
        <f t="shared" si="94"/>
        <v>-2061.4199999999983</v>
      </c>
      <c r="Y216" s="2"/>
      <c r="Z216" s="6">
        <f t="shared" si="95"/>
        <v>-7.2947379595880893E-2</v>
      </c>
    </row>
    <row r="217" spans="1:26" s="24" customFormat="1" hidden="1" outlineLevel="2" x14ac:dyDescent="0.35">
      <c r="A217" s="29"/>
      <c r="B217" s="11" t="str">
        <f>CONCATENATE("          ", "6254", " - ", "ROYALTY &amp; COMMISSIONS")</f>
        <v xml:space="preserve">          6254 - ROYALTY &amp; COMMISSIONS</v>
      </c>
      <c r="C217" s="11"/>
      <c r="D217" s="7"/>
      <c r="E217" s="2"/>
      <c r="F217" s="6">
        <f t="shared" si="88"/>
        <v>0</v>
      </c>
      <c r="G217" s="2"/>
      <c r="H217" s="7">
        <v>1149</v>
      </c>
      <c r="I217" s="2"/>
      <c r="J217" s="6">
        <f t="shared" si="89"/>
        <v>4.5999172895637923E-4</v>
      </c>
      <c r="K217" s="2"/>
      <c r="L217" s="7">
        <f t="shared" si="90"/>
        <v>-1149</v>
      </c>
      <c r="M217" s="2"/>
      <c r="N217" s="6">
        <f t="shared" si="91"/>
        <v>-1</v>
      </c>
      <c r="O217" s="11"/>
      <c r="P217" s="7">
        <v>185.7</v>
      </c>
      <c r="Q217" s="2"/>
      <c r="R217" s="6">
        <f t="shared" si="92"/>
        <v>2.8113976136390766E-5</v>
      </c>
      <c r="S217" s="2"/>
      <c r="T217" s="7">
        <v>8043</v>
      </c>
      <c r="U217" s="2"/>
      <c r="V217" s="6">
        <f t="shared" si="93"/>
        <v>7.2372625349153153E-4</v>
      </c>
      <c r="W217" s="2"/>
      <c r="X217" s="7">
        <f t="shared" si="94"/>
        <v>-7857.3</v>
      </c>
      <c r="Y217" s="2"/>
      <c r="Z217" s="6">
        <f t="shared" si="95"/>
        <v>-0.97691160014919809</v>
      </c>
    </row>
    <row r="218" spans="1:26" s="24" customFormat="1" hidden="1" outlineLevel="2" x14ac:dyDescent="0.35">
      <c r="A218" s="29"/>
      <c r="B218" s="11" t="str">
        <f>CONCATENATE("          ", "6259", " - ", "ROYALTY &amp; COMMISSIONS")</f>
        <v xml:space="preserve">          6259 - ROYALTY &amp; COMMISSIONS</v>
      </c>
      <c r="C218" s="11"/>
      <c r="D218" s="7">
        <v>3.81</v>
      </c>
      <c r="E218" s="2"/>
      <c r="F218" s="6">
        <f t="shared" si="88"/>
        <v>2.6054414816304577E-6</v>
      </c>
      <c r="G218" s="2"/>
      <c r="H218" s="7">
        <v>6628</v>
      </c>
      <c r="I218" s="2"/>
      <c r="J218" s="6">
        <f t="shared" si="89"/>
        <v>2.6534596862688264E-3</v>
      </c>
      <c r="K218" s="2"/>
      <c r="L218" s="7">
        <f t="shared" si="90"/>
        <v>-6624.19</v>
      </c>
      <c r="M218" s="2"/>
      <c r="N218" s="6">
        <f t="shared" si="91"/>
        <v>-0.99942516596258291</v>
      </c>
      <c r="O218" s="11"/>
      <c r="P218" s="7">
        <v>10168.07</v>
      </c>
      <c r="Q218" s="2"/>
      <c r="R218" s="6">
        <f t="shared" si="92"/>
        <v>1.5393908310885884E-3</v>
      </c>
      <c r="S218" s="2"/>
      <c r="T218" s="7">
        <v>14136</v>
      </c>
      <c r="U218" s="2"/>
      <c r="V218" s="6">
        <f t="shared" si="93"/>
        <v>1.2719873578709796E-3</v>
      </c>
      <c r="W218" s="2"/>
      <c r="X218" s="7">
        <f t="shared" si="94"/>
        <v>-3967.9300000000003</v>
      </c>
      <c r="Y218" s="2"/>
      <c r="Z218" s="6">
        <f t="shared" si="95"/>
        <v>-0.28069680249009621</v>
      </c>
    </row>
    <row r="219" spans="1:26" s="28" customFormat="1" outlineLevel="1" collapsed="1" x14ac:dyDescent="0.35">
      <c r="A219" s="27"/>
      <c r="B219" s="14" t="str">
        <f>CONCATENATE("     ","Services                                          ")</f>
        <v xml:space="preserve">     Services                                          </v>
      </c>
      <c r="C219" s="14"/>
      <c r="D219" s="1">
        <f>SUM(OSRRefD22_20x_0)</f>
        <v>27196.27</v>
      </c>
      <c r="E219" s="1"/>
      <c r="F219" s="5">
        <f t="shared" ref="F219:F224" si="96">IF(D$12=0,0,D219/D$12)</f>
        <v>1.8597976378903404E-2</v>
      </c>
      <c r="G219" s="1"/>
      <c r="H219" s="1">
        <f>SUM(OSRRefH22_20x_0)</f>
        <v>34424</v>
      </c>
      <c r="I219" s="1"/>
      <c r="J219" s="5">
        <f t="shared" ref="J219:J224" si="97">IF(H$12=0,0,H219/H$12)</f>
        <v>1.378133618589591E-2</v>
      </c>
      <c r="K219" s="1"/>
      <c r="L219" s="1">
        <f t="shared" ref="L219:L224" si="98">+D219-H219</f>
        <v>-7227.73</v>
      </c>
      <c r="M219" s="1"/>
      <c r="N219" s="5">
        <f t="shared" ref="N219:N224" si="99">IF(H219=0,0,L219/H219)</f>
        <v>-0.20996194515454333</v>
      </c>
      <c r="O219" s="14"/>
      <c r="P219" s="1">
        <f>SUM(OSRRefP22_20x_0)</f>
        <v>148949.16</v>
      </c>
      <c r="Q219" s="1"/>
      <c r="R219" s="5">
        <f t="shared" ref="R219:R224" si="100">IF(P$12=0,0,P219/P$12)</f>
        <v>2.2550097629377763E-2</v>
      </c>
      <c r="S219" s="1"/>
      <c r="T219" s="1">
        <f>SUM(OSRRefT22_20x_0)</f>
        <v>225425</v>
      </c>
      <c r="U219" s="1"/>
      <c r="V219" s="5">
        <f t="shared" ref="V219:V224" si="101">IF(T$12=0,0,T219/T$12)</f>
        <v>2.0284221147995586E-2</v>
      </c>
      <c r="W219" s="1"/>
      <c r="X219" s="1">
        <f t="shared" ref="X219:X224" si="102">+P219-T219</f>
        <v>-76475.839999999997</v>
      </c>
      <c r="Y219" s="1"/>
      <c r="Z219" s="5">
        <f t="shared" ref="Z219:Z224" si="103">IF(T219=0,0,X219/T219)</f>
        <v>-0.33925181324165465</v>
      </c>
    </row>
    <row r="220" spans="1:26" s="24" customFormat="1" hidden="1" outlineLevel="2" x14ac:dyDescent="0.35">
      <c r="A220" s="29"/>
      <c r="B220" s="11" t="str">
        <f>CONCATENATE("          ", "6282", " - ", "JANITORIAL/EXTERMINATOR EXPENS")</f>
        <v xml:space="preserve">          6282 - JANITORIAL/EXTERMINATOR EXPENS</v>
      </c>
      <c r="C220" s="11"/>
      <c r="D220" s="7">
        <v>7935.2</v>
      </c>
      <c r="E220" s="2"/>
      <c r="F220" s="6">
        <f t="shared" si="96"/>
        <v>5.4264302480404219E-3</v>
      </c>
      <c r="G220" s="2"/>
      <c r="H220" s="7">
        <v>7033</v>
      </c>
      <c r="I220" s="2"/>
      <c r="J220" s="6">
        <f t="shared" si="97"/>
        <v>2.8155977630550176E-3</v>
      </c>
      <c r="K220" s="2"/>
      <c r="L220" s="7">
        <f t="shared" si="98"/>
        <v>902.19999999999982</v>
      </c>
      <c r="M220" s="2"/>
      <c r="N220" s="6">
        <f t="shared" si="99"/>
        <v>0.12828096118299442</v>
      </c>
      <c r="O220" s="11"/>
      <c r="P220" s="7">
        <v>23998.36</v>
      </c>
      <c r="Q220" s="2"/>
      <c r="R220" s="6">
        <f t="shared" si="100"/>
        <v>3.6332219728191424E-3</v>
      </c>
      <c r="S220" s="2"/>
      <c r="T220" s="7">
        <v>48991</v>
      </c>
      <c r="U220" s="2"/>
      <c r="V220" s="6">
        <f t="shared" si="101"/>
        <v>4.4083144205897826E-3</v>
      </c>
      <c r="W220" s="2"/>
      <c r="X220" s="7">
        <f t="shared" si="102"/>
        <v>-24992.639999999999</v>
      </c>
      <c r="Y220" s="2"/>
      <c r="Z220" s="6">
        <f t="shared" si="103"/>
        <v>-0.51014757812659461</v>
      </c>
    </row>
    <row r="221" spans="1:26" s="24" customFormat="1" hidden="1" outlineLevel="2" x14ac:dyDescent="0.35">
      <c r="A221" s="29"/>
      <c r="B221" s="11" t="str">
        <f>CONCATENATE("          ", "6283", " - ", "PLANT SERVICE")</f>
        <v xml:space="preserve">          6283 - PLANT SERVICE</v>
      </c>
      <c r="C221" s="11"/>
      <c r="D221" s="7"/>
      <c r="E221" s="2"/>
      <c r="F221" s="6">
        <f t="shared" si="96"/>
        <v>0</v>
      </c>
      <c r="G221" s="2"/>
      <c r="H221" s="7">
        <v>0</v>
      </c>
      <c r="I221" s="2"/>
      <c r="J221" s="6">
        <f t="shared" si="97"/>
        <v>0</v>
      </c>
      <c r="K221" s="2"/>
      <c r="L221" s="7">
        <f t="shared" si="98"/>
        <v>0</v>
      </c>
      <c r="M221" s="2"/>
      <c r="N221" s="6">
        <f t="shared" si="99"/>
        <v>0</v>
      </c>
      <c r="O221" s="11"/>
      <c r="P221" s="7">
        <v>171.31</v>
      </c>
      <c r="Q221" s="2"/>
      <c r="R221" s="6">
        <f t="shared" si="100"/>
        <v>2.5935407926360271E-5</v>
      </c>
      <c r="S221" s="2"/>
      <c r="T221" s="7">
        <v>248</v>
      </c>
      <c r="U221" s="2"/>
      <c r="V221" s="6">
        <f t="shared" si="101"/>
        <v>2.2315567681947012E-5</v>
      </c>
      <c r="W221" s="2"/>
      <c r="X221" s="7">
        <f t="shared" si="102"/>
        <v>-76.69</v>
      </c>
      <c r="Y221" s="2"/>
      <c r="Z221" s="6">
        <f t="shared" si="103"/>
        <v>-0.30923387096774191</v>
      </c>
    </row>
    <row r="222" spans="1:26" s="24" customFormat="1" hidden="1" outlineLevel="2" x14ac:dyDescent="0.35">
      <c r="A222" s="29"/>
      <c r="B222" s="11" t="str">
        <f>CONCATENATE("          ", "6284", " - ", "TRASH REMOVAL EXPENSE")</f>
        <v xml:space="preserve">          6284 - TRASH REMOVAL EXPENSE</v>
      </c>
      <c r="C222" s="11"/>
      <c r="D222" s="7">
        <v>5800.57</v>
      </c>
      <c r="E222" s="2"/>
      <c r="F222" s="6">
        <f t="shared" si="96"/>
        <v>3.9666786601315444E-3</v>
      </c>
      <c r="G222" s="2"/>
      <c r="H222" s="7">
        <v>4105</v>
      </c>
      <c r="I222" s="2"/>
      <c r="J222" s="6">
        <f t="shared" si="97"/>
        <v>1.6433995190304064E-3</v>
      </c>
      <c r="K222" s="2"/>
      <c r="L222" s="7">
        <f t="shared" si="98"/>
        <v>1695.5699999999997</v>
      </c>
      <c r="M222" s="2"/>
      <c r="N222" s="6">
        <f t="shared" si="99"/>
        <v>0.41304993909866011</v>
      </c>
      <c r="O222" s="11"/>
      <c r="P222" s="7">
        <v>26399.759999999998</v>
      </c>
      <c r="Q222" s="2"/>
      <c r="R222" s="6">
        <f t="shared" si="100"/>
        <v>3.9967809512463301E-3</v>
      </c>
      <c r="S222" s="2"/>
      <c r="T222" s="7">
        <v>26636</v>
      </c>
      <c r="U222" s="2"/>
      <c r="V222" s="6">
        <f t="shared" si="101"/>
        <v>2.3967639547433088E-3</v>
      </c>
      <c r="W222" s="2"/>
      <c r="X222" s="7">
        <f t="shared" si="102"/>
        <v>-236.2400000000016</v>
      </c>
      <c r="Y222" s="2"/>
      <c r="Z222" s="6">
        <f t="shared" si="103"/>
        <v>-8.8691995795165037E-3</v>
      </c>
    </row>
    <row r="223" spans="1:26" s="24" customFormat="1" hidden="1" outlineLevel="2" x14ac:dyDescent="0.35">
      <c r="A223" s="29"/>
      <c r="B223" s="11" t="str">
        <f>CONCATENATE("          ", "6285", " - ", "JANITORIAL SERVICES")</f>
        <v xml:space="preserve">          6285 - JANITORIAL SERVICES</v>
      </c>
      <c r="C223" s="11"/>
      <c r="D223" s="7">
        <v>12687.19</v>
      </c>
      <c r="E223" s="2"/>
      <c r="F223" s="6">
        <f t="shared" si="96"/>
        <v>8.6760449111094821E-3</v>
      </c>
      <c r="G223" s="2"/>
      <c r="H223" s="7">
        <v>18650</v>
      </c>
      <c r="I223" s="2"/>
      <c r="J223" s="6">
        <f t="shared" si="97"/>
        <v>7.4663583507715171E-3</v>
      </c>
      <c r="K223" s="2"/>
      <c r="L223" s="7">
        <f t="shared" si="98"/>
        <v>-5962.8099999999995</v>
      </c>
      <c r="M223" s="2"/>
      <c r="N223" s="6">
        <f t="shared" si="99"/>
        <v>-0.31972171581769432</v>
      </c>
      <c r="O223" s="11"/>
      <c r="P223" s="7">
        <v>86757.260000000009</v>
      </c>
      <c r="Q223" s="2"/>
      <c r="R223" s="6">
        <f t="shared" si="100"/>
        <v>1.3134580168544154E-2</v>
      </c>
      <c r="S223" s="2"/>
      <c r="T223" s="7">
        <v>117329</v>
      </c>
      <c r="U223" s="2"/>
      <c r="V223" s="6">
        <f t="shared" si="101"/>
        <v>1.0557513066754681E-2</v>
      </c>
      <c r="W223" s="2"/>
      <c r="X223" s="7">
        <f t="shared" si="102"/>
        <v>-30571.739999999991</v>
      </c>
      <c r="Y223" s="2"/>
      <c r="Z223" s="6">
        <f t="shared" si="103"/>
        <v>-0.26056422538332374</v>
      </c>
    </row>
    <row r="224" spans="1:26" s="24" customFormat="1" hidden="1" outlineLevel="2" x14ac:dyDescent="0.35">
      <c r="A224" s="29"/>
      <c r="B224" s="11" t="str">
        <f>CONCATENATE("          ", "6286", " - ", "LAUNDRY EXPENSE")</f>
        <v xml:space="preserve">          6286 - LAUNDRY EXPENSE</v>
      </c>
      <c r="C224" s="11"/>
      <c r="D224" s="7">
        <v>773.31</v>
      </c>
      <c r="E224" s="2"/>
      <c r="F224" s="6">
        <f t="shared" si="96"/>
        <v>5.2882255962195519E-4</v>
      </c>
      <c r="G224" s="2"/>
      <c r="H224" s="7">
        <v>4636</v>
      </c>
      <c r="I224" s="2"/>
      <c r="J224" s="6">
        <f t="shared" si="97"/>
        <v>1.855980553038968E-3</v>
      </c>
      <c r="K224" s="2"/>
      <c r="L224" s="7">
        <f t="shared" si="98"/>
        <v>-3862.69</v>
      </c>
      <c r="M224" s="2"/>
      <c r="N224" s="6">
        <f t="shared" si="99"/>
        <v>-0.8331945642795513</v>
      </c>
      <c r="O224" s="11"/>
      <c r="P224" s="7">
        <v>11622.47</v>
      </c>
      <c r="Q224" s="2"/>
      <c r="R224" s="6">
        <f t="shared" si="100"/>
        <v>1.7595791288417748E-3</v>
      </c>
      <c r="S224" s="2"/>
      <c r="T224" s="7">
        <v>32221</v>
      </c>
      <c r="U224" s="2"/>
      <c r="V224" s="6">
        <f t="shared" si="101"/>
        <v>2.8993141382258657E-3</v>
      </c>
      <c r="W224" s="2"/>
      <c r="X224" s="7">
        <f t="shared" si="102"/>
        <v>-20598.53</v>
      </c>
      <c r="Y224" s="2"/>
      <c r="Z224" s="6">
        <f t="shared" si="103"/>
        <v>-0.63928897303001142</v>
      </c>
    </row>
    <row r="225" spans="1:26" s="28" customFormat="1" outlineLevel="1" collapsed="1" x14ac:dyDescent="0.35">
      <c r="A225" s="27"/>
      <c r="B225" s="14" t="str">
        <f>CONCATENATE("     ","Subscriptions &amp; Dues                              ")</f>
        <v xml:space="preserve">     Subscriptions &amp; Dues                              </v>
      </c>
      <c r="C225" s="14"/>
      <c r="D225" s="1">
        <f>SUM(OSRRefD22_21x_0)</f>
        <v>2389.69</v>
      </c>
      <c r="E225" s="1"/>
      <c r="F225" s="5">
        <f t="shared" ref="F225:F227" si="104">IF(D$12=0,0,D225/D$12)</f>
        <v>1.6341725601673198E-3</v>
      </c>
      <c r="G225" s="1"/>
      <c r="H225" s="1">
        <f>SUM(OSRRefH22_21x_0)</f>
        <v>1473</v>
      </c>
      <c r="I225" s="1"/>
      <c r="J225" s="5">
        <f t="shared" ref="J225:J227" si="105">IF(H$12=0,0,H225/H$12)</f>
        <v>5.8970219038533217E-4</v>
      </c>
      <c r="K225" s="1"/>
      <c r="L225" s="1">
        <f t="shared" ref="L225:L227" si="106">+D225-H225</f>
        <v>916.69</v>
      </c>
      <c r="M225" s="1"/>
      <c r="N225" s="5">
        <f t="shared" ref="N225:N227" si="107">IF(H225=0,0,L225/H225)</f>
        <v>0.62232858112695189</v>
      </c>
      <c r="O225" s="14"/>
      <c r="P225" s="1">
        <f>SUM(OSRRefP22_21x_0)</f>
        <v>5174.3</v>
      </c>
      <c r="Q225" s="1"/>
      <c r="R225" s="5">
        <f t="shared" ref="R225:R227" si="108">IF(P$12=0,0,P225/P$12)</f>
        <v>7.8336104858657378E-4</v>
      </c>
      <c r="S225" s="1"/>
      <c r="T225" s="1">
        <f>SUM(OSRRefT22_21x_0)</f>
        <v>12606</v>
      </c>
      <c r="U225" s="1"/>
      <c r="V225" s="5">
        <f t="shared" ref="V225:V227" si="109">IF(T$12=0,0,T225/T$12)</f>
        <v>1.1343147024138066E-3</v>
      </c>
      <c r="W225" s="1"/>
      <c r="X225" s="1">
        <f t="shared" ref="X225:X227" si="110">+P225-T225</f>
        <v>-7431.7</v>
      </c>
      <c r="Y225" s="1"/>
      <c r="Z225" s="5">
        <f t="shared" ref="Z225:Z227" si="111">IF(T225=0,0,X225/T225)</f>
        <v>-0.58953672854196415</v>
      </c>
    </row>
    <row r="226" spans="1:26" s="24" customFormat="1" hidden="1" outlineLevel="2" x14ac:dyDescent="0.35">
      <c r="A226" s="29"/>
      <c r="B226" s="11" t="str">
        <f>CONCATENATE("          ", "6258", " - ", "MEMBERSHIP DUES")</f>
        <v xml:space="preserve">          6258 - MEMBERSHIP DUES</v>
      </c>
      <c r="C226" s="11"/>
      <c r="D226" s="7">
        <v>462.61</v>
      </c>
      <c r="E226" s="2"/>
      <c r="F226" s="6">
        <f t="shared" si="104"/>
        <v>3.1635256793098847E-4</v>
      </c>
      <c r="G226" s="2"/>
      <c r="H226" s="7">
        <v>1100</v>
      </c>
      <c r="I226" s="2"/>
      <c r="J226" s="6">
        <f t="shared" si="105"/>
        <v>4.4037502336990178E-4</v>
      </c>
      <c r="K226" s="2"/>
      <c r="L226" s="7">
        <f t="shared" si="106"/>
        <v>-637.39</v>
      </c>
      <c r="M226" s="2"/>
      <c r="N226" s="6">
        <f t="shared" si="107"/>
        <v>-0.57944545454545449</v>
      </c>
      <c r="O226" s="11"/>
      <c r="P226" s="7">
        <v>2487.3200000000002</v>
      </c>
      <c r="Q226" s="2"/>
      <c r="R226" s="6">
        <f t="shared" si="108"/>
        <v>3.7656680195782171E-4</v>
      </c>
      <c r="S226" s="2"/>
      <c r="T226" s="7">
        <v>9995</v>
      </c>
      <c r="U226" s="2"/>
      <c r="V226" s="6">
        <f t="shared" si="109"/>
        <v>8.9937136685911442E-4</v>
      </c>
      <c r="W226" s="2"/>
      <c r="X226" s="7">
        <f t="shared" si="110"/>
        <v>-7507.68</v>
      </c>
      <c r="Y226" s="2"/>
      <c r="Z226" s="6">
        <f t="shared" si="111"/>
        <v>-0.75114357178589297</v>
      </c>
    </row>
    <row r="227" spans="1:26" s="24" customFormat="1" hidden="1" outlineLevel="2" x14ac:dyDescent="0.35">
      <c r="A227" s="29"/>
      <c r="B227" s="11" t="str">
        <f>CONCATENATE("          ", "6275", " - ", "SUBSCRIPTIONS")</f>
        <v xml:space="preserve">          6275 - SUBSCRIPTIONS</v>
      </c>
      <c r="C227" s="11"/>
      <c r="D227" s="7">
        <v>1927.08</v>
      </c>
      <c r="E227" s="2"/>
      <c r="F227" s="6">
        <f t="shared" si="104"/>
        <v>1.3178199922363313E-3</v>
      </c>
      <c r="G227" s="2"/>
      <c r="H227" s="7">
        <v>373</v>
      </c>
      <c r="I227" s="2"/>
      <c r="J227" s="6">
        <f t="shared" si="105"/>
        <v>1.4932716701543034E-4</v>
      </c>
      <c r="K227" s="2"/>
      <c r="L227" s="7">
        <f t="shared" si="106"/>
        <v>1554.08</v>
      </c>
      <c r="M227" s="2"/>
      <c r="N227" s="6">
        <f t="shared" si="107"/>
        <v>4.1664343163538868</v>
      </c>
      <c r="O227" s="11"/>
      <c r="P227" s="7">
        <v>2686.98</v>
      </c>
      <c r="Q227" s="2"/>
      <c r="R227" s="6">
        <f t="shared" si="108"/>
        <v>4.0679424662875212E-4</v>
      </c>
      <c r="S227" s="2"/>
      <c r="T227" s="7">
        <v>2611</v>
      </c>
      <c r="U227" s="2"/>
      <c r="V227" s="6">
        <f t="shared" si="109"/>
        <v>2.3494333555469212E-4</v>
      </c>
      <c r="W227" s="2"/>
      <c r="X227" s="7">
        <f t="shared" si="110"/>
        <v>75.980000000000018</v>
      </c>
      <c r="Y227" s="2"/>
      <c r="Z227" s="6">
        <f t="shared" si="111"/>
        <v>2.90999617004979E-2</v>
      </c>
    </row>
    <row r="228" spans="1:26" s="28" customFormat="1" outlineLevel="1" collapsed="1" x14ac:dyDescent="0.35">
      <c r="A228" s="27"/>
      <c r="B228" s="14" t="str">
        <f>CONCATENATE("     ","Supplies                                          ")</f>
        <v xml:space="preserve">     Supplies                                          </v>
      </c>
      <c r="C228" s="14"/>
      <c r="D228" s="1">
        <f>SUM(OSRRefD22_22x_0)</f>
        <v>24642.68</v>
      </c>
      <c r="E228" s="1"/>
      <c r="F228" s="5">
        <f t="shared" ref="F228:F239" si="112">IF(D$12=0,0,D228/D$12)</f>
        <v>1.6851721966022373E-2</v>
      </c>
      <c r="G228" s="1"/>
      <c r="H228" s="1">
        <f>SUM(OSRRefH22_22x_0)</f>
        <v>49145</v>
      </c>
      <c r="I228" s="1"/>
      <c r="J228" s="5">
        <f t="shared" ref="J228:J239" si="113">IF(H$12=0,0,H228/H$12)</f>
        <v>1.9674755021376205E-2</v>
      </c>
      <c r="K228" s="1"/>
      <c r="L228" s="1">
        <f t="shared" ref="L228:L239" si="114">+D228-H228</f>
        <v>-24502.32</v>
      </c>
      <c r="M228" s="1"/>
      <c r="N228" s="5">
        <f t="shared" ref="N228:N239" si="115">IF(H228=0,0,L228/H228)</f>
        <v>-0.49857198087292703</v>
      </c>
      <c r="O228" s="14"/>
      <c r="P228" s="1">
        <f>SUM(OSRRefP22_22x_0)</f>
        <v>215282.59999999998</v>
      </c>
      <c r="Q228" s="1"/>
      <c r="R228" s="5">
        <f t="shared" ref="R228:R239" si="116">IF(P$12=0,0,P228/P$12)</f>
        <v>3.259262185772837E-2</v>
      </c>
      <c r="S228" s="1"/>
      <c r="T228" s="1">
        <f>SUM(OSRRefT22_22x_0)</f>
        <v>377134</v>
      </c>
      <c r="U228" s="1"/>
      <c r="V228" s="5">
        <f t="shared" ref="V228:V239" si="117">IF(T$12=0,0,T228/T$12)</f>
        <v>3.3935319766787923E-2</v>
      </c>
      <c r="W228" s="1"/>
      <c r="X228" s="1">
        <f t="shared" ref="X228:X239" si="118">+P228-T228</f>
        <v>-161851.40000000002</v>
      </c>
      <c r="Y228" s="1"/>
      <c r="Z228" s="5">
        <f t="shared" ref="Z228:Z239" si="119">IF(T228=0,0,X228/T228)</f>
        <v>-0.42916151818716963</v>
      </c>
    </row>
    <row r="229" spans="1:26" s="24" customFormat="1" hidden="1" outlineLevel="2" x14ac:dyDescent="0.35">
      <c r="A229" s="29"/>
      <c r="B229" s="11" t="str">
        <f>CONCATENATE("          ", "6234", " - ", "EXPENDABLE SUPPLIES &amp; EQUIPMEN")</f>
        <v xml:space="preserve">          6234 - EXPENDABLE SUPPLIES &amp; EQUIPMEN</v>
      </c>
      <c r="C229" s="11"/>
      <c r="D229" s="7">
        <v>396.5</v>
      </c>
      <c r="E229" s="2"/>
      <c r="F229" s="6">
        <f t="shared" si="112"/>
        <v>2.7114371324579435E-4</v>
      </c>
      <c r="G229" s="2"/>
      <c r="H229" s="7">
        <v>8258</v>
      </c>
      <c r="I229" s="2"/>
      <c r="J229" s="6">
        <f t="shared" si="113"/>
        <v>3.3060154027169538E-3</v>
      </c>
      <c r="K229" s="2"/>
      <c r="L229" s="7">
        <f t="shared" si="114"/>
        <v>-7861.5</v>
      </c>
      <c r="M229" s="2"/>
      <c r="N229" s="6">
        <f t="shared" si="115"/>
        <v>-0.9519859530152579</v>
      </c>
      <c r="O229" s="11"/>
      <c r="P229" s="7">
        <v>574.74</v>
      </c>
      <c r="Q229" s="2"/>
      <c r="R229" s="6">
        <f t="shared" si="116"/>
        <v>8.7012529050238175E-5</v>
      </c>
      <c r="S229" s="2"/>
      <c r="T229" s="7">
        <v>51854</v>
      </c>
      <c r="U229" s="2"/>
      <c r="V229" s="6">
        <f t="shared" si="117"/>
        <v>4.6659332523374206E-3</v>
      </c>
      <c r="W229" s="2"/>
      <c r="X229" s="7">
        <f t="shared" si="118"/>
        <v>-51279.26</v>
      </c>
      <c r="Y229" s="2"/>
      <c r="Z229" s="6">
        <f t="shared" si="119"/>
        <v>-0.98891618775793577</v>
      </c>
    </row>
    <row r="230" spans="1:26" s="24" customFormat="1" hidden="1" outlineLevel="2" x14ac:dyDescent="0.35">
      <c r="A230" s="29"/>
      <c r="B230" s="11" t="str">
        <f>CONCATENATE("          ", "6235", " - ", "COVID-19 EXPENSES")</f>
        <v xml:space="preserve">          6235 - COVID-19 EXPENSES</v>
      </c>
      <c r="C230" s="11"/>
      <c r="D230" s="7">
        <v>5842.4</v>
      </c>
      <c r="E230" s="2"/>
      <c r="F230" s="6">
        <f t="shared" si="112"/>
        <v>3.9952838089967937E-3</v>
      </c>
      <c r="G230" s="2"/>
      <c r="H230" s="7">
        <v>13100</v>
      </c>
      <c r="I230" s="2"/>
      <c r="J230" s="6">
        <f t="shared" si="113"/>
        <v>5.2444661874051944E-3</v>
      </c>
      <c r="K230" s="2"/>
      <c r="L230" s="7">
        <f t="shared" si="114"/>
        <v>-7257.6</v>
      </c>
      <c r="M230" s="2"/>
      <c r="N230" s="6">
        <f t="shared" si="115"/>
        <v>-0.55401526717557259</v>
      </c>
      <c r="O230" s="11"/>
      <c r="P230" s="7">
        <v>92704.63</v>
      </c>
      <c r="Q230" s="2"/>
      <c r="R230" s="6">
        <f t="shared" si="116"/>
        <v>1.4034979836041657E-2</v>
      </c>
      <c r="S230" s="2"/>
      <c r="T230" s="7">
        <v>144800</v>
      </c>
      <c r="U230" s="2"/>
      <c r="V230" s="6">
        <f t="shared" si="117"/>
        <v>1.3029412098169062E-2</v>
      </c>
      <c r="W230" s="2"/>
      <c r="X230" s="7">
        <f t="shared" si="118"/>
        <v>-52095.369999999995</v>
      </c>
      <c r="Y230" s="2"/>
      <c r="Z230" s="6">
        <f t="shared" si="119"/>
        <v>-0.35977465469613257</v>
      </c>
    </row>
    <row r="231" spans="1:26" s="24" customFormat="1" hidden="1" outlineLevel="2" x14ac:dyDescent="0.35">
      <c r="A231" s="29"/>
      <c r="B231" s="11" t="str">
        <f>CONCATENATE("          ", "6237", " - ", "JANITORIAL SUPPLIES")</f>
        <v xml:space="preserve">          6237 - JANITORIAL SUPPLIES</v>
      </c>
      <c r="C231" s="11"/>
      <c r="D231" s="7">
        <v>4501.13</v>
      </c>
      <c r="E231" s="2"/>
      <c r="F231" s="6">
        <f t="shared" si="112"/>
        <v>3.0780658310265883E-3</v>
      </c>
      <c r="G231" s="2"/>
      <c r="H231" s="7">
        <v>10381</v>
      </c>
      <c r="I231" s="2"/>
      <c r="J231" s="6">
        <f t="shared" si="113"/>
        <v>4.1559391978208638E-3</v>
      </c>
      <c r="K231" s="2"/>
      <c r="L231" s="7">
        <f t="shared" si="114"/>
        <v>-5879.87</v>
      </c>
      <c r="M231" s="2"/>
      <c r="N231" s="6">
        <f t="shared" si="115"/>
        <v>-0.56640689721606785</v>
      </c>
      <c r="O231" s="11"/>
      <c r="P231" s="7">
        <v>20175.939999999999</v>
      </c>
      <c r="Q231" s="2"/>
      <c r="R231" s="6">
        <f t="shared" si="116"/>
        <v>3.0545282481919864E-3</v>
      </c>
      <c r="S231" s="2"/>
      <c r="T231" s="7">
        <v>68100</v>
      </c>
      <c r="U231" s="2"/>
      <c r="V231" s="6">
        <f t="shared" si="117"/>
        <v>6.1277828997604493E-3</v>
      </c>
      <c r="W231" s="2"/>
      <c r="X231" s="7">
        <f t="shared" si="118"/>
        <v>-47924.06</v>
      </c>
      <c r="Y231" s="2"/>
      <c r="Z231" s="6">
        <f t="shared" si="119"/>
        <v>-0.70373069016152712</v>
      </c>
    </row>
    <row r="232" spans="1:26" s="24" customFormat="1" hidden="1" outlineLevel="2" x14ac:dyDescent="0.35">
      <c r="A232" s="29"/>
      <c r="B232" s="11" t="str">
        <f>CONCATENATE("          ", "6239", " - ", "KITCHEN SUPPLIES")</f>
        <v xml:space="preserve">          6239 - KITCHEN SUPPLIES</v>
      </c>
      <c r="C232" s="11"/>
      <c r="D232" s="7">
        <v>979.48</v>
      </c>
      <c r="E232" s="2"/>
      <c r="F232" s="6">
        <f t="shared" si="112"/>
        <v>6.6981045208068263E-4</v>
      </c>
      <c r="G232" s="2"/>
      <c r="H232" s="7">
        <v>2300</v>
      </c>
      <c r="I232" s="2"/>
      <c r="J232" s="6">
        <f t="shared" si="113"/>
        <v>9.2078413977343101E-4</v>
      </c>
      <c r="K232" s="2"/>
      <c r="L232" s="7">
        <f t="shared" si="114"/>
        <v>-1320.52</v>
      </c>
      <c r="M232" s="2"/>
      <c r="N232" s="6">
        <f t="shared" si="115"/>
        <v>-0.5741391304347826</v>
      </c>
      <c r="O232" s="11"/>
      <c r="P232" s="7">
        <v>6813.86</v>
      </c>
      <c r="Q232" s="2"/>
      <c r="R232" s="6">
        <f t="shared" si="116"/>
        <v>1.0315815693953021E-3</v>
      </c>
      <c r="S232" s="2"/>
      <c r="T232" s="7">
        <v>15532</v>
      </c>
      <c r="U232" s="2"/>
      <c r="V232" s="6">
        <f t="shared" si="117"/>
        <v>1.3976024082096813E-3</v>
      </c>
      <c r="W232" s="2"/>
      <c r="X232" s="7">
        <f t="shared" si="118"/>
        <v>-8718.14</v>
      </c>
      <c r="Y232" s="2"/>
      <c r="Z232" s="6">
        <f t="shared" si="119"/>
        <v>-0.56130182848313159</v>
      </c>
    </row>
    <row r="233" spans="1:26" s="24" customFormat="1" hidden="1" outlineLevel="2" x14ac:dyDescent="0.35">
      <c r="A233" s="29"/>
      <c r="B233" s="11" t="str">
        <f>CONCATENATE("          ", "6241", " - ", "OFFICE EXPENSE")</f>
        <v xml:space="preserve">          6241 - OFFICE EXPENSE</v>
      </c>
      <c r="C233" s="11"/>
      <c r="D233" s="7">
        <v>1566.26</v>
      </c>
      <c r="E233" s="2"/>
      <c r="F233" s="6">
        <f t="shared" si="112"/>
        <v>1.0710757939681158E-3</v>
      </c>
      <c r="G233" s="2"/>
      <c r="H233" s="7">
        <v>1760</v>
      </c>
      <c r="I233" s="2"/>
      <c r="J233" s="6">
        <f t="shared" si="113"/>
        <v>7.0460003739184287E-4</v>
      </c>
      <c r="K233" s="2"/>
      <c r="L233" s="7">
        <f t="shared" si="114"/>
        <v>-193.74</v>
      </c>
      <c r="M233" s="2"/>
      <c r="N233" s="6">
        <f t="shared" si="115"/>
        <v>-0.11007954545454546</v>
      </c>
      <c r="O233" s="11"/>
      <c r="P233" s="7">
        <v>28012.43</v>
      </c>
      <c r="Q233" s="2"/>
      <c r="R233" s="6">
        <f t="shared" si="116"/>
        <v>4.2409304714179693E-3</v>
      </c>
      <c r="S233" s="2"/>
      <c r="T233" s="7">
        <v>16932</v>
      </c>
      <c r="U233" s="2"/>
      <c r="V233" s="6">
        <f t="shared" si="117"/>
        <v>1.5235773870593823E-3</v>
      </c>
      <c r="W233" s="2"/>
      <c r="X233" s="7">
        <f t="shared" si="118"/>
        <v>11080.43</v>
      </c>
      <c r="Y233" s="2"/>
      <c r="Z233" s="6">
        <f t="shared" si="119"/>
        <v>0.65440763052208839</v>
      </c>
    </row>
    <row r="234" spans="1:26" s="24" customFormat="1" hidden="1" outlineLevel="2" x14ac:dyDescent="0.35">
      <c r="A234" s="29"/>
      <c r="B234" s="11" t="str">
        <f>CONCATENATE("          ", "6243", " - ", "PAPER SUPPLIES")</f>
        <v xml:space="preserve">          6243 - PAPER SUPPLIES</v>
      </c>
      <c r="C234" s="11"/>
      <c r="D234" s="7">
        <v>2852.08</v>
      </c>
      <c r="E234" s="2"/>
      <c r="F234" s="6">
        <f t="shared" si="112"/>
        <v>1.9503746826584241E-3</v>
      </c>
      <c r="G234" s="2"/>
      <c r="H234" s="7">
        <v>4146</v>
      </c>
      <c r="I234" s="2"/>
      <c r="J234" s="6">
        <f t="shared" si="113"/>
        <v>1.6598134971741935E-3</v>
      </c>
      <c r="K234" s="2"/>
      <c r="L234" s="7">
        <f t="shared" si="114"/>
        <v>-1293.92</v>
      </c>
      <c r="M234" s="2"/>
      <c r="N234" s="6">
        <f t="shared" si="115"/>
        <v>-0.3120887602508442</v>
      </c>
      <c r="O234" s="11"/>
      <c r="P234" s="7">
        <v>23291.64</v>
      </c>
      <c r="Q234" s="2"/>
      <c r="R234" s="6">
        <f t="shared" si="116"/>
        <v>3.5262283852310426E-3</v>
      </c>
      <c r="S234" s="2"/>
      <c r="T234" s="7">
        <v>19670</v>
      </c>
      <c r="U234" s="2"/>
      <c r="V234" s="6">
        <f t="shared" si="117"/>
        <v>1.7699484528382972E-3</v>
      </c>
      <c r="W234" s="2"/>
      <c r="X234" s="7">
        <f t="shared" si="118"/>
        <v>3621.6399999999994</v>
      </c>
      <c r="Y234" s="2"/>
      <c r="Z234" s="6">
        <f t="shared" si="119"/>
        <v>0.18411997966446361</v>
      </c>
    </row>
    <row r="235" spans="1:26" s="24" customFormat="1" hidden="1" outlineLevel="2" x14ac:dyDescent="0.35">
      <c r="A235" s="29"/>
      <c r="B235" s="11" t="str">
        <f>CONCATENATE("          ", "6244", " - ", "SAFETY SUPPLY EXPENSE")</f>
        <v xml:space="preserve">          6244 - SAFETY SUPPLY EXPENSE</v>
      </c>
      <c r="C235" s="11"/>
      <c r="D235" s="7"/>
      <c r="E235" s="2"/>
      <c r="F235" s="6">
        <f t="shared" si="112"/>
        <v>0</v>
      </c>
      <c r="G235" s="2"/>
      <c r="H235" s="7">
        <v>205</v>
      </c>
      <c r="I235" s="2"/>
      <c r="J235" s="6">
        <f t="shared" si="113"/>
        <v>8.2069890718936247E-5</v>
      </c>
      <c r="K235" s="2"/>
      <c r="L235" s="7">
        <f t="shared" si="114"/>
        <v>-205</v>
      </c>
      <c r="M235" s="2"/>
      <c r="N235" s="6">
        <f t="shared" si="115"/>
        <v>-1</v>
      </c>
      <c r="O235" s="11"/>
      <c r="P235" s="7"/>
      <c r="Q235" s="2"/>
      <c r="R235" s="6">
        <f t="shared" si="116"/>
        <v>0</v>
      </c>
      <c r="S235" s="2"/>
      <c r="T235" s="7">
        <v>1055</v>
      </c>
      <c r="U235" s="2"/>
      <c r="V235" s="6">
        <f t="shared" si="117"/>
        <v>9.4931144776024586E-5</v>
      </c>
      <c r="W235" s="2"/>
      <c r="X235" s="7">
        <f t="shared" si="118"/>
        <v>-1055</v>
      </c>
      <c r="Y235" s="2"/>
      <c r="Z235" s="6">
        <f t="shared" si="119"/>
        <v>-1</v>
      </c>
    </row>
    <row r="236" spans="1:26" s="24" customFormat="1" hidden="1" outlineLevel="2" x14ac:dyDescent="0.35">
      <c r="A236" s="29"/>
      <c r="B236" s="11" t="str">
        <f>CONCATENATE("          ", "6245", " - ", "PRINTING")</f>
        <v xml:space="preserve">          6245 - PRINTING</v>
      </c>
      <c r="C236" s="11"/>
      <c r="D236" s="7"/>
      <c r="E236" s="2"/>
      <c r="F236" s="6">
        <f t="shared" si="112"/>
        <v>0</v>
      </c>
      <c r="G236" s="2"/>
      <c r="H236" s="7">
        <v>900</v>
      </c>
      <c r="I236" s="2"/>
      <c r="J236" s="6">
        <f t="shared" si="113"/>
        <v>3.6030683730264694E-4</v>
      </c>
      <c r="K236" s="2"/>
      <c r="L236" s="7">
        <f t="shared" si="114"/>
        <v>-900</v>
      </c>
      <c r="M236" s="2"/>
      <c r="N236" s="6">
        <f t="shared" si="115"/>
        <v>-1</v>
      </c>
      <c r="O236" s="11"/>
      <c r="P236" s="7">
        <v>508.27</v>
      </c>
      <c r="Q236" s="2"/>
      <c r="R236" s="6">
        <f t="shared" si="116"/>
        <v>7.6949330376108427E-5</v>
      </c>
      <c r="S236" s="2"/>
      <c r="T236" s="7">
        <v>5600</v>
      </c>
      <c r="U236" s="2"/>
      <c r="V236" s="6">
        <f t="shared" si="117"/>
        <v>5.0389991539880345E-4</v>
      </c>
      <c r="W236" s="2"/>
      <c r="X236" s="7">
        <f t="shared" si="118"/>
        <v>-5091.7299999999996</v>
      </c>
      <c r="Y236" s="2"/>
      <c r="Z236" s="6">
        <f t="shared" si="119"/>
        <v>-0.90923749999999992</v>
      </c>
    </row>
    <row r="237" spans="1:26" s="24" customFormat="1" hidden="1" outlineLevel="2" x14ac:dyDescent="0.35">
      <c r="A237" s="29"/>
      <c r="B237" s="11" t="str">
        <f>CONCATENATE("          ", "6246", " - ", "REPLACEMENTS")</f>
        <v xml:space="preserve">          6246 - REPLACEMENTS</v>
      </c>
      <c r="C237" s="11"/>
      <c r="D237" s="7"/>
      <c r="E237" s="2"/>
      <c r="F237" s="6">
        <f t="shared" si="112"/>
        <v>0</v>
      </c>
      <c r="G237" s="2"/>
      <c r="H237" s="7">
        <v>0</v>
      </c>
      <c r="I237" s="2"/>
      <c r="J237" s="6">
        <f t="shared" si="113"/>
        <v>0</v>
      </c>
      <c r="K237" s="2"/>
      <c r="L237" s="7">
        <f t="shared" si="114"/>
        <v>0</v>
      </c>
      <c r="M237" s="2"/>
      <c r="N237" s="6">
        <f t="shared" si="115"/>
        <v>0</v>
      </c>
      <c r="O237" s="11"/>
      <c r="P237" s="7"/>
      <c r="Q237" s="2"/>
      <c r="R237" s="6">
        <f t="shared" si="116"/>
        <v>0</v>
      </c>
      <c r="S237" s="2"/>
      <c r="T237" s="7">
        <v>0</v>
      </c>
      <c r="U237" s="2"/>
      <c r="V237" s="6">
        <f t="shared" si="117"/>
        <v>0</v>
      </c>
      <c r="W237" s="2"/>
      <c r="X237" s="7">
        <f t="shared" si="118"/>
        <v>0</v>
      </c>
      <c r="Y237" s="2"/>
      <c r="Z237" s="6">
        <f t="shared" si="119"/>
        <v>0</v>
      </c>
    </row>
    <row r="238" spans="1:26" s="24" customFormat="1" hidden="1" outlineLevel="2" x14ac:dyDescent="0.35">
      <c r="A238" s="29"/>
      <c r="B238" s="11" t="str">
        <f>CONCATENATE("          ", "6247", " - ", "STORE SUPPLIES")</f>
        <v xml:space="preserve">          6247 - STORE SUPPLIES</v>
      </c>
      <c r="C238" s="11"/>
      <c r="D238" s="7">
        <v>8504.83</v>
      </c>
      <c r="E238" s="2"/>
      <c r="F238" s="6">
        <f t="shared" si="112"/>
        <v>5.8159676840459753E-3</v>
      </c>
      <c r="G238" s="2"/>
      <c r="H238" s="7">
        <v>4380</v>
      </c>
      <c r="I238" s="2"/>
      <c r="J238" s="6">
        <f t="shared" si="113"/>
        <v>1.7534932748728817E-3</v>
      </c>
      <c r="K238" s="2"/>
      <c r="L238" s="7">
        <f t="shared" si="114"/>
        <v>4124.83</v>
      </c>
      <c r="M238" s="2"/>
      <c r="N238" s="6">
        <f t="shared" si="115"/>
        <v>0.94174200913242012</v>
      </c>
      <c r="O238" s="11"/>
      <c r="P238" s="7">
        <v>38700.5</v>
      </c>
      <c r="Q238" s="2"/>
      <c r="R238" s="6">
        <f t="shared" si="116"/>
        <v>5.8590464914722177E-3</v>
      </c>
      <c r="S238" s="2"/>
      <c r="T238" s="7">
        <v>33326</v>
      </c>
      <c r="U238" s="2"/>
      <c r="V238" s="6">
        <f t="shared" si="117"/>
        <v>2.9987443893893795E-3</v>
      </c>
      <c r="W238" s="2"/>
      <c r="X238" s="7">
        <f t="shared" si="118"/>
        <v>5374.5</v>
      </c>
      <c r="Y238" s="2"/>
      <c r="Z238" s="6">
        <f t="shared" si="119"/>
        <v>0.1612704795054912</v>
      </c>
    </row>
    <row r="239" spans="1:26" s="24" customFormat="1" hidden="1" outlineLevel="2" x14ac:dyDescent="0.35">
      <c r="A239" s="29"/>
      <c r="B239" s="11" t="str">
        <f>CONCATENATE("          ", "6248", " - ", "UNIFORMS")</f>
        <v xml:space="preserve">          6248 - UNIFORMS</v>
      </c>
      <c r="C239" s="11"/>
      <c r="D239" s="7"/>
      <c r="E239" s="2"/>
      <c r="F239" s="6">
        <f t="shared" si="112"/>
        <v>0</v>
      </c>
      <c r="G239" s="2"/>
      <c r="H239" s="7">
        <v>3715</v>
      </c>
      <c r="I239" s="2"/>
      <c r="J239" s="6">
        <f t="shared" si="113"/>
        <v>1.4872665561992593E-3</v>
      </c>
      <c r="K239" s="2"/>
      <c r="L239" s="7">
        <f t="shared" si="114"/>
        <v>-3715</v>
      </c>
      <c r="M239" s="2"/>
      <c r="N239" s="6">
        <f t="shared" si="115"/>
        <v>-1</v>
      </c>
      <c r="O239" s="11"/>
      <c r="P239" s="7">
        <v>4500.59</v>
      </c>
      <c r="Q239" s="2"/>
      <c r="R239" s="6">
        <f t="shared" si="116"/>
        <v>6.8136499655185206E-4</v>
      </c>
      <c r="S239" s="2"/>
      <c r="T239" s="7">
        <v>20265</v>
      </c>
      <c r="U239" s="2"/>
      <c r="V239" s="6">
        <f t="shared" si="117"/>
        <v>1.8234878188494201E-3</v>
      </c>
      <c r="W239" s="2"/>
      <c r="X239" s="7">
        <f t="shared" si="118"/>
        <v>-15764.41</v>
      </c>
      <c r="Y239" s="2"/>
      <c r="Z239" s="6">
        <f t="shared" si="119"/>
        <v>-0.77791315075252898</v>
      </c>
    </row>
    <row r="240" spans="1:26" s="28" customFormat="1" outlineLevel="1" collapsed="1" x14ac:dyDescent="0.35">
      <c r="A240" s="27"/>
      <c r="B240" s="14" t="str">
        <f>CONCATENATE("     ","Telephone/Data Lines                              ")</f>
        <v xml:space="preserve">     Telephone/Data Lines                              </v>
      </c>
      <c r="C240" s="14"/>
      <c r="D240" s="1">
        <f>SUM(OSRRefD22_23x_0)</f>
        <v>3297.31</v>
      </c>
      <c r="E240" s="1"/>
      <c r="F240" s="5">
        <f t="shared" ref="F240:F242" si="120">IF(D$12=0,0,D240/D$12)</f>
        <v>2.2548420608385629E-3</v>
      </c>
      <c r="G240" s="1"/>
      <c r="H240" s="1">
        <f>SUM(OSRRefH22_23x_0)</f>
        <v>5240</v>
      </c>
      <c r="I240" s="1"/>
      <c r="J240" s="5">
        <f t="shared" ref="J240:J242" si="121">IF(H$12=0,0,H240/H$12)</f>
        <v>2.0977864749620778E-3</v>
      </c>
      <c r="K240" s="1"/>
      <c r="L240" s="1">
        <f t="shared" ref="L240:L242" si="122">+D240-H240</f>
        <v>-1942.69</v>
      </c>
      <c r="M240" s="1"/>
      <c r="N240" s="5">
        <f t="shared" ref="N240:N242" si="123">IF(H240=0,0,L240/H240)</f>
        <v>-0.37074236641221375</v>
      </c>
      <c r="O240" s="14"/>
      <c r="P240" s="1">
        <f>SUM(OSRRefP22_23x_0)</f>
        <v>32725.510000000002</v>
      </c>
      <c r="Q240" s="1"/>
      <c r="R240" s="5">
        <f t="shared" ref="R240:R242" si="124">IF(P$12=0,0,P240/P$12)</f>
        <v>4.9544653052838849E-3</v>
      </c>
      <c r="S240" s="1"/>
      <c r="T240" s="1">
        <f>SUM(OSRRefT22_23x_0)</f>
        <v>34627</v>
      </c>
      <c r="U240" s="1"/>
      <c r="V240" s="5">
        <f t="shared" ref="V240:V242" si="125">IF(T$12=0,0,T240/T$12)</f>
        <v>3.1158111375918516E-3</v>
      </c>
      <c r="W240" s="1"/>
      <c r="X240" s="1">
        <f t="shared" ref="X240:X242" si="126">+P240-T240</f>
        <v>-1901.489999999998</v>
      </c>
      <c r="Y240" s="1"/>
      <c r="Z240" s="5">
        <f t="shared" ref="Z240:Z242" si="127">IF(T240=0,0,X240/T240)</f>
        <v>-5.4913506801051143E-2</v>
      </c>
    </row>
    <row r="241" spans="1:26" s="24" customFormat="1" hidden="1" outlineLevel="2" x14ac:dyDescent="0.35">
      <c r="A241" s="29"/>
      <c r="B241" s="11" t="str">
        <f>CONCATENATE("          ", "6303", " - ", "DATA PHONE LINES")</f>
        <v xml:space="preserve">          6303 - DATA PHONE LINES</v>
      </c>
      <c r="C241" s="11"/>
      <c r="D241" s="7">
        <v>295</v>
      </c>
      <c r="E241" s="2"/>
      <c r="F241" s="6">
        <f t="shared" si="120"/>
        <v>2.0173365802650525E-4</v>
      </c>
      <c r="G241" s="2"/>
      <c r="H241" s="7">
        <v>1500</v>
      </c>
      <c r="I241" s="2"/>
      <c r="J241" s="6">
        <f t="shared" si="121"/>
        <v>6.0051139550441153E-4</v>
      </c>
      <c r="K241" s="2"/>
      <c r="L241" s="7">
        <f t="shared" si="122"/>
        <v>-1205</v>
      </c>
      <c r="M241" s="2"/>
      <c r="N241" s="6">
        <f t="shared" si="123"/>
        <v>-0.80333333333333334</v>
      </c>
      <c r="O241" s="11"/>
      <c r="P241" s="7">
        <v>2360</v>
      </c>
      <c r="Q241" s="2"/>
      <c r="R241" s="6">
        <f t="shared" si="124"/>
        <v>3.5729124222876795E-4</v>
      </c>
      <c r="S241" s="2"/>
      <c r="T241" s="7">
        <v>10537</v>
      </c>
      <c r="U241" s="2"/>
      <c r="V241" s="6">
        <f t="shared" si="125"/>
        <v>9.4814168009949864E-4</v>
      </c>
      <c r="W241" s="2"/>
      <c r="X241" s="7">
        <f t="shared" si="126"/>
        <v>-8177</v>
      </c>
      <c r="Y241" s="2"/>
      <c r="Z241" s="6">
        <f t="shared" si="127"/>
        <v>-0.77602733225775833</v>
      </c>
    </row>
    <row r="242" spans="1:26" s="24" customFormat="1" hidden="1" outlineLevel="2" x14ac:dyDescent="0.35">
      <c r="A242" s="29"/>
      <c r="B242" s="11" t="str">
        <f>CONCATENATE("          ", "6309", " - ", "TELEPHONE")</f>
        <v xml:space="preserve">          6309 - TELEPHONE</v>
      </c>
      <c r="C242" s="11"/>
      <c r="D242" s="7">
        <v>3002.31</v>
      </c>
      <c r="E242" s="2"/>
      <c r="F242" s="6">
        <f t="shared" si="120"/>
        <v>2.0531084028120577E-3</v>
      </c>
      <c r="G242" s="2"/>
      <c r="H242" s="7">
        <v>3740</v>
      </c>
      <c r="I242" s="2"/>
      <c r="J242" s="6">
        <f t="shared" si="121"/>
        <v>1.4972750794576661E-3</v>
      </c>
      <c r="K242" s="2"/>
      <c r="L242" s="7">
        <f t="shared" si="122"/>
        <v>-737.69</v>
      </c>
      <c r="M242" s="2"/>
      <c r="N242" s="6">
        <f t="shared" si="123"/>
        <v>-0.19724331550802141</v>
      </c>
      <c r="O242" s="11"/>
      <c r="P242" s="7">
        <v>30365.510000000002</v>
      </c>
      <c r="Q242" s="2"/>
      <c r="R242" s="6">
        <f t="shared" si="124"/>
        <v>4.5971740630551174E-3</v>
      </c>
      <c r="S242" s="2"/>
      <c r="T242" s="7">
        <v>24090</v>
      </c>
      <c r="U242" s="2"/>
      <c r="V242" s="6">
        <f t="shared" si="125"/>
        <v>2.1676694574923527E-3</v>
      </c>
      <c r="W242" s="2"/>
      <c r="X242" s="7">
        <f t="shared" si="126"/>
        <v>6275.510000000002</v>
      </c>
      <c r="Y242" s="2"/>
      <c r="Z242" s="6">
        <f t="shared" si="127"/>
        <v>0.26050269821502708</v>
      </c>
    </row>
    <row r="243" spans="1:26" s="28" customFormat="1" outlineLevel="1" collapsed="1" x14ac:dyDescent="0.35">
      <c r="A243" s="27"/>
      <c r="B243" s="14" t="str">
        <f>CONCATENATE("     ","Training                                          ")</f>
        <v xml:space="preserve">     Training                                          </v>
      </c>
      <c r="C243" s="14"/>
      <c r="D243" s="1">
        <f>SUM(OSRRefD22_24x_0)</f>
        <v>0</v>
      </c>
      <c r="E243" s="1"/>
      <c r="F243" s="5">
        <f t="shared" ref="F243:F248" si="128">IF(D$12=0,0,D243/D$12)</f>
        <v>0</v>
      </c>
      <c r="G243" s="1"/>
      <c r="H243" s="1">
        <f>SUM(OSRRefH22_24x_0)</f>
        <v>5730</v>
      </c>
      <c r="I243" s="1"/>
      <c r="J243" s="5">
        <f t="shared" ref="J243:J248" si="129">IF(H$12=0,0,H243/H$12)</f>
        <v>2.2939535308268521E-3</v>
      </c>
      <c r="K243" s="1"/>
      <c r="L243" s="1">
        <f t="shared" ref="L243:L248" si="130">+D243-H243</f>
        <v>-5730</v>
      </c>
      <c r="M243" s="1"/>
      <c r="N243" s="5">
        <f t="shared" ref="N243:N248" si="131">IF(H243=0,0,L243/H243)</f>
        <v>-1</v>
      </c>
      <c r="O243" s="14"/>
      <c r="P243" s="1">
        <f>SUM(OSRRefP22_24x_0)</f>
        <v>1380.63</v>
      </c>
      <c r="Q243" s="1"/>
      <c r="R243" s="5">
        <f t="shared" ref="R243:R248" si="132">IF(P$12=0,0,P243/P$12)</f>
        <v>2.0901991854165421E-4</v>
      </c>
      <c r="S243" s="1"/>
      <c r="T243" s="1">
        <f>SUM(OSRRefT22_24x_0)</f>
        <v>15110</v>
      </c>
      <c r="U243" s="1"/>
      <c r="V243" s="5">
        <f t="shared" ref="V243:V248" si="133">IF(T$12=0,0,T243/T$12)</f>
        <v>1.3596299502992716E-3</v>
      </c>
      <c r="W243" s="1"/>
      <c r="X243" s="1">
        <f t="shared" ref="X243:X248" si="134">+P243-T243</f>
        <v>-13729.369999999999</v>
      </c>
      <c r="Y243" s="1"/>
      <c r="Z243" s="5">
        <f t="shared" ref="Z243:Z248" si="135">IF(T243=0,0,X243/T243)</f>
        <v>-0.90862806088682979</v>
      </c>
    </row>
    <row r="244" spans="1:26" s="24" customFormat="1" hidden="1" outlineLevel="2" x14ac:dyDescent="0.35">
      <c r="A244" s="29"/>
      <c r="B244" s="11" t="str">
        <f>CONCATENATE("          ", "6376", " - ", "TRAINING")</f>
        <v xml:space="preserve">          6376 - TRAINING</v>
      </c>
      <c r="C244" s="11"/>
      <c r="D244" s="7"/>
      <c r="E244" s="2"/>
      <c r="F244" s="6">
        <f t="shared" si="128"/>
        <v>0</v>
      </c>
      <c r="G244" s="2"/>
      <c r="H244" s="7">
        <v>5730</v>
      </c>
      <c r="I244" s="2"/>
      <c r="J244" s="6">
        <f t="shared" si="129"/>
        <v>2.2939535308268521E-3</v>
      </c>
      <c r="K244" s="2"/>
      <c r="L244" s="7">
        <f t="shared" si="130"/>
        <v>-5730</v>
      </c>
      <c r="M244" s="2"/>
      <c r="N244" s="6">
        <f t="shared" si="131"/>
        <v>-1</v>
      </c>
      <c r="O244" s="11"/>
      <c r="P244" s="7">
        <v>1380.63</v>
      </c>
      <c r="Q244" s="2"/>
      <c r="R244" s="6">
        <f t="shared" si="132"/>
        <v>2.0901991854165421E-4</v>
      </c>
      <c r="S244" s="2"/>
      <c r="T244" s="7">
        <v>15110</v>
      </c>
      <c r="U244" s="2"/>
      <c r="V244" s="6">
        <f t="shared" si="133"/>
        <v>1.3596299502992716E-3</v>
      </c>
      <c r="W244" s="2"/>
      <c r="X244" s="7">
        <f t="shared" si="134"/>
        <v>-13729.369999999999</v>
      </c>
      <c r="Y244" s="2"/>
      <c r="Z244" s="6">
        <f t="shared" si="135"/>
        <v>-0.90862806088682979</v>
      </c>
    </row>
    <row r="245" spans="1:26" s="28" customFormat="1" outlineLevel="1" collapsed="1" x14ac:dyDescent="0.35">
      <c r="A245" s="27"/>
      <c r="B245" s="14" t="str">
        <f>CONCATENATE("     ","Travel                                            ")</f>
        <v xml:space="preserve">     Travel                                            </v>
      </c>
      <c r="C245" s="14"/>
      <c r="D245" s="1">
        <f>SUM(OSRRefD22_25x_0)</f>
        <v>129.38</v>
      </c>
      <c r="E245" s="1"/>
      <c r="F245" s="5">
        <f t="shared" si="128"/>
        <v>8.8475595510065247E-5</v>
      </c>
      <c r="G245" s="1"/>
      <c r="H245" s="1">
        <f>SUM(OSRRefH22_25x_0)</f>
        <v>375</v>
      </c>
      <c r="I245" s="1"/>
      <c r="J245" s="5">
        <f t="shared" si="129"/>
        <v>1.5012784887610288E-4</v>
      </c>
      <c r="K245" s="1"/>
      <c r="L245" s="1">
        <f t="shared" si="130"/>
        <v>-245.62</v>
      </c>
      <c r="M245" s="1"/>
      <c r="N245" s="5">
        <f t="shared" si="131"/>
        <v>-0.65498666666666672</v>
      </c>
      <c r="O245" s="14"/>
      <c r="P245" s="1">
        <f>SUM(OSRRefP22_25x_0)</f>
        <v>1142.52</v>
      </c>
      <c r="Q245" s="1"/>
      <c r="R245" s="5">
        <f t="shared" si="132"/>
        <v>1.7297135172508982E-4</v>
      </c>
      <c r="S245" s="1"/>
      <c r="T245" s="1">
        <f>SUM(OSRRefT22_25x_0)</f>
        <v>4150</v>
      </c>
      <c r="U245" s="1"/>
      <c r="V245" s="5">
        <f t="shared" si="133"/>
        <v>3.7342583016161332E-4</v>
      </c>
      <c r="W245" s="1"/>
      <c r="X245" s="1">
        <f t="shared" si="134"/>
        <v>-3007.48</v>
      </c>
      <c r="Y245" s="1"/>
      <c r="Z245" s="5">
        <f t="shared" si="135"/>
        <v>-0.72469397590361451</v>
      </c>
    </row>
    <row r="246" spans="1:26" s="24" customFormat="1" hidden="1" outlineLevel="2" x14ac:dyDescent="0.35">
      <c r="A246" s="29"/>
      <c r="B246" s="11" t="str">
        <f>CONCATENATE("          ", "6292", " - ", "TRAVEL/CONFERENCE")</f>
        <v xml:space="preserve">          6292 - TRAVEL/CONFERENCE</v>
      </c>
      <c r="C246" s="11"/>
      <c r="D246" s="7"/>
      <c r="E246" s="2"/>
      <c r="F246" s="6">
        <f t="shared" si="128"/>
        <v>0</v>
      </c>
      <c r="G246" s="2"/>
      <c r="H246" s="7">
        <v>300</v>
      </c>
      <c r="I246" s="2"/>
      <c r="J246" s="6">
        <f t="shared" si="129"/>
        <v>1.2010227910088231E-4</v>
      </c>
      <c r="K246" s="2"/>
      <c r="L246" s="7">
        <f t="shared" si="130"/>
        <v>-300</v>
      </c>
      <c r="M246" s="2"/>
      <c r="N246" s="6">
        <f t="shared" si="131"/>
        <v>-1</v>
      </c>
      <c r="O246" s="11"/>
      <c r="P246" s="7">
        <v>299.16000000000003</v>
      </c>
      <c r="Q246" s="2"/>
      <c r="R246" s="6">
        <f t="shared" si="132"/>
        <v>4.5291206790321287E-5</v>
      </c>
      <c r="S246" s="2"/>
      <c r="T246" s="7">
        <v>3600</v>
      </c>
      <c r="U246" s="2"/>
      <c r="V246" s="6">
        <f t="shared" si="133"/>
        <v>3.2393565989923082E-4</v>
      </c>
      <c r="W246" s="2"/>
      <c r="X246" s="7">
        <f t="shared" si="134"/>
        <v>-3300.84</v>
      </c>
      <c r="Y246" s="2"/>
      <c r="Z246" s="6">
        <f t="shared" si="135"/>
        <v>-0.91690000000000005</v>
      </c>
    </row>
    <row r="247" spans="1:26" s="24" customFormat="1" hidden="1" outlineLevel="2" x14ac:dyDescent="0.35">
      <c r="A247" s="29"/>
      <c r="B247" s="11" t="str">
        <f>CONCATENATE("          ", "6294", " - ", "TRAVEL OPERATIONAL")</f>
        <v xml:space="preserve">          6294 - TRAVEL OPERATIONAL</v>
      </c>
      <c r="C247" s="11"/>
      <c r="D247" s="7">
        <v>129.38</v>
      </c>
      <c r="E247" s="2"/>
      <c r="F247" s="6">
        <f t="shared" si="128"/>
        <v>8.8475595510065247E-5</v>
      </c>
      <c r="G247" s="2"/>
      <c r="H247" s="7">
        <v>25</v>
      </c>
      <c r="I247" s="2"/>
      <c r="J247" s="6">
        <f t="shared" si="129"/>
        <v>1.0008523258406859E-5</v>
      </c>
      <c r="K247" s="2"/>
      <c r="L247" s="7">
        <f t="shared" si="130"/>
        <v>104.38</v>
      </c>
      <c r="M247" s="2"/>
      <c r="N247" s="6">
        <f t="shared" si="131"/>
        <v>4.1752000000000002</v>
      </c>
      <c r="O247" s="11"/>
      <c r="P247" s="7">
        <v>451.26</v>
      </c>
      <c r="Q247" s="2"/>
      <c r="R247" s="6">
        <f t="shared" si="132"/>
        <v>6.831832456277705E-5</v>
      </c>
      <c r="S247" s="2"/>
      <c r="T247" s="7">
        <v>175</v>
      </c>
      <c r="U247" s="2"/>
      <c r="V247" s="6">
        <f t="shared" si="133"/>
        <v>1.5746872356212608E-5</v>
      </c>
      <c r="W247" s="2"/>
      <c r="X247" s="7">
        <f t="shared" si="134"/>
        <v>276.26</v>
      </c>
      <c r="Y247" s="2"/>
      <c r="Z247" s="6">
        <f t="shared" si="135"/>
        <v>1.5786285714285713</v>
      </c>
    </row>
    <row r="248" spans="1:26" s="24" customFormat="1" hidden="1" outlineLevel="2" x14ac:dyDescent="0.35">
      <c r="A248" s="29"/>
      <c r="B248" s="11" t="str">
        <f>CONCATENATE("          ", "6298", " - ", "VEHICLE MILEAGE")</f>
        <v xml:space="preserve">          6298 - VEHICLE MILEAGE</v>
      </c>
      <c r="C248" s="11"/>
      <c r="D248" s="7"/>
      <c r="E248" s="2"/>
      <c r="F248" s="6">
        <f t="shared" si="128"/>
        <v>0</v>
      </c>
      <c r="G248" s="2"/>
      <c r="H248" s="7">
        <v>50</v>
      </c>
      <c r="I248" s="2"/>
      <c r="J248" s="6">
        <f t="shared" si="129"/>
        <v>2.0017046516813718E-5</v>
      </c>
      <c r="K248" s="2"/>
      <c r="L248" s="7">
        <f t="shared" si="130"/>
        <v>-50</v>
      </c>
      <c r="M248" s="2"/>
      <c r="N248" s="6">
        <f t="shared" si="131"/>
        <v>-1</v>
      </c>
      <c r="O248" s="11"/>
      <c r="P248" s="7">
        <v>392.1</v>
      </c>
      <c r="Q248" s="2"/>
      <c r="R248" s="6">
        <f t="shared" si="132"/>
        <v>5.9361820371991493E-5</v>
      </c>
      <c r="S248" s="2"/>
      <c r="T248" s="7">
        <v>375</v>
      </c>
      <c r="U248" s="2"/>
      <c r="V248" s="6">
        <f t="shared" si="133"/>
        <v>3.3743297906169878E-5</v>
      </c>
      <c r="W248" s="2"/>
      <c r="X248" s="7">
        <f t="shared" si="134"/>
        <v>17.100000000000023</v>
      </c>
      <c r="Y248" s="2"/>
      <c r="Z248" s="6">
        <f t="shared" si="135"/>
        <v>4.5600000000000064E-2</v>
      </c>
    </row>
    <row r="249" spans="1:26" s="28" customFormat="1" outlineLevel="1" collapsed="1" x14ac:dyDescent="0.35">
      <c r="A249" s="27"/>
      <c r="B249" s="14" t="str">
        <f>CONCATENATE("     ","Utilities                                         ")</f>
        <v xml:space="preserve">     Utilities                                         </v>
      </c>
      <c r="C249" s="14"/>
      <c r="D249" s="1">
        <f>SUM(OSRRefD22_26x_0)</f>
        <v>10961.61</v>
      </c>
      <c r="E249" s="1"/>
      <c r="F249" s="5">
        <f t="shared" ref="F249:F250" si="136">IF(D$12=0,0,D249/D$12)</f>
        <v>7.4960192649488827E-3</v>
      </c>
      <c r="G249" s="1"/>
      <c r="H249" s="1">
        <f>SUM(OSRRefH22_26x_0)</f>
        <v>10453</v>
      </c>
      <c r="I249" s="1"/>
      <c r="J249" s="5">
        <f t="shared" ref="J249:J250" si="137">IF(H$12=0,0,H249/H$12)</f>
        <v>4.1847637448050763E-3</v>
      </c>
      <c r="K249" s="1"/>
      <c r="L249" s="1">
        <f t="shared" ref="L249:L250" si="138">+D249-H249</f>
        <v>508.61000000000058</v>
      </c>
      <c r="M249" s="1"/>
      <c r="N249" s="5">
        <f t="shared" ref="N249:N250" si="139">IF(H249=0,0,L249/H249)</f>
        <v>4.8656844924902E-2</v>
      </c>
      <c r="O249" s="14"/>
      <c r="P249" s="1">
        <f>SUM(OSRRefP22_26x_0)</f>
        <v>52273.03</v>
      </c>
      <c r="Q249" s="1"/>
      <c r="R249" s="5">
        <f t="shared" ref="R249:R250" si="140">IF(P$12=0,0,P249/P$12)</f>
        <v>7.9138541626108706E-3</v>
      </c>
      <c r="S249" s="1"/>
      <c r="T249" s="1">
        <f>SUM(OSRRefT22_26x_0)</f>
        <v>72319</v>
      </c>
      <c r="U249" s="1"/>
      <c r="V249" s="5">
        <f t="shared" ref="V249:V250" si="141">IF(T$12=0,0,T249/T$12)</f>
        <v>6.5074174967367981E-3</v>
      </c>
      <c r="W249" s="1"/>
      <c r="X249" s="1">
        <f t="shared" ref="X249:X250" si="142">+P249-T249</f>
        <v>-20045.97</v>
      </c>
      <c r="Y249" s="1"/>
      <c r="Z249" s="5">
        <f t="shared" ref="Z249:Z250" si="143">IF(T249=0,0,X249/T249)</f>
        <v>-0.27718815249104661</v>
      </c>
    </row>
    <row r="250" spans="1:26" s="24" customFormat="1" hidden="1" outlineLevel="2" x14ac:dyDescent="0.35">
      <c r="A250" s="29"/>
      <c r="B250" s="11" t="str">
        <f>CONCATENATE("          ", "6274", " - ", "UTILITIES")</f>
        <v xml:space="preserve">          6274 - UTILITIES</v>
      </c>
      <c r="C250" s="11"/>
      <c r="D250" s="7">
        <v>10961.61</v>
      </c>
      <c r="E250" s="2"/>
      <c r="F250" s="6">
        <f t="shared" si="136"/>
        <v>7.4960192649488827E-3</v>
      </c>
      <c r="G250" s="2"/>
      <c r="H250" s="7">
        <v>10453</v>
      </c>
      <c r="I250" s="2"/>
      <c r="J250" s="6">
        <f t="shared" si="137"/>
        <v>4.1847637448050763E-3</v>
      </c>
      <c r="K250" s="2"/>
      <c r="L250" s="7">
        <f t="shared" si="138"/>
        <v>508.61000000000058</v>
      </c>
      <c r="M250" s="2"/>
      <c r="N250" s="6">
        <f t="shared" si="139"/>
        <v>4.8656844924902E-2</v>
      </c>
      <c r="O250" s="11"/>
      <c r="P250" s="7">
        <v>52273.03</v>
      </c>
      <c r="Q250" s="2"/>
      <c r="R250" s="6">
        <f t="shared" si="140"/>
        <v>7.9138541626108706E-3</v>
      </c>
      <c r="S250" s="2"/>
      <c r="T250" s="7">
        <v>72319</v>
      </c>
      <c r="U250" s="2"/>
      <c r="V250" s="6">
        <f t="shared" si="141"/>
        <v>6.5074174967367981E-3</v>
      </c>
      <c r="W250" s="2"/>
      <c r="X250" s="7">
        <f t="shared" si="142"/>
        <v>-20045.97</v>
      </c>
      <c r="Y250" s="2"/>
      <c r="Z250" s="6">
        <f t="shared" si="143"/>
        <v>-0.27718815249104661</v>
      </c>
    </row>
    <row r="251" spans="1:26" s="55" customFormat="1" x14ac:dyDescent="0.35">
      <c r="A251" s="36"/>
      <c r="B251" s="36"/>
      <c r="C251" s="36"/>
      <c r="D251" s="1"/>
      <c r="E251" s="1"/>
      <c r="F251" s="5"/>
      <c r="G251" s="1"/>
      <c r="H251" s="1"/>
      <c r="I251" s="1"/>
      <c r="J251" s="5"/>
      <c r="K251" s="1"/>
      <c r="L251" s="1"/>
      <c r="M251" s="1"/>
      <c r="N251" s="5"/>
      <c r="O251" s="36"/>
      <c r="P251" s="1"/>
      <c r="Q251" s="1"/>
      <c r="R251" s="5"/>
      <c r="S251" s="1"/>
      <c r="T251" s="1"/>
      <c r="U251" s="1"/>
      <c r="V251" s="5"/>
      <c r="W251" s="1"/>
      <c r="X251" s="1"/>
      <c r="Y251" s="1"/>
      <c r="Z251" s="5"/>
    </row>
    <row r="252" spans="1:26" s="23" customFormat="1" collapsed="1" x14ac:dyDescent="0.35">
      <c r="A252" s="10"/>
      <c r="B252" s="25" t="s">
        <v>0</v>
      </c>
      <c r="C252" s="10"/>
      <c r="D252" s="4">
        <f>SUM(OSRRefD25x_0)</f>
        <v>33489.15</v>
      </c>
      <c r="E252" s="4"/>
      <c r="F252" s="12">
        <f t="shared" ref="F252:F259" si="144">IF(D$12=0,0,D252/D$12)</f>
        <v>2.2901317741350301E-2</v>
      </c>
      <c r="G252" s="4"/>
      <c r="H252" s="4">
        <f>SUM(OSRRefH25x_0)</f>
        <v>51087</v>
      </c>
      <c r="I252" s="4"/>
      <c r="J252" s="12">
        <f t="shared" ref="J252:J259" si="145">IF(H$12=0,0,H252/H$12)</f>
        <v>2.0452217108089248E-2</v>
      </c>
      <c r="K252" s="4"/>
      <c r="L252" s="4">
        <f t="shared" ref="L252:L259" si="146">+D252-H252</f>
        <v>-17597.849999999999</v>
      </c>
      <c r="M252" s="4"/>
      <c r="N252" s="12">
        <f t="shared" ref="N252:N259" si="147">IF(H252=0,0,L252/H252)</f>
        <v>-0.3444682600270127</v>
      </c>
      <c r="O252" s="10"/>
      <c r="P252" s="4">
        <f>SUM(OSRRefP25x_0)</f>
        <v>594853.19000000006</v>
      </c>
      <c r="Q252" s="4"/>
      <c r="R252" s="12">
        <f t="shared" ref="R252:R259" si="148">IF(P$12=0,0,P252/P$12)</f>
        <v>9.0057557287646334E-2</v>
      </c>
      <c r="S252" s="4"/>
      <c r="T252" s="4">
        <f>SUM(OSRRefT25x_0)</f>
        <v>580503</v>
      </c>
      <c r="U252" s="4"/>
      <c r="V252" s="12">
        <f t="shared" ref="V252:V259" si="149">IF(T$12=0,0,T252/T$12)</f>
        <v>5.2234895105134217E-2</v>
      </c>
      <c r="W252" s="4"/>
      <c r="X252" s="4">
        <f t="shared" ref="X252:X259" si="150">+P252-T252</f>
        <v>14350.190000000061</v>
      </c>
      <c r="Y252" s="4"/>
      <c r="Z252" s="12">
        <f t="shared" ref="Z252:Z259" si="151">IF(T252=0,0,X252/T252)</f>
        <v>2.4720268456838397E-2</v>
      </c>
    </row>
    <row r="253" spans="1:26" s="24" customFormat="1" hidden="1" outlineLevel="1" x14ac:dyDescent="0.35">
      <c r="A253" s="51"/>
      <c r="B253" s="11" t="str">
        <f>CONCATENATE("          ", "4187", " - ", "NON-TAXABLE SALES-COMPUTER REP")</f>
        <v xml:space="preserve">          4187 - NON-TAXABLE SALES-COMPUTER REP</v>
      </c>
      <c r="C253" s="11"/>
      <c r="D253" s="2">
        <f>--651.37</f>
        <v>651.37</v>
      </c>
      <c r="E253" s="2"/>
      <c r="F253" s="22">
        <f t="shared" si="144"/>
        <v>4.4543475535160925E-4</v>
      </c>
      <c r="G253" s="2"/>
      <c r="H253" s="2"/>
      <c r="I253" s="2"/>
      <c r="J253" s="22">
        <f t="shared" si="145"/>
        <v>0</v>
      </c>
      <c r="K253" s="2"/>
      <c r="L253" s="2">
        <f t="shared" si="146"/>
        <v>651.37</v>
      </c>
      <c r="M253" s="2"/>
      <c r="N253" s="22">
        <f t="shared" si="147"/>
        <v>0</v>
      </c>
      <c r="O253" s="11"/>
      <c r="P253" s="2">
        <f>--1685.87</f>
        <v>1685.87</v>
      </c>
      <c r="Q253" s="2"/>
      <c r="R253" s="22">
        <f t="shared" si="148"/>
        <v>2.5523160446449703E-4</v>
      </c>
      <c r="S253" s="2"/>
      <c r="T253" s="2"/>
      <c r="U253" s="2"/>
      <c r="V253" s="22">
        <f t="shared" si="149"/>
        <v>0</v>
      </c>
      <c r="W253" s="2"/>
      <c r="X253" s="2">
        <f t="shared" si="150"/>
        <v>1685.87</v>
      </c>
      <c r="Y253" s="2"/>
      <c r="Z253" s="22">
        <f t="shared" si="151"/>
        <v>0</v>
      </c>
    </row>
    <row r="254" spans="1:26" s="24" customFormat="1" hidden="1" outlineLevel="1" x14ac:dyDescent="0.35">
      <c r="A254" s="51"/>
      <c r="B254" s="11" t="str">
        <f>CONCATENATE("          ", "9150", " - ", "MISC. INCOME")</f>
        <v xml:space="preserve">          9150 - MISC. INCOME</v>
      </c>
      <c r="C254" s="11"/>
      <c r="D254" s="2">
        <f>--29742.58</f>
        <v>29742.58</v>
      </c>
      <c r="E254" s="2"/>
      <c r="F254" s="22">
        <f t="shared" si="144"/>
        <v>2.0339252415410083E-2</v>
      </c>
      <c r="G254" s="2"/>
      <c r="H254" s="2">
        <v>31232</v>
      </c>
      <c r="I254" s="2"/>
      <c r="J254" s="22">
        <f t="shared" si="145"/>
        <v>1.2503447936262522E-2</v>
      </c>
      <c r="K254" s="2"/>
      <c r="L254" s="2">
        <f t="shared" si="146"/>
        <v>-1489.4199999999983</v>
      </c>
      <c r="M254" s="2"/>
      <c r="N254" s="22">
        <f t="shared" si="147"/>
        <v>-4.7688908811475354E-2</v>
      </c>
      <c r="O254" s="11"/>
      <c r="P254" s="2">
        <f>--250651.54</f>
        <v>250651.54</v>
      </c>
      <c r="Q254" s="2"/>
      <c r="R254" s="22">
        <f t="shared" si="148"/>
        <v>3.7947288175065139E-2</v>
      </c>
      <c r="S254" s="2"/>
      <c r="T254" s="2">
        <v>187666</v>
      </c>
      <c r="U254" s="2"/>
      <c r="V254" s="22">
        <f t="shared" si="149"/>
        <v>1.6886585986291402E-2</v>
      </c>
      <c r="W254" s="2"/>
      <c r="X254" s="2">
        <f t="shared" si="150"/>
        <v>62985.540000000008</v>
      </c>
      <c r="Y254" s="2"/>
      <c r="Z254" s="22">
        <f t="shared" si="151"/>
        <v>0.33562573934543288</v>
      </c>
    </row>
    <row r="255" spans="1:26" s="24" customFormat="1" hidden="1" outlineLevel="1" x14ac:dyDescent="0.35">
      <c r="A255" s="51"/>
      <c r="B255" s="11" t="str">
        <f>CONCATENATE("          ", "9151", " - ", "MISC. INCOME")</f>
        <v xml:space="preserve">          9151 - MISC. INCOME</v>
      </c>
      <c r="C255" s="11"/>
      <c r="D255" s="2">
        <f>--1972</f>
        <v>1972</v>
      </c>
      <c r="E255" s="2"/>
      <c r="F255" s="22">
        <f t="shared" si="144"/>
        <v>1.3485382156890452E-3</v>
      </c>
      <c r="G255" s="2"/>
      <c r="H255" s="2">
        <v>17832</v>
      </c>
      <c r="I255" s="2"/>
      <c r="J255" s="22">
        <f t="shared" si="145"/>
        <v>7.1388794697564446E-3</v>
      </c>
      <c r="K255" s="2"/>
      <c r="L255" s="2">
        <f t="shared" si="146"/>
        <v>-15860</v>
      </c>
      <c r="M255" s="2"/>
      <c r="N255" s="22">
        <f t="shared" si="147"/>
        <v>-0.88941229250785103</v>
      </c>
      <c r="O255" s="11"/>
      <c r="P255" s="2">
        <f>--149257.39</f>
        <v>149257.39000000001</v>
      </c>
      <c r="Q255" s="2"/>
      <c r="R255" s="22">
        <f t="shared" si="148"/>
        <v>2.2596761985137159E-2</v>
      </c>
      <c r="S255" s="2"/>
      <c r="T255" s="2">
        <v>385891</v>
      </c>
      <c r="U255" s="2"/>
      <c r="V255" s="22">
        <f t="shared" si="149"/>
        <v>3.4723293259492798E-2</v>
      </c>
      <c r="W255" s="2"/>
      <c r="X255" s="2">
        <f t="shared" si="150"/>
        <v>-236633.61</v>
      </c>
      <c r="Y255" s="2"/>
      <c r="Z255" s="22">
        <f t="shared" si="151"/>
        <v>-0.61321360176837492</v>
      </c>
    </row>
    <row r="256" spans="1:26" s="24" customFormat="1" hidden="1" outlineLevel="1" x14ac:dyDescent="0.35">
      <c r="A256" s="51"/>
      <c r="B256" s="11" t="str">
        <f>CONCATENATE("          ", "9152", " - ", "MISC. INCOME")</f>
        <v xml:space="preserve">          9152 - MISC. INCOME</v>
      </c>
      <c r="C256" s="11"/>
      <c r="D256" s="2">
        <f>--146.33</f>
        <v>146.33000000000001</v>
      </c>
      <c r="E256" s="2"/>
      <c r="F256" s="22">
        <f t="shared" si="144"/>
        <v>1.0006673281023226E-4</v>
      </c>
      <c r="G256" s="2"/>
      <c r="H256" s="2"/>
      <c r="I256" s="2"/>
      <c r="J256" s="22">
        <f t="shared" si="145"/>
        <v>0</v>
      </c>
      <c r="K256" s="2"/>
      <c r="L256" s="2">
        <f t="shared" si="146"/>
        <v>146.33000000000001</v>
      </c>
      <c r="M256" s="2"/>
      <c r="N256" s="22">
        <f t="shared" si="147"/>
        <v>0</v>
      </c>
      <c r="O256" s="11"/>
      <c r="P256" s="2">
        <f>--3232.26</f>
        <v>3232.26</v>
      </c>
      <c r="Q256" s="2"/>
      <c r="R256" s="22">
        <f t="shared" si="148"/>
        <v>4.8934669093489728E-4</v>
      </c>
      <c r="S256" s="2"/>
      <c r="T256" s="2"/>
      <c r="U256" s="2"/>
      <c r="V256" s="22">
        <f t="shared" si="149"/>
        <v>0</v>
      </c>
      <c r="W256" s="2"/>
      <c r="X256" s="2">
        <f t="shared" si="150"/>
        <v>3232.26</v>
      </c>
      <c r="Y256" s="2"/>
      <c r="Z256" s="22">
        <f t="shared" si="151"/>
        <v>0</v>
      </c>
    </row>
    <row r="257" spans="1:26" s="24" customFormat="1" hidden="1" outlineLevel="1" x14ac:dyDescent="0.35">
      <c r="A257" s="51"/>
      <c r="B257" s="11" t="str">
        <f>CONCATENATE("          ", "9160", " - ", "MISC. INCOME")</f>
        <v xml:space="preserve">          9160 - MISC. INCOME</v>
      </c>
      <c r="C257" s="11"/>
      <c r="D257" s="2">
        <f>--189.92</f>
        <v>189.92</v>
      </c>
      <c r="E257" s="2"/>
      <c r="F257" s="22">
        <f t="shared" si="144"/>
        <v>1.2987544519455551E-4</v>
      </c>
      <c r="G257" s="2"/>
      <c r="H257" s="2">
        <v>2023</v>
      </c>
      <c r="I257" s="2"/>
      <c r="J257" s="22">
        <f t="shared" si="145"/>
        <v>8.0988970207028304E-4</v>
      </c>
      <c r="K257" s="2"/>
      <c r="L257" s="2">
        <f t="shared" si="146"/>
        <v>-1833.08</v>
      </c>
      <c r="M257" s="2"/>
      <c r="N257" s="22">
        <f t="shared" si="147"/>
        <v>-0.90611962432031634</v>
      </c>
      <c r="O257" s="11"/>
      <c r="P257" s="2">
        <f>--12518.17</f>
        <v>12518.17</v>
      </c>
      <c r="Q257" s="2"/>
      <c r="R257" s="22">
        <f t="shared" si="148"/>
        <v>1.8951832668351255E-3</v>
      </c>
      <c r="S257" s="2"/>
      <c r="T257" s="2">
        <v>6946</v>
      </c>
      <c r="U257" s="2"/>
      <c r="V257" s="22">
        <f t="shared" si="149"/>
        <v>6.2501585935001588E-4</v>
      </c>
      <c r="W257" s="2"/>
      <c r="X257" s="2">
        <f t="shared" si="150"/>
        <v>5572.17</v>
      </c>
      <c r="Y257" s="2"/>
      <c r="Z257" s="22">
        <f t="shared" si="151"/>
        <v>0.80221278433630872</v>
      </c>
    </row>
    <row r="258" spans="1:26" s="24" customFormat="1" hidden="1" outlineLevel="1" x14ac:dyDescent="0.35">
      <c r="A258" s="51"/>
      <c r="B258" s="11" t="str">
        <f>CONCATENATE("          ", "9163", " - ", "MISC. INCOME")</f>
        <v xml:space="preserve">          9163 - MISC. INCOME</v>
      </c>
      <c r="C258" s="11"/>
      <c r="D258" s="2">
        <f>0</f>
        <v>0</v>
      </c>
      <c r="E258" s="2"/>
      <c r="F258" s="22">
        <f t="shared" si="144"/>
        <v>0</v>
      </c>
      <c r="G258" s="2"/>
      <c r="H258" s="2"/>
      <c r="I258" s="2"/>
      <c r="J258" s="22">
        <f t="shared" si="145"/>
        <v>0</v>
      </c>
      <c r="K258" s="2"/>
      <c r="L258" s="2">
        <f t="shared" si="146"/>
        <v>0</v>
      </c>
      <c r="M258" s="2"/>
      <c r="N258" s="22">
        <f t="shared" si="147"/>
        <v>0</v>
      </c>
      <c r="O258" s="11"/>
      <c r="P258" s="2">
        <f>--175405.84</f>
        <v>175405.84</v>
      </c>
      <c r="Q258" s="2"/>
      <c r="R258" s="22">
        <f t="shared" si="148"/>
        <v>2.6555495960923946E-2</v>
      </c>
      <c r="S258" s="2"/>
      <c r="T258" s="2"/>
      <c r="U258" s="2"/>
      <c r="V258" s="22">
        <f t="shared" si="149"/>
        <v>0</v>
      </c>
      <c r="W258" s="2"/>
      <c r="X258" s="2">
        <f t="shared" si="150"/>
        <v>175405.84</v>
      </c>
      <c r="Y258" s="2"/>
      <c r="Z258" s="22">
        <f t="shared" si="151"/>
        <v>0</v>
      </c>
    </row>
    <row r="259" spans="1:26" s="24" customFormat="1" hidden="1" outlineLevel="1" x14ac:dyDescent="0.35">
      <c r="A259" s="51"/>
      <c r="B259" s="11" t="str">
        <f>CONCATENATE("          ", "9165", " - ", "OTHER INCOME")</f>
        <v xml:space="preserve">          9165 - OTHER INCOME</v>
      </c>
      <c r="C259" s="11"/>
      <c r="D259" s="2">
        <f>--786.95</f>
        <v>786.95</v>
      </c>
      <c r="E259" s="2"/>
      <c r="F259" s="22">
        <f t="shared" si="144"/>
        <v>5.3815017689477394E-4</v>
      </c>
      <c r="G259" s="2"/>
      <c r="H259" s="2"/>
      <c r="I259" s="2"/>
      <c r="J259" s="22">
        <f t="shared" si="145"/>
        <v>0</v>
      </c>
      <c r="K259" s="2"/>
      <c r="L259" s="2">
        <f t="shared" si="146"/>
        <v>786.95</v>
      </c>
      <c r="M259" s="2"/>
      <c r="N259" s="22">
        <f t="shared" si="147"/>
        <v>0</v>
      </c>
      <c r="O259" s="11"/>
      <c r="P259" s="2">
        <f>--2102.12</f>
        <v>2102.12</v>
      </c>
      <c r="Q259" s="2"/>
      <c r="R259" s="22">
        <f t="shared" si="148"/>
        <v>3.1824960428556678E-4</v>
      </c>
      <c r="S259" s="2"/>
      <c r="T259" s="2"/>
      <c r="U259" s="2"/>
      <c r="V259" s="22">
        <f t="shared" si="149"/>
        <v>0</v>
      </c>
      <c r="W259" s="2"/>
      <c r="X259" s="2">
        <f t="shared" si="150"/>
        <v>2102.12</v>
      </c>
      <c r="Y259" s="2"/>
      <c r="Z259" s="22">
        <f t="shared" si="151"/>
        <v>0</v>
      </c>
    </row>
    <row r="260" spans="1:26" x14ac:dyDescent="0.35">
      <c r="A260" s="9"/>
      <c r="B260" s="10"/>
      <c r="C260" s="10"/>
      <c r="D260" s="3"/>
      <c r="E260" s="3"/>
      <c r="F260" s="8"/>
      <c r="G260" s="3"/>
      <c r="H260" s="3"/>
      <c r="I260" s="3"/>
      <c r="J260" s="8"/>
      <c r="K260" s="3"/>
      <c r="L260" s="3"/>
      <c r="M260" s="3"/>
      <c r="N260" s="8"/>
      <c r="O260" s="10"/>
      <c r="P260" s="3"/>
      <c r="Q260" s="3"/>
      <c r="R260" s="8"/>
      <c r="S260" s="3"/>
      <c r="T260" s="3"/>
      <c r="U260" s="3"/>
      <c r="V260" s="8"/>
      <c r="W260" s="3"/>
      <c r="X260" s="3"/>
      <c r="Y260" s="3"/>
      <c r="Z260" s="8"/>
    </row>
    <row r="261" spans="1:26" s="23" customFormat="1" x14ac:dyDescent="0.35">
      <c r="A261" s="10"/>
      <c r="B261" s="26" t="s">
        <v>3</v>
      </c>
      <c r="C261" s="26"/>
      <c r="D261" s="19">
        <f>+D144-D146+D252</f>
        <v>-65811.589999999764</v>
      </c>
      <c r="E261" s="13"/>
      <c r="F261" s="21">
        <f>IF(D$12=0,0,D261/D$12)</f>
        <v>-4.5004789122849241E-2</v>
      </c>
      <c r="G261" s="13"/>
      <c r="H261" s="19">
        <f>+H144-H146+H252</f>
        <v>-31811.691951921675</v>
      </c>
      <c r="I261" s="13"/>
      <c r="J261" s="21">
        <f>IF(H$12=0,0,H261/H$12)</f>
        <v>-1.2735522351603296E-2</v>
      </c>
      <c r="K261" s="16"/>
      <c r="L261" s="19">
        <f>+D261-H261</f>
        <v>-33999.898048078088</v>
      </c>
      <c r="M261" s="16"/>
      <c r="N261" s="21">
        <f>IF(H261=0,0,L261/H261)</f>
        <v>1.0687862217282733</v>
      </c>
      <c r="O261" s="25"/>
      <c r="P261" s="19">
        <f>+P144-P146+P252</f>
        <v>-1814624.9700000025</v>
      </c>
      <c r="Q261" s="13"/>
      <c r="R261" s="21">
        <f>IF(P$12=0,0,P261/P$12)</f>
        <v>-0.27472441089433969</v>
      </c>
      <c r="S261" s="13"/>
      <c r="T261" s="19">
        <f>+T144-T146+T252</f>
        <v>-1157765.7490214529</v>
      </c>
      <c r="U261" s="13"/>
      <c r="V261" s="21">
        <f>IF(T$12=0,0,T261/T$12)</f>
        <v>-0.10417822553277543</v>
      </c>
      <c r="W261" s="16"/>
      <c r="X261" s="19">
        <f>+P261-T261</f>
        <v>-656859.22097854968</v>
      </c>
      <c r="Y261" s="16"/>
      <c r="Z261" s="21">
        <f>IF(T261=0,0,X261/T261)</f>
        <v>0.56735071108618396</v>
      </c>
    </row>
    <row r="262" spans="1:26" x14ac:dyDescent="0.35">
      <c r="A262" s="9"/>
      <c r="B262" s="10"/>
      <c r="C262" s="9"/>
      <c r="D262" s="3"/>
      <c r="E262" s="3"/>
      <c r="F262" s="8"/>
      <c r="G262" s="3"/>
      <c r="H262" s="3"/>
      <c r="I262" s="3"/>
      <c r="J262" s="8"/>
      <c r="K262" s="3"/>
      <c r="L262" s="3"/>
      <c r="M262" s="3"/>
      <c r="N262" s="8"/>
      <c r="P262" s="3"/>
      <c r="Q262" s="3"/>
      <c r="R262" s="8"/>
      <c r="S262" s="3"/>
      <c r="T262" s="3"/>
      <c r="U262" s="3"/>
      <c r="V262" s="8"/>
      <c r="W262" s="3"/>
      <c r="X262" s="3"/>
      <c r="Y262" s="3"/>
      <c r="Z262" s="8"/>
    </row>
    <row r="263" spans="1:26" s="23" customFormat="1" x14ac:dyDescent="0.35">
      <c r="A263" s="52"/>
      <c r="B263" s="10" t="s">
        <v>14</v>
      </c>
      <c r="C263" s="10"/>
      <c r="D263" s="4">
        <v>247477.44999999998</v>
      </c>
      <c r="E263" s="4"/>
      <c r="F263" s="12">
        <f>IF(D$12=0,0,D263/D$12)</f>
        <v>0.16923569921210693</v>
      </c>
      <c r="G263" s="4"/>
      <c r="H263" s="4">
        <v>294902</v>
      </c>
      <c r="I263" s="4"/>
      <c r="J263" s="12">
        <f>IF(H$12=0,0,H263/H$12)</f>
        <v>0.11806134103802798</v>
      </c>
      <c r="K263" s="4"/>
      <c r="L263" s="4">
        <f>+D263-H263</f>
        <v>-47424.550000000017</v>
      </c>
      <c r="M263" s="4"/>
      <c r="N263" s="12">
        <f>IF(H263=0,0,L263/H263)</f>
        <v>-0.16081460959912111</v>
      </c>
      <c r="O263" s="10"/>
      <c r="P263" s="4">
        <v>1199028.6600000001</v>
      </c>
      <c r="Q263" s="4"/>
      <c r="R263" s="12">
        <f>IF(P$12=0,0,P263/P$12)</f>
        <v>0.18152645737258269</v>
      </c>
      <c r="S263" s="4"/>
      <c r="T263" s="4">
        <v>1934119.0000000002</v>
      </c>
      <c r="U263" s="4"/>
      <c r="V263" s="12">
        <f>IF(T$12=0,0,T263/T$12)</f>
        <v>0.17403614294128902</v>
      </c>
      <c r="W263" s="4"/>
      <c r="X263" s="4">
        <f>+P263-T263</f>
        <v>-735090.34000000008</v>
      </c>
      <c r="Y263" s="4"/>
      <c r="Z263" s="12">
        <f>IF(T263=0,0,X263/T263)</f>
        <v>-0.38006469095231471</v>
      </c>
    </row>
    <row r="264" spans="1:26" x14ac:dyDescent="0.35">
      <c r="A264" s="9"/>
      <c r="B264" s="10"/>
      <c r="C264" s="10"/>
      <c r="D264" s="3"/>
      <c r="E264" s="3"/>
      <c r="F264" s="8"/>
      <c r="G264" s="3"/>
      <c r="H264" s="3"/>
      <c r="I264" s="3"/>
      <c r="J264" s="8"/>
      <c r="K264" s="3"/>
      <c r="L264" s="3"/>
      <c r="M264" s="3"/>
      <c r="N264" s="8"/>
      <c r="O264" s="10"/>
      <c r="P264" s="3"/>
      <c r="Q264" s="3"/>
      <c r="R264" s="8"/>
      <c r="S264" s="3"/>
      <c r="T264" s="3"/>
      <c r="U264" s="3"/>
      <c r="V264" s="8"/>
      <c r="W264" s="3"/>
      <c r="X264" s="3"/>
      <c r="Y264" s="3"/>
      <c r="Z264" s="8"/>
    </row>
    <row r="265" spans="1:26" s="23" customFormat="1" ht="15" thickBot="1" x14ac:dyDescent="0.4">
      <c r="A265" s="10"/>
      <c r="B265" s="26" t="s">
        <v>4</v>
      </c>
      <c r="C265" s="26"/>
      <c r="D265" s="33">
        <f>+D261-D263</f>
        <v>-313289.03999999975</v>
      </c>
      <c r="E265" s="13"/>
      <c r="F265" s="31">
        <f>IF(D$12=0,0,D265/D$12)</f>
        <v>-0.21424048833495618</v>
      </c>
      <c r="G265" s="13"/>
      <c r="H265" s="33">
        <f>+H261-H263</f>
        <v>-326713.69195192168</v>
      </c>
      <c r="I265" s="13"/>
      <c r="J265" s="31">
        <f>IF(H$12=0,0,H265/H$12)</f>
        <v>-0.13079686338963128</v>
      </c>
      <c r="K265" s="16"/>
      <c r="L265" s="33">
        <f>D265-H265</f>
        <v>13424.651951921929</v>
      </c>
      <c r="M265" s="16"/>
      <c r="N265" s="31">
        <f>IF(H265=0,0,L265/H265)</f>
        <v>-4.1089958219129259E-2</v>
      </c>
      <c r="O265" s="25"/>
      <c r="P265" s="33">
        <f>+P261-P263</f>
        <v>-3013653.6300000027</v>
      </c>
      <c r="Q265" s="13"/>
      <c r="R265" s="31">
        <f>IF(P$12=0,0,P265/P$12)</f>
        <v>-0.4562508682669224</v>
      </c>
      <c r="S265" s="13"/>
      <c r="T265" s="33">
        <f>+T261-T263</f>
        <v>-3091884.7490214529</v>
      </c>
      <c r="U265" s="13"/>
      <c r="V265" s="31">
        <f>IF(T$12=0,0,T265/T$12)</f>
        <v>-0.27821436847406444</v>
      </c>
      <c r="W265" s="16"/>
      <c r="X265" s="33">
        <f>P265-T265</f>
        <v>78231.119021450169</v>
      </c>
      <c r="Y265" s="16"/>
      <c r="Z265" s="31">
        <f>IF(T265=0,0,X265/T265)</f>
        <v>-2.5302081213153062E-2</v>
      </c>
    </row>
    <row r="266" spans="1:26" ht="15" thickTop="1" x14ac:dyDescent="0.35">
      <c r="A266" s="9"/>
      <c r="B266" s="9"/>
      <c r="C266" s="9"/>
      <c r="D266" s="3"/>
      <c r="E266" s="3"/>
      <c r="F266" s="8"/>
      <c r="G266" s="3"/>
      <c r="H266" s="3"/>
      <c r="I266" s="3"/>
      <c r="J266" s="8"/>
      <c r="K266" s="3"/>
      <c r="L266" s="3"/>
      <c r="M266" s="3"/>
      <c r="N266" s="8"/>
      <c r="P266" s="3"/>
      <c r="Q266" s="3"/>
      <c r="R266" s="8"/>
      <c r="S266" s="3"/>
      <c r="T266" s="3"/>
      <c r="U266" s="3"/>
      <c r="V266" s="8"/>
      <c r="W266" s="3"/>
      <c r="X266" s="3"/>
      <c r="Y266" s="3"/>
      <c r="Z266" s="8"/>
    </row>
    <row r="267" spans="1:26" s="23" customFormat="1" x14ac:dyDescent="0.35">
      <c r="A267" s="52"/>
      <c r="B267" s="10" t="s">
        <v>2</v>
      </c>
      <c r="C267" s="10"/>
      <c r="D267" s="4">
        <f>-35869.32</f>
        <v>-35869.32</v>
      </c>
      <c r="E267" s="4"/>
      <c r="F267" s="12">
        <f t="shared" ref="F267:F268" si="152">IF(D$12=0,0,D267/D$12)</f>
        <v>-2.4528980117028087E-2</v>
      </c>
      <c r="G267" s="4"/>
      <c r="H267" s="4">
        <f t="shared" ref="H267:H268" si="153">--15000</f>
        <v>15000</v>
      </c>
      <c r="I267" s="4"/>
      <c r="J267" s="12">
        <f t="shared" ref="J267:J268" si="154">IF(H$12=0,0,H267/H$12)</f>
        <v>6.0051139550441153E-3</v>
      </c>
      <c r="K267" s="4"/>
      <c r="L267" s="4">
        <f t="shared" ref="L267:L268" si="155">+D267-H267</f>
        <v>-50869.32</v>
      </c>
      <c r="M267" s="4"/>
      <c r="N267" s="12">
        <f t="shared" ref="N267:N268" si="156">IF(H267=0,0,L267/H267)</f>
        <v>-3.3912879999999999</v>
      </c>
      <c r="O267" s="10"/>
      <c r="P267" s="4">
        <f>--1958183.98</f>
        <v>1958183.98</v>
      </c>
      <c r="Q267" s="4"/>
      <c r="R267" s="12">
        <f t="shared" ref="R267:R268" si="157">IF(P$12=0,0,P267/P$12)</f>
        <v>0.29645846895198003</v>
      </c>
      <c r="S267" s="4"/>
      <c r="T267" s="4">
        <f t="shared" ref="T267:T268" si="158">--105000</f>
        <v>105000</v>
      </c>
      <c r="U267" s="4"/>
      <c r="V267" s="12">
        <f t="shared" ref="V267:V268" si="159">IF(T$12=0,0,T267/T$12)</f>
        <v>9.4481234137275653E-3</v>
      </c>
      <c r="W267" s="4"/>
      <c r="X267" s="4">
        <f t="shared" ref="X267:X268" si="160">+P267-T267</f>
        <v>1853183.98</v>
      </c>
      <c r="Y267" s="4"/>
      <c r="Z267" s="12">
        <f t="shared" ref="Z267:Z268" si="161">IF(T267=0,0,X267/T267)</f>
        <v>17.649371238095238</v>
      </c>
    </row>
    <row r="268" spans="1:26" s="23" customFormat="1" x14ac:dyDescent="0.35">
      <c r="A268" s="52"/>
      <c r="B268" s="10" t="s">
        <v>1</v>
      </c>
      <c r="C268" s="10"/>
      <c r="D268" s="4">
        <f>--10065.17</f>
        <v>10065.17</v>
      </c>
      <c r="E268" s="4"/>
      <c r="F268" s="12">
        <f t="shared" si="152"/>
        <v>6.8829951279953897E-3</v>
      </c>
      <c r="G268" s="4"/>
      <c r="H268" s="4">
        <f t="shared" si="153"/>
        <v>15000</v>
      </c>
      <c r="I268" s="4"/>
      <c r="J268" s="12">
        <f t="shared" si="154"/>
        <v>6.0051139550441153E-3</v>
      </c>
      <c r="K268" s="4"/>
      <c r="L268" s="4">
        <f t="shared" si="155"/>
        <v>-4934.83</v>
      </c>
      <c r="M268" s="4"/>
      <c r="N268" s="12">
        <f t="shared" si="156"/>
        <v>-0.32898866666666665</v>
      </c>
      <c r="O268" s="10"/>
      <c r="P268" s="4">
        <f>--54576</f>
        <v>54576</v>
      </c>
      <c r="Q268" s="4"/>
      <c r="R268" s="12">
        <f t="shared" si="157"/>
        <v>8.2625113711344237E-3</v>
      </c>
      <c r="S268" s="4"/>
      <c r="T268" s="4">
        <f t="shared" si="158"/>
        <v>105000</v>
      </c>
      <c r="U268" s="4"/>
      <c r="V268" s="12">
        <f t="shared" si="159"/>
        <v>9.4481234137275653E-3</v>
      </c>
      <c r="W268" s="4"/>
      <c r="X268" s="4">
        <f t="shared" si="160"/>
        <v>-50424</v>
      </c>
      <c r="Y268" s="4"/>
      <c r="Z268" s="12">
        <f t="shared" si="161"/>
        <v>-0.48022857142857145</v>
      </c>
    </row>
    <row r="269" spans="1:26" x14ac:dyDescent="0.35">
      <c r="A269" s="9"/>
      <c r="B269" s="9"/>
      <c r="C269" s="9"/>
      <c r="D269" s="3"/>
      <c r="E269" s="3"/>
      <c r="F269" s="8"/>
      <c r="G269" s="3"/>
      <c r="H269" s="3"/>
      <c r="I269" s="3"/>
      <c r="J269" s="8"/>
      <c r="K269" s="3"/>
      <c r="L269" s="3"/>
      <c r="M269" s="3"/>
      <c r="N269" s="8"/>
      <c r="P269" s="3"/>
      <c r="Q269" s="3"/>
      <c r="R269" s="8"/>
      <c r="S269" s="3"/>
      <c r="T269" s="3"/>
      <c r="U269" s="3"/>
      <c r="V269" s="8"/>
      <c r="W269" s="3"/>
      <c r="X269" s="3"/>
      <c r="Y269" s="3"/>
      <c r="Z269" s="8"/>
    </row>
    <row r="270" spans="1:26" s="23" customFormat="1" ht="15" thickBot="1" x14ac:dyDescent="0.4">
      <c r="A270" s="10"/>
      <c r="B270" s="26" t="s">
        <v>5</v>
      </c>
      <c r="C270" s="26"/>
      <c r="D270" s="34">
        <f>SUM(D265:D269)</f>
        <v>-339093.18999999977</v>
      </c>
      <c r="E270" s="13"/>
      <c r="F270" s="32">
        <f>IF(D$12=0,0,D270/D$12)</f>
        <v>-0.2318864733239889</v>
      </c>
      <c r="G270" s="13"/>
      <c r="H270" s="34">
        <f>SUM(H265:H269)</f>
        <v>-296713.69195192168</v>
      </c>
      <c r="I270" s="13"/>
      <c r="J270" s="32">
        <f>IF(H$12=0,0,H270/H$12)</f>
        <v>-0.11878663547954305</v>
      </c>
      <c r="K270" s="16"/>
      <c r="L270" s="34">
        <f>+D270-H270</f>
        <v>-42379.498048078094</v>
      </c>
      <c r="M270" s="16"/>
      <c r="N270" s="32">
        <f>IF(H270=0,0,L270/H270)</f>
        <v>0.14282960037767689</v>
      </c>
      <c r="O270" s="25"/>
      <c r="P270" s="34">
        <f>SUM(P265:P269)</f>
        <v>-1000893.6500000027</v>
      </c>
      <c r="Q270" s="13"/>
      <c r="R270" s="32">
        <f>IF(P$12=0,0,P270/P$12)</f>
        <v>-0.15152988794380792</v>
      </c>
      <c r="S270" s="13"/>
      <c r="T270" s="34">
        <f>SUM(T265:T269)</f>
        <v>-2881884.7490214529</v>
      </c>
      <c r="U270" s="13"/>
      <c r="V270" s="32">
        <f>IF(T$12=0,0,T270/T$12)</f>
        <v>-0.25931812164660933</v>
      </c>
      <c r="W270" s="16"/>
      <c r="X270" s="34">
        <f>+P270-T270</f>
        <v>1880991.0990214502</v>
      </c>
      <c r="Y270" s="16"/>
      <c r="Z270" s="32">
        <f>IF(T270=0,0,X270/T270)</f>
        <v>-0.65269476847057906</v>
      </c>
    </row>
    <row r="271" spans="1:26" ht="15" thickTop="1" x14ac:dyDescent="0.35">
      <c r="A271" s="9"/>
      <c r="C271" s="9"/>
      <c r="D271" s="18"/>
      <c r="E271" s="18"/>
      <c r="G271" s="18"/>
      <c r="H271" s="18"/>
      <c r="I271" s="18"/>
      <c r="J271" s="43"/>
      <c r="K271" s="18"/>
      <c r="L271" s="18"/>
      <c r="M271" s="18"/>
      <c r="P271" s="18"/>
      <c r="Q271" s="18"/>
      <c r="R271" s="43"/>
      <c r="S271" s="18"/>
      <c r="T271" s="18"/>
      <c r="U271" s="18"/>
      <c r="V271" s="43"/>
      <c r="W271" s="18"/>
      <c r="X271" s="18"/>
    </row>
    <row r="272" spans="1:26" x14ac:dyDescent="0.35">
      <c r="A272" s="9"/>
      <c r="B272" s="60">
        <v>44238.489991006943</v>
      </c>
      <c r="D272" s="18"/>
      <c r="E272" s="18"/>
      <c r="G272" s="18"/>
      <c r="H272" s="18"/>
      <c r="I272" s="18"/>
      <c r="J272" s="43"/>
      <c r="K272" s="18"/>
      <c r="L272" s="18"/>
      <c r="M272" s="18"/>
      <c r="P272" s="18"/>
      <c r="Q272" s="18"/>
      <c r="R272" s="43"/>
      <c r="S272" s="18"/>
      <c r="T272" s="18"/>
      <c r="U272" s="18"/>
      <c r="V272" s="43"/>
      <c r="W272" s="18"/>
      <c r="X272" s="18"/>
    </row>
    <row r="273" spans="1:24" x14ac:dyDescent="0.35">
      <c r="A273" s="9"/>
      <c r="B273" s="59" t="s">
        <v>314</v>
      </c>
      <c r="D273" s="18"/>
      <c r="E273" s="18"/>
      <c r="G273" s="18"/>
      <c r="H273" s="18"/>
      <c r="I273" s="18"/>
      <c r="J273" s="43"/>
      <c r="K273" s="18"/>
      <c r="L273" s="18"/>
      <c r="M273" s="18"/>
      <c r="P273" s="18"/>
      <c r="Q273" s="18"/>
      <c r="R273" s="43"/>
      <c r="S273" s="18"/>
      <c r="T273" s="18"/>
      <c r="U273" s="18"/>
      <c r="V273" s="43"/>
      <c r="W273" s="18"/>
      <c r="X273" s="18"/>
    </row>
    <row r="274" spans="1:24" x14ac:dyDescent="0.35">
      <c r="A274" s="9"/>
      <c r="B274" s="58"/>
      <c r="D274" s="18"/>
      <c r="E274" s="18"/>
      <c r="G274" s="18"/>
      <c r="H274" s="18"/>
      <c r="I274" s="18"/>
      <c r="J274" s="43"/>
      <c r="K274" s="18"/>
      <c r="L274" s="18"/>
      <c r="M274" s="18"/>
      <c r="P274" s="18"/>
      <c r="Q274" s="18"/>
      <c r="R274" s="43"/>
      <c r="S274" s="18"/>
      <c r="T274" s="18"/>
      <c r="U274" s="18"/>
      <c r="V274" s="43"/>
      <c r="W274" s="18"/>
      <c r="X274" s="18"/>
    </row>
    <row r="275" spans="1:24" x14ac:dyDescent="0.35">
      <c r="D275" s="18"/>
      <c r="E275" s="18"/>
      <c r="G275" s="18"/>
      <c r="H275" s="18"/>
      <c r="I275" s="18"/>
      <c r="J275" s="43"/>
      <c r="K275" s="18"/>
      <c r="L275" s="18"/>
      <c r="M275" s="18"/>
      <c r="P275" s="18"/>
      <c r="Q275" s="18"/>
      <c r="R275" s="43"/>
      <c r="S275" s="18"/>
      <c r="T275" s="18"/>
      <c r="U275" s="18"/>
      <c r="V275" s="43"/>
      <c r="W275" s="18"/>
      <c r="X275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301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301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302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302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298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298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311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311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299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6" t="s">
        <v>6</v>
      </c>
      <c r="C16" s="26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6"/>
      <c r="L16" s="19">
        <f>+D16-H16</f>
        <v>0</v>
      </c>
      <c r="M16" s="16"/>
      <c r="N16" s="21">
        <f>IF(H16=0,0,L16/H16)</f>
        <v>0</v>
      </c>
      <c r="O16" s="25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6"/>
      <c r="X16" s="19">
        <f>+P16-T16</f>
        <v>0</v>
      </c>
      <c r="Y16" s="16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5" t="s">
        <v>9</v>
      </c>
      <c r="C18" s="10"/>
      <c r="D18" s="20">
        <f>SUM(0)</f>
        <v>0</v>
      </c>
      <c r="E18" s="20"/>
      <c r="F18" s="30">
        <f>IF(D$12=0,0,D18/D$12)</f>
        <v>0</v>
      </c>
      <c r="G18" s="20"/>
      <c r="H18" s="20">
        <f>SUM(0)</f>
        <v>0</v>
      </c>
      <c r="I18" s="20"/>
      <c r="J18" s="30">
        <f>IF(H$12=0,0,H18/H$12)</f>
        <v>0</v>
      </c>
      <c r="K18" s="4"/>
      <c r="L18" s="20">
        <f>+D18-H18</f>
        <v>0</v>
      </c>
      <c r="M18" s="4"/>
      <c r="N18" s="30">
        <f>IF(H18=0,0,L18/H18)</f>
        <v>0</v>
      </c>
      <c r="O18" s="10"/>
      <c r="P18" s="20">
        <f>SUM(0)</f>
        <v>0</v>
      </c>
      <c r="Q18" s="20"/>
      <c r="R18" s="30">
        <f>IF(P$12=0,0,P18/P$12)</f>
        <v>0</v>
      </c>
      <c r="S18" s="20"/>
      <c r="T18" s="20">
        <f>SUM(0)</f>
        <v>0</v>
      </c>
      <c r="U18" s="20"/>
      <c r="V18" s="30">
        <f>IF(T$12=0,0,T18/T$12)</f>
        <v>0</v>
      </c>
      <c r="W18" s="4"/>
      <c r="X18" s="20">
        <f>+P18-T18</f>
        <v>0</v>
      </c>
      <c r="Y18" s="4"/>
      <c r="Z18" s="30">
        <f>IF(T18=0,0,X18/T18)</f>
        <v>0</v>
      </c>
    </row>
    <row r="19" spans="1:26" s="55" customFormat="1" x14ac:dyDescent="0.3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3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5">
      <c r="A22" s="10"/>
      <c r="B22" s="26" t="s">
        <v>3</v>
      </c>
      <c r="C22" s="26"/>
      <c r="D22" s="19">
        <f>+D16-D18+D20</f>
        <v>0</v>
      </c>
      <c r="E22" s="13"/>
      <c r="F22" s="21">
        <f>IF(D$12=0,0,D22/D$12)</f>
        <v>0</v>
      </c>
      <c r="G22" s="13"/>
      <c r="H22" s="19">
        <f>+H16-H18+H20</f>
        <v>0</v>
      </c>
      <c r="I22" s="13"/>
      <c r="J22" s="21">
        <f>IF(H$12=0,0,H22/H$12)</f>
        <v>0</v>
      </c>
      <c r="K22" s="16"/>
      <c r="L22" s="19">
        <f>+D22-H22</f>
        <v>0</v>
      </c>
      <c r="M22" s="16"/>
      <c r="N22" s="21">
        <f>IF(H22=0,0,L22/H22)</f>
        <v>0</v>
      </c>
      <c r="O22" s="25"/>
      <c r="P22" s="19">
        <f>+P16-P18+P20</f>
        <v>0</v>
      </c>
      <c r="Q22" s="13"/>
      <c r="R22" s="21">
        <f>IF(P$12=0,0,P22/P$12)</f>
        <v>0</v>
      </c>
      <c r="S22" s="13"/>
      <c r="T22" s="19">
        <f>+T16-T18+T20</f>
        <v>0</v>
      </c>
      <c r="U22" s="13"/>
      <c r="V22" s="21">
        <f>IF(T$12=0,0,T22/T$12)</f>
        <v>0</v>
      </c>
      <c r="W22" s="16"/>
      <c r="X22" s="19">
        <f>+P22-T22</f>
        <v>0</v>
      </c>
      <c r="Y22" s="16"/>
      <c r="Z22" s="21">
        <f>IF(T22=0,0,X22/T22)</f>
        <v>0</v>
      </c>
    </row>
    <row r="23" spans="1:26" x14ac:dyDescent="0.3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" thickBot="1" x14ac:dyDescent="0.4">
      <c r="A26" s="10"/>
      <c r="B26" s="26" t="s">
        <v>4</v>
      </c>
      <c r="C26" s="26"/>
      <c r="D26" s="33">
        <f>+D22-D24</f>
        <v>0</v>
      </c>
      <c r="E26" s="13"/>
      <c r="F26" s="31">
        <f>IF(D$12=0,0,D26/D$12)</f>
        <v>0</v>
      </c>
      <c r="G26" s="13"/>
      <c r="H26" s="33">
        <f>+H22-H24</f>
        <v>0</v>
      </c>
      <c r="I26" s="13"/>
      <c r="J26" s="31">
        <f>IF(H$12=0,0,H26/H$12)</f>
        <v>0</v>
      </c>
      <c r="K26" s="16"/>
      <c r="L26" s="33">
        <f>D26-H26</f>
        <v>0</v>
      </c>
      <c r="M26" s="16"/>
      <c r="N26" s="31">
        <f>IF(H26=0,0,L26/H26)</f>
        <v>0</v>
      </c>
      <c r="O26" s="25"/>
      <c r="P26" s="33">
        <f>+P22-P24</f>
        <v>0</v>
      </c>
      <c r="Q26" s="13"/>
      <c r="R26" s="31">
        <f>IF(P$12=0,0,P26/P$12)</f>
        <v>0</v>
      </c>
      <c r="S26" s="13"/>
      <c r="T26" s="33">
        <f>+T22-T24</f>
        <v>0</v>
      </c>
      <c r="U26" s="13"/>
      <c r="V26" s="31">
        <f>IF(T$12=0,0,T26/T$12)</f>
        <v>0</v>
      </c>
      <c r="W26" s="16"/>
      <c r="X26" s="33">
        <f>P26-T26</f>
        <v>0</v>
      </c>
      <c r="Y26" s="16"/>
      <c r="Z26" s="31">
        <f>IF(T26=0,0,X26/T26)</f>
        <v>0</v>
      </c>
    </row>
    <row r="27" spans="1:26" ht="15" thickTop="1" x14ac:dyDescent="0.3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5">
      <c r="A28" s="52"/>
      <c r="B28" s="10" t="s">
        <v>2</v>
      </c>
      <c r="C28" s="10"/>
      <c r="D28" s="4">
        <f>-35869.32</f>
        <v>-35869.32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-50869.32</v>
      </c>
      <c r="M28" s="4"/>
      <c r="N28" s="12">
        <f t="shared" ref="N28:N29" si="4">IF(H28=0,0,L28/H28)</f>
        <v>-3.3912879999999999</v>
      </c>
      <c r="O28" s="10"/>
      <c r="P28" s="4">
        <f>--1958183.98</f>
        <v>1958183.98</v>
      </c>
      <c r="Q28" s="4"/>
      <c r="R28" s="12">
        <f t="shared" ref="R28:R29" si="5">IF(P$12=0,0,P28/P$12)</f>
        <v>0</v>
      </c>
      <c r="S28" s="4"/>
      <c r="T28" s="4">
        <f t="shared" ref="T28:T29" si="6">--105000</f>
        <v>105000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1853183.98</v>
      </c>
      <c r="Y28" s="4"/>
      <c r="Z28" s="12">
        <f t="shared" ref="Z28:Z29" si="9">IF(T28=0,0,X28/T28)</f>
        <v>17.649371238095238</v>
      </c>
    </row>
    <row r="29" spans="1:26" s="23" customFormat="1" x14ac:dyDescent="0.35">
      <c r="A29" s="52"/>
      <c r="B29" s="10" t="s">
        <v>1</v>
      </c>
      <c r="C29" s="10"/>
      <c r="D29" s="4">
        <f>--10065.17</f>
        <v>10065.17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-4934.83</v>
      </c>
      <c r="M29" s="4"/>
      <c r="N29" s="12">
        <f t="shared" si="4"/>
        <v>-0.32898866666666665</v>
      </c>
      <c r="O29" s="10"/>
      <c r="P29" s="4">
        <f>--54576</f>
        <v>54576</v>
      </c>
      <c r="Q29" s="4"/>
      <c r="R29" s="12">
        <f t="shared" si="5"/>
        <v>0</v>
      </c>
      <c r="S29" s="4"/>
      <c r="T29" s="4">
        <f t="shared" si="6"/>
        <v>105000</v>
      </c>
      <c r="U29" s="4"/>
      <c r="V29" s="12">
        <f t="shared" si="7"/>
        <v>0</v>
      </c>
      <c r="W29" s="4"/>
      <c r="X29" s="4">
        <f t="shared" si="8"/>
        <v>-50424</v>
      </c>
      <c r="Y29" s="4"/>
      <c r="Z29" s="12">
        <f t="shared" si="9"/>
        <v>-0.48022857142857145</v>
      </c>
    </row>
    <row r="30" spans="1:26" x14ac:dyDescent="0.3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5</v>
      </c>
      <c r="C31" s="26"/>
      <c r="D31" s="34">
        <f>SUM(D26:D30)</f>
        <v>-25804.15</v>
      </c>
      <c r="E31" s="13"/>
      <c r="F31" s="32">
        <f>IF(D$12=0,0,D31/D$12)</f>
        <v>0</v>
      </c>
      <c r="G31" s="13"/>
      <c r="H31" s="34">
        <f>SUM(H26:H30)</f>
        <v>30000</v>
      </c>
      <c r="I31" s="13"/>
      <c r="J31" s="32">
        <f>IF(H$12=0,0,H31/H$12)</f>
        <v>0</v>
      </c>
      <c r="K31" s="16"/>
      <c r="L31" s="34">
        <f>+D31-H31</f>
        <v>-55804.15</v>
      </c>
      <c r="M31" s="16"/>
      <c r="N31" s="32">
        <f>IF(H31=0,0,L31/H31)</f>
        <v>-1.8601383333333334</v>
      </c>
      <c r="O31" s="25"/>
      <c r="P31" s="34">
        <f>SUM(P26:P30)</f>
        <v>2012759.98</v>
      </c>
      <c r="Q31" s="13"/>
      <c r="R31" s="32">
        <f>IF(P$12=0,0,P31/P$12)</f>
        <v>0</v>
      </c>
      <c r="S31" s="13"/>
      <c r="T31" s="34">
        <f>SUM(T26:T30)</f>
        <v>210000</v>
      </c>
      <c r="U31" s="13"/>
      <c r="V31" s="32">
        <f>IF(T$12=0,0,T31/T$12)</f>
        <v>0</v>
      </c>
      <c r="W31" s="16"/>
      <c r="X31" s="34">
        <f>+P31-T31</f>
        <v>1802759.98</v>
      </c>
      <c r="Y31" s="16"/>
      <c r="Z31" s="32">
        <f>IF(T31=0,0,X31/T31)</f>
        <v>8.5845713333333329</v>
      </c>
    </row>
    <row r="32" spans="1:26" ht="15" thickTop="1" x14ac:dyDescent="0.3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35">
      <c r="A33" s="9"/>
      <c r="B33" s="60">
        <v>44238.490023645834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35">
      <c r="A34" s="9"/>
      <c r="B34" s="59" t="s">
        <v>314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35">
      <c r="A35" s="9"/>
      <c r="B35" s="58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3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","100", " - ", "Corporate")</f>
        <v>Department 100 - Corporate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6" t="s">
        <v>6</v>
      </c>
      <c r="C16" s="26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6"/>
      <c r="L16" s="19">
        <f>+D16-H16</f>
        <v>0</v>
      </c>
      <c r="M16" s="16"/>
      <c r="N16" s="21">
        <f>IF(H16=0,0,L16/H16)</f>
        <v>0</v>
      </c>
      <c r="O16" s="25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6"/>
      <c r="X16" s="19">
        <f>+P16-T16</f>
        <v>0</v>
      </c>
      <c r="Y16" s="16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5" t="s">
        <v>9</v>
      </c>
      <c r="C18" s="10"/>
      <c r="D18" s="20">
        <f>SUM(0)</f>
        <v>0</v>
      </c>
      <c r="E18" s="20"/>
      <c r="F18" s="30">
        <f>IF(D$12=0,0,D18/D$12)</f>
        <v>0</v>
      </c>
      <c r="G18" s="20"/>
      <c r="H18" s="20">
        <f>SUM(0)</f>
        <v>0</v>
      </c>
      <c r="I18" s="20"/>
      <c r="J18" s="30">
        <f>IF(H$12=0,0,H18/H$12)</f>
        <v>0</v>
      </c>
      <c r="K18" s="4"/>
      <c r="L18" s="20">
        <f>+D18-H18</f>
        <v>0</v>
      </c>
      <c r="M18" s="4"/>
      <c r="N18" s="30">
        <f>IF(H18=0,0,L18/H18)</f>
        <v>0</v>
      </c>
      <c r="O18" s="10"/>
      <c r="P18" s="20">
        <f>SUM(0)</f>
        <v>0</v>
      </c>
      <c r="Q18" s="20"/>
      <c r="R18" s="30">
        <f>IF(P$12=0,0,P18/P$12)</f>
        <v>0</v>
      </c>
      <c r="S18" s="20"/>
      <c r="T18" s="20">
        <f>SUM(0)</f>
        <v>0</v>
      </c>
      <c r="U18" s="20"/>
      <c r="V18" s="30">
        <f>IF(T$12=0,0,T18/T$12)</f>
        <v>0</v>
      </c>
      <c r="W18" s="4"/>
      <c r="X18" s="20">
        <f>+P18-T18</f>
        <v>0</v>
      </c>
      <c r="Y18" s="4"/>
      <c r="Z18" s="30">
        <f>IF(T18=0,0,X18/T18)</f>
        <v>0</v>
      </c>
    </row>
    <row r="19" spans="1:26" s="55" customFormat="1" x14ac:dyDescent="0.3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3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5">
      <c r="A22" s="10"/>
      <c r="B22" s="26" t="s">
        <v>3</v>
      </c>
      <c r="C22" s="26"/>
      <c r="D22" s="19">
        <f>+D16-D18+D20</f>
        <v>0</v>
      </c>
      <c r="E22" s="13"/>
      <c r="F22" s="21">
        <f>IF(D$12=0,0,D22/D$12)</f>
        <v>0</v>
      </c>
      <c r="G22" s="13"/>
      <c r="H22" s="19">
        <f>+H16-H18+H20</f>
        <v>0</v>
      </c>
      <c r="I22" s="13"/>
      <c r="J22" s="21">
        <f>IF(H$12=0,0,H22/H$12)</f>
        <v>0</v>
      </c>
      <c r="K22" s="16"/>
      <c r="L22" s="19">
        <f>+D22-H22</f>
        <v>0</v>
      </c>
      <c r="M22" s="16"/>
      <c r="N22" s="21">
        <f>IF(H22=0,0,L22/H22)</f>
        <v>0</v>
      </c>
      <c r="O22" s="25"/>
      <c r="P22" s="19">
        <f>+P16-P18+P20</f>
        <v>0</v>
      </c>
      <c r="Q22" s="13"/>
      <c r="R22" s="21">
        <f>IF(P$12=0,0,P22/P$12)</f>
        <v>0</v>
      </c>
      <c r="S22" s="13"/>
      <c r="T22" s="19">
        <f>+T16-T18+T20</f>
        <v>0</v>
      </c>
      <c r="U22" s="13"/>
      <c r="V22" s="21">
        <f>IF(T$12=0,0,T22/T$12)</f>
        <v>0</v>
      </c>
      <c r="W22" s="16"/>
      <c r="X22" s="19">
        <f>+P22-T22</f>
        <v>0</v>
      </c>
      <c r="Y22" s="16"/>
      <c r="Z22" s="21">
        <f>IF(T22=0,0,X22/T22)</f>
        <v>0</v>
      </c>
    </row>
    <row r="23" spans="1:26" x14ac:dyDescent="0.3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" thickBot="1" x14ac:dyDescent="0.4">
      <c r="A26" s="10"/>
      <c r="B26" s="26" t="s">
        <v>4</v>
      </c>
      <c r="C26" s="26"/>
      <c r="D26" s="33">
        <f>+D22-D24</f>
        <v>0</v>
      </c>
      <c r="E26" s="13"/>
      <c r="F26" s="31">
        <f>IF(D$12=0,0,D26/D$12)</f>
        <v>0</v>
      </c>
      <c r="G26" s="13"/>
      <c r="H26" s="33">
        <f>+H22-H24</f>
        <v>0</v>
      </c>
      <c r="I26" s="13"/>
      <c r="J26" s="31">
        <f>IF(H$12=0,0,H26/H$12)</f>
        <v>0</v>
      </c>
      <c r="K26" s="16"/>
      <c r="L26" s="33">
        <f>D26-H26</f>
        <v>0</v>
      </c>
      <c r="M26" s="16"/>
      <c r="N26" s="31">
        <f>IF(H26=0,0,L26/H26)</f>
        <v>0</v>
      </c>
      <c r="O26" s="25"/>
      <c r="P26" s="33">
        <f>+P22-P24</f>
        <v>0</v>
      </c>
      <c r="Q26" s="13"/>
      <c r="R26" s="31">
        <f>IF(P$12=0,0,P26/P$12)</f>
        <v>0</v>
      </c>
      <c r="S26" s="13"/>
      <c r="T26" s="33">
        <f>+T22-T24</f>
        <v>0</v>
      </c>
      <c r="U26" s="13"/>
      <c r="V26" s="31">
        <f>IF(T$12=0,0,T26/T$12)</f>
        <v>0</v>
      </c>
      <c r="W26" s="16"/>
      <c r="X26" s="33">
        <f>P26-T26</f>
        <v>0</v>
      </c>
      <c r="Y26" s="16"/>
      <c r="Z26" s="31">
        <f>IF(T26=0,0,X26/T26)</f>
        <v>0</v>
      </c>
    </row>
    <row r="27" spans="1:26" ht="15" thickTop="1" x14ac:dyDescent="0.3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5">
      <c r="A28" s="52"/>
      <c r="B28" s="10" t="s">
        <v>2</v>
      </c>
      <c r="C28" s="10"/>
      <c r="D28" s="4">
        <f>-35869.32</f>
        <v>-35869.32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-50869.32</v>
      </c>
      <c r="M28" s="4"/>
      <c r="N28" s="12">
        <f t="shared" ref="N28:N29" si="4">IF(H28=0,0,L28/H28)</f>
        <v>-3.3912879999999999</v>
      </c>
      <c r="O28" s="10"/>
      <c r="P28" s="4">
        <f>--1958183.98</f>
        <v>1958183.98</v>
      </c>
      <c r="Q28" s="4"/>
      <c r="R28" s="12">
        <f t="shared" ref="R28:R29" si="5">IF(P$12=0,0,P28/P$12)</f>
        <v>0</v>
      </c>
      <c r="S28" s="4"/>
      <c r="T28" s="4">
        <f t="shared" ref="T28:T29" si="6">--105000</f>
        <v>105000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1853183.98</v>
      </c>
      <c r="Y28" s="4"/>
      <c r="Z28" s="12">
        <f t="shared" ref="Z28:Z29" si="9">IF(T28=0,0,X28/T28)</f>
        <v>17.649371238095238</v>
      </c>
    </row>
    <row r="29" spans="1:26" s="23" customFormat="1" x14ac:dyDescent="0.35">
      <c r="A29" s="52"/>
      <c r="B29" s="10" t="s">
        <v>1</v>
      </c>
      <c r="C29" s="10"/>
      <c r="D29" s="4">
        <f>--10065.17</f>
        <v>10065.17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-4934.83</v>
      </c>
      <c r="M29" s="4"/>
      <c r="N29" s="12">
        <f t="shared" si="4"/>
        <v>-0.32898866666666665</v>
      </c>
      <c r="O29" s="10"/>
      <c r="P29" s="4">
        <f>--54576</f>
        <v>54576</v>
      </c>
      <c r="Q29" s="4"/>
      <c r="R29" s="12">
        <f t="shared" si="5"/>
        <v>0</v>
      </c>
      <c r="S29" s="4"/>
      <c r="T29" s="4">
        <f t="shared" si="6"/>
        <v>105000</v>
      </c>
      <c r="U29" s="4"/>
      <c r="V29" s="12">
        <f t="shared" si="7"/>
        <v>0</v>
      </c>
      <c r="W29" s="4"/>
      <c r="X29" s="4">
        <f t="shared" si="8"/>
        <v>-50424</v>
      </c>
      <c r="Y29" s="4"/>
      <c r="Z29" s="12">
        <f t="shared" si="9"/>
        <v>-0.48022857142857145</v>
      </c>
    </row>
    <row r="30" spans="1:26" x14ac:dyDescent="0.3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5</v>
      </c>
      <c r="C31" s="26"/>
      <c r="D31" s="34">
        <f>SUM(D26:D30)</f>
        <v>-25804.15</v>
      </c>
      <c r="E31" s="13"/>
      <c r="F31" s="32">
        <f>IF(D$12=0,0,D31/D$12)</f>
        <v>0</v>
      </c>
      <c r="G31" s="13"/>
      <c r="H31" s="34">
        <f>SUM(H26:H30)</f>
        <v>30000</v>
      </c>
      <c r="I31" s="13"/>
      <c r="J31" s="32">
        <f>IF(H$12=0,0,H31/H$12)</f>
        <v>0</v>
      </c>
      <c r="K31" s="16"/>
      <c r="L31" s="34">
        <f>+D31-H31</f>
        <v>-55804.15</v>
      </c>
      <c r="M31" s="16"/>
      <c r="N31" s="32">
        <f>IF(H31=0,0,L31/H31)</f>
        <v>-1.8601383333333334</v>
      </c>
      <c r="O31" s="25"/>
      <c r="P31" s="34">
        <f>SUM(P26:P30)</f>
        <v>2012759.98</v>
      </c>
      <c r="Q31" s="13"/>
      <c r="R31" s="32">
        <f>IF(P$12=0,0,P31/P$12)</f>
        <v>0</v>
      </c>
      <c r="S31" s="13"/>
      <c r="T31" s="34">
        <f>SUM(T26:T30)</f>
        <v>210000</v>
      </c>
      <c r="U31" s="13"/>
      <c r="V31" s="32">
        <f>IF(T$12=0,0,T31/T$12)</f>
        <v>0</v>
      </c>
      <c r="W31" s="16"/>
      <c r="X31" s="34">
        <f>+P31-T31</f>
        <v>1802759.98</v>
      </c>
      <c r="Y31" s="16"/>
      <c r="Z31" s="32">
        <f>IF(T31=0,0,X31/T31)</f>
        <v>8.5845713333333329</v>
      </c>
    </row>
    <row r="32" spans="1:26" ht="15" thickTop="1" x14ac:dyDescent="0.3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35">
      <c r="A33" s="9"/>
      <c r="B33" s="60">
        <v>44238.490248495371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35">
      <c r="A34" s="9"/>
      <c r="B34" s="59" t="s">
        <v>314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35">
      <c r="A35" s="9"/>
      <c r="B35" s="58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3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297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300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5">
      <c r="A17" s="10"/>
      <c r="B17" s="26" t="s">
        <v>6</v>
      </c>
      <c r="C17" s="26"/>
      <c r="D17" s="19">
        <f>D12-D15</f>
        <v>0</v>
      </c>
      <c r="E17" s="13"/>
      <c r="F17" s="21">
        <f>IF(D$12=0,0,D17/D$12)</f>
        <v>0</v>
      </c>
      <c r="G17" s="13"/>
      <c r="H17" s="19">
        <f>H12-H15</f>
        <v>0</v>
      </c>
      <c r="I17" s="13"/>
      <c r="J17" s="21">
        <f>IF(H$12=0,0,H17/H$12)</f>
        <v>0</v>
      </c>
      <c r="K17" s="16"/>
      <c r="L17" s="19">
        <f>+D17-H17</f>
        <v>0</v>
      </c>
      <c r="M17" s="16"/>
      <c r="N17" s="21">
        <f>IF(H17=0,0,L17/H17)</f>
        <v>0</v>
      </c>
      <c r="O17" s="25"/>
      <c r="P17" s="19">
        <f>P12-P15</f>
        <v>0</v>
      </c>
      <c r="Q17" s="13"/>
      <c r="R17" s="21">
        <f>IF(P$12=0,0,P17/P$12)</f>
        <v>0</v>
      </c>
      <c r="S17" s="13"/>
      <c r="T17" s="19">
        <f>T12-T15</f>
        <v>0</v>
      </c>
      <c r="U17" s="13"/>
      <c r="V17" s="21">
        <f>IF(T$12=0,0,T17/T$12)</f>
        <v>0</v>
      </c>
      <c r="W17" s="16"/>
      <c r="X17" s="19">
        <f>+P17-T17</f>
        <v>0</v>
      </c>
      <c r="Y17" s="16"/>
      <c r="Z17" s="21">
        <f>IF(T17=0,0,X17/T17)</f>
        <v>0</v>
      </c>
    </row>
    <row r="18" spans="1:26" x14ac:dyDescent="0.3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5">
      <c r="A19" s="10"/>
      <c r="B19" s="25" t="s">
        <v>9</v>
      </c>
      <c r="C19" s="10"/>
      <c r="D19" s="20">
        <f>SUM(OSRRefD22x_0)</f>
        <v>247477.45</v>
      </c>
      <c r="E19" s="20"/>
      <c r="F19" s="30">
        <f t="shared" ref="F19:F31" si="4">IF(D$12=0,0,D19/D$12)</f>
        <v>0</v>
      </c>
      <c r="G19" s="20"/>
      <c r="H19" s="20">
        <f>SUM(OSRRefH22x_0)</f>
        <v>294402.0391576924</v>
      </c>
      <c r="I19" s="20"/>
      <c r="J19" s="30">
        <f t="shared" ref="J19:J31" si="5">IF(H$12=0,0,H19/H$12)</f>
        <v>0</v>
      </c>
      <c r="K19" s="4"/>
      <c r="L19" s="20">
        <f t="shared" ref="L19:L31" si="6">+D19-H19</f>
        <v>-46924.58915769239</v>
      </c>
      <c r="M19" s="4"/>
      <c r="N19" s="30">
        <f t="shared" ref="N19:N31" si="7">IF(H19=0,0,L19/H19)</f>
        <v>-0.15938948416236301</v>
      </c>
      <c r="O19" s="10"/>
      <c r="P19" s="20">
        <f>SUM(OSRRefP22x_0)</f>
        <v>1199028.6599999999</v>
      </c>
      <c r="Q19" s="20"/>
      <c r="R19" s="30">
        <f t="shared" ref="R19:R31" si="8">IF(P$12=0,0,P19/P$12)</f>
        <v>0</v>
      </c>
      <c r="S19" s="20"/>
      <c r="T19" s="20">
        <f>SUM(OSRRefT22x_0)</f>
        <v>1917399.4573038463</v>
      </c>
      <c r="U19" s="20"/>
      <c r="V19" s="30">
        <f t="shared" ref="V19:V31" si="9">IF(T$12=0,0,T19/T$12)</f>
        <v>0</v>
      </c>
      <c r="W19" s="4"/>
      <c r="X19" s="20">
        <f t="shared" ref="X19:X31" si="10">+P19-T19</f>
        <v>-718370.79730384634</v>
      </c>
      <c r="Y19" s="4"/>
      <c r="Z19" s="30">
        <f t="shared" ref="Z19:Z31" si="11">IF(T19=0,0,X19/T19)</f>
        <v>-0.37465891343996954</v>
      </c>
    </row>
    <row r="20" spans="1:26" s="28" customFormat="1" outlineLevel="1" collapsed="1" x14ac:dyDescent="0.3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79841.319999999992</v>
      </c>
      <c r="E20" s="1"/>
      <c r="F20" s="5">
        <f t="shared" si="4"/>
        <v>0</v>
      </c>
      <c r="G20" s="1"/>
      <c r="H20" s="1">
        <f>SUM(OSRRefH22_0x_0)</f>
        <v>84453.269926923094</v>
      </c>
      <c r="I20" s="1"/>
      <c r="J20" s="5">
        <f t="shared" si="5"/>
        <v>0</v>
      </c>
      <c r="K20" s="1"/>
      <c r="L20" s="1">
        <f t="shared" si="6"/>
        <v>-4611.9499269231019</v>
      </c>
      <c r="M20" s="1"/>
      <c r="N20" s="5">
        <f t="shared" si="7"/>
        <v>-5.4609489140133881E-2</v>
      </c>
      <c r="O20" s="14"/>
      <c r="P20" s="1">
        <f>SUM(OSRRefP22_0x_0)</f>
        <v>185317.37999999995</v>
      </c>
      <c r="Q20" s="1"/>
      <c r="R20" s="5">
        <f t="shared" si="8"/>
        <v>0</v>
      </c>
      <c r="S20" s="1"/>
      <c r="T20" s="1">
        <f>SUM(OSRRefT22_0x_0)</f>
        <v>563490.08807307703</v>
      </c>
      <c r="U20" s="1"/>
      <c r="V20" s="5">
        <f t="shared" si="9"/>
        <v>0</v>
      </c>
      <c r="W20" s="1"/>
      <c r="X20" s="1">
        <f t="shared" si="10"/>
        <v>-378172.70807307708</v>
      </c>
      <c r="Y20" s="1"/>
      <c r="Z20" s="5">
        <f t="shared" si="11"/>
        <v>-0.6711257501729706</v>
      </c>
    </row>
    <row r="21" spans="1:26" s="24" customFormat="1" hidden="1" outlineLevel="2" x14ac:dyDescent="0.35">
      <c r="A21" s="29"/>
      <c r="B21" s="11" t="str">
        <f>CONCATENATE("          ", "6111", " - ", "F.I.C.A.")</f>
        <v xml:space="preserve">          6111 - F.I.C.A.</v>
      </c>
      <c r="C21" s="11"/>
      <c r="D21" s="7">
        <v>7001.48</v>
      </c>
      <c r="E21" s="2"/>
      <c r="F21" s="6">
        <f t="shared" si="4"/>
        <v>0</v>
      </c>
      <c r="G21" s="2"/>
      <c r="H21" s="7">
        <v>8722.8010961538494</v>
      </c>
      <c r="I21" s="2"/>
      <c r="J21" s="6">
        <f t="shared" si="5"/>
        <v>0</v>
      </c>
      <c r="K21" s="2"/>
      <c r="L21" s="7">
        <f t="shared" si="6"/>
        <v>-1721.3210961538498</v>
      </c>
      <c r="M21" s="2"/>
      <c r="N21" s="6">
        <f t="shared" si="7"/>
        <v>-0.197335818755839</v>
      </c>
      <c r="O21" s="11"/>
      <c r="P21" s="7">
        <v>54835.81</v>
      </c>
      <c r="Q21" s="2"/>
      <c r="R21" s="6">
        <f t="shared" si="8"/>
        <v>0</v>
      </c>
      <c r="S21" s="2"/>
      <c r="T21" s="7">
        <v>54324.732196153869</v>
      </c>
      <c r="U21" s="2"/>
      <c r="V21" s="6">
        <f t="shared" si="9"/>
        <v>0</v>
      </c>
      <c r="W21" s="2"/>
      <c r="X21" s="7">
        <f t="shared" si="10"/>
        <v>511.07780384612852</v>
      </c>
      <c r="Y21" s="2"/>
      <c r="Z21" s="6">
        <f t="shared" si="11"/>
        <v>9.4078292369807991E-3</v>
      </c>
    </row>
    <row r="22" spans="1:26" s="24" customFormat="1" hidden="1" outlineLevel="2" x14ac:dyDescent="0.35">
      <c r="A22" s="29"/>
      <c r="B22" s="11" t="str">
        <f>CONCATENATE("          ", "6112", " - ", "COMPENSATION INSURANCE")</f>
        <v xml:space="preserve">          6112 - COMPENSATION INSURANCE</v>
      </c>
      <c r="C22" s="11"/>
      <c r="D22" s="7">
        <v>9.9600000000000009</v>
      </c>
      <c r="E22" s="2"/>
      <c r="F22" s="6">
        <f t="shared" si="4"/>
        <v>0</v>
      </c>
      <c r="G22" s="2"/>
      <c r="H22" s="7">
        <v>759.65289230769201</v>
      </c>
      <c r="I22" s="2"/>
      <c r="J22" s="6">
        <f t="shared" si="5"/>
        <v>0</v>
      </c>
      <c r="K22" s="2"/>
      <c r="L22" s="7">
        <f t="shared" si="6"/>
        <v>-749.69289230769198</v>
      </c>
      <c r="M22" s="2"/>
      <c r="N22" s="6">
        <f t="shared" si="7"/>
        <v>-0.98688874866290144</v>
      </c>
      <c r="O22" s="11"/>
      <c r="P22" s="7">
        <v>4716.9799999999996</v>
      </c>
      <c r="Q22" s="2"/>
      <c r="R22" s="6">
        <f t="shared" si="8"/>
        <v>0</v>
      </c>
      <c r="S22" s="2"/>
      <c r="T22" s="7">
        <v>4717.3692923076924</v>
      </c>
      <c r="U22" s="2"/>
      <c r="V22" s="6">
        <f t="shared" si="9"/>
        <v>0</v>
      </c>
      <c r="W22" s="2"/>
      <c r="X22" s="7">
        <f t="shared" si="10"/>
        <v>-0.38929230769281276</v>
      </c>
      <c r="Y22" s="2"/>
      <c r="Z22" s="6">
        <f t="shared" si="11"/>
        <v>-8.2523178401064858E-5</v>
      </c>
    </row>
    <row r="23" spans="1:26" s="24" customFormat="1" hidden="1" outlineLevel="2" x14ac:dyDescent="0.35">
      <c r="A23" s="29"/>
      <c r="B23" s="11" t="str">
        <f>CONCATENATE("          ", "6113", " - ", "GROUP INSURANCE")</f>
        <v xml:space="preserve">          6113 - GROUP INSURANCE</v>
      </c>
      <c r="C23" s="11"/>
      <c r="D23" s="7">
        <v>22431.15</v>
      </c>
      <c r="E23" s="2"/>
      <c r="F23" s="6">
        <f t="shared" si="4"/>
        <v>0</v>
      </c>
      <c r="G23" s="2"/>
      <c r="H23" s="7">
        <v>21786.153846153844</v>
      </c>
      <c r="I23" s="2"/>
      <c r="J23" s="6">
        <f t="shared" si="5"/>
        <v>0</v>
      </c>
      <c r="K23" s="2"/>
      <c r="L23" s="7">
        <f t="shared" si="6"/>
        <v>644.99615384615754</v>
      </c>
      <c r="M23" s="2"/>
      <c r="N23" s="6">
        <f t="shared" si="7"/>
        <v>2.9605783489866706E-2</v>
      </c>
      <c r="O23" s="11"/>
      <c r="P23" s="7">
        <v>160398.93</v>
      </c>
      <c r="Q23" s="2"/>
      <c r="R23" s="6">
        <f t="shared" si="8"/>
        <v>0</v>
      </c>
      <c r="S23" s="2"/>
      <c r="T23" s="7">
        <v>149137.30769230772</v>
      </c>
      <c r="U23" s="2"/>
      <c r="V23" s="6">
        <f t="shared" si="9"/>
        <v>0</v>
      </c>
      <c r="W23" s="2"/>
      <c r="X23" s="7">
        <f t="shared" si="10"/>
        <v>11261.622307692276</v>
      </c>
      <c r="Y23" s="2"/>
      <c r="Z23" s="6">
        <f t="shared" si="11"/>
        <v>7.551177154764431E-2</v>
      </c>
    </row>
    <row r="24" spans="1:26" s="24" customFormat="1" hidden="1" outlineLevel="2" x14ac:dyDescent="0.3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7">
        <v>488.19</v>
      </c>
      <c r="E24" s="2"/>
      <c r="F24" s="6">
        <f t="shared" si="4"/>
        <v>0</v>
      </c>
      <c r="G24" s="2"/>
      <c r="H24" s="7">
        <v>329.15440000000001</v>
      </c>
      <c r="I24" s="2"/>
      <c r="J24" s="6">
        <f t="shared" si="5"/>
        <v>0</v>
      </c>
      <c r="K24" s="2"/>
      <c r="L24" s="7">
        <f t="shared" si="6"/>
        <v>159.03559999999999</v>
      </c>
      <c r="M24" s="2"/>
      <c r="N24" s="6">
        <f t="shared" si="7"/>
        <v>0.4831641320912009</v>
      </c>
      <c r="O24" s="11"/>
      <c r="P24" s="7">
        <v>2058.91</v>
      </c>
      <c r="Q24" s="2"/>
      <c r="R24" s="6">
        <f t="shared" si="8"/>
        <v>0</v>
      </c>
      <c r="S24" s="2"/>
      <c r="T24" s="7">
        <v>2040.1312</v>
      </c>
      <c r="U24" s="2"/>
      <c r="V24" s="6">
        <f t="shared" si="9"/>
        <v>0</v>
      </c>
      <c r="W24" s="2"/>
      <c r="X24" s="7">
        <f t="shared" si="10"/>
        <v>18.778799999999819</v>
      </c>
      <c r="Y24" s="2"/>
      <c r="Z24" s="6">
        <f t="shared" si="11"/>
        <v>9.2047021289610297E-3</v>
      </c>
    </row>
    <row r="25" spans="1:26" s="24" customFormat="1" hidden="1" outlineLevel="2" x14ac:dyDescent="0.35">
      <c r="A25" s="29"/>
      <c r="B25" s="11" t="str">
        <f>CONCATENATE("          ", "6115", " - ", "P.E.R.S.")</f>
        <v xml:space="preserve">          6115 - P.E.R.S.</v>
      </c>
      <c r="C25" s="11"/>
      <c r="D25" s="7">
        <v>11445.46</v>
      </c>
      <c r="E25" s="2"/>
      <c r="F25" s="6">
        <f t="shared" si="4"/>
        <v>0</v>
      </c>
      <c r="G25" s="2"/>
      <c r="H25" s="7">
        <v>7269.4807692307804</v>
      </c>
      <c r="I25" s="2"/>
      <c r="J25" s="6">
        <f t="shared" si="5"/>
        <v>0</v>
      </c>
      <c r="K25" s="2"/>
      <c r="L25" s="7">
        <f t="shared" si="6"/>
        <v>4175.9792307692187</v>
      </c>
      <c r="M25" s="2"/>
      <c r="N25" s="6">
        <f t="shared" si="7"/>
        <v>0.57445357699338129</v>
      </c>
      <c r="O25" s="11"/>
      <c r="P25" s="7">
        <v>66750.739999999991</v>
      </c>
      <c r="Q25" s="2"/>
      <c r="R25" s="6">
        <f t="shared" si="8"/>
        <v>0</v>
      </c>
      <c r="S25" s="2"/>
      <c r="T25" s="7">
        <v>45070.780769230805</v>
      </c>
      <c r="U25" s="2"/>
      <c r="V25" s="6">
        <f t="shared" si="9"/>
        <v>0</v>
      </c>
      <c r="W25" s="2"/>
      <c r="X25" s="7">
        <f t="shared" si="10"/>
        <v>21679.959230769186</v>
      </c>
      <c r="Y25" s="2"/>
      <c r="Z25" s="6">
        <f t="shared" si="11"/>
        <v>0.48102027213093657</v>
      </c>
    </row>
    <row r="26" spans="1:26" s="24" customFormat="1" hidden="1" outlineLevel="2" x14ac:dyDescent="0.35">
      <c r="A26" s="29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300</v>
      </c>
      <c r="I26" s="2"/>
      <c r="J26" s="6">
        <f t="shared" si="5"/>
        <v>0</v>
      </c>
      <c r="K26" s="2"/>
      <c r="L26" s="7">
        <f t="shared" si="6"/>
        <v>-300</v>
      </c>
      <c r="M26" s="2"/>
      <c r="N26" s="6">
        <f t="shared" si="7"/>
        <v>-1</v>
      </c>
      <c r="O26" s="11"/>
      <c r="P26" s="7"/>
      <c r="Q26" s="2"/>
      <c r="R26" s="6">
        <f t="shared" si="8"/>
        <v>0</v>
      </c>
      <c r="S26" s="2"/>
      <c r="T26" s="7">
        <v>2100</v>
      </c>
      <c r="U26" s="2"/>
      <c r="V26" s="6">
        <f t="shared" si="9"/>
        <v>0</v>
      </c>
      <c r="W26" s="2"/>
      <c r="X26" s="7">
        <f t="shared" si="10"/>
        <v>-2100</v>
      </c>
      <c r="Y26" s="2"/>
      <c r="Z26" s="6">
        <f t="shared" si="11"/>
        <v>-1</v>
      </c>
    </row>
    <row r="27" spans="1:26" s="24" customFormat="1" hidden="1" outlineLevel="2" x14ac:dyDescent="0.35">
      <c r="A27" s="29"/>
      <c r="B27" s="11" t="str">
        <f>CONCATENATE("          ", "6117", " - ", "RETIREMENT STAFF HOURLY")</f>
        <v xml:space="preserve">          6117 - RETIREMENT STAFF HOURLY</v>
      </c>
      <c r="C27" s="11"/>
      <c r="D27" s="7">
        <v>486.03</v>
      </c>
      <c r="E27" s="2"/>
      <c r="F27" s="6">
        <f t="shared" si="4"/>
        <v>0</v>
      </c>
      <c r="G27" s="2"/>
      <c r="H27" s="7"/>
      <c r="I27" s="2"/>
      <c r="J27" s="6">
        <f t="shared" si="5"/>
        <v>0</v>
      </c>
      <c r="K27" s="2"/>
      <c r="L27" s="7">
        <f t="shared" si="6"/>
        <v>486.03</v>
      </c>
      <c r="M27" s="2"/>
      <c r="N27" s="6">
        <f t="shared" si="7"/>
        <v>0</v>
      </c>
      <c r="O27" s="11"/>
      <c r="P27" s="7">
        <v>5244.12</v>
      </c>
      <c r="Q27" s="2"/>
      <c r="R27" s="6">
        <f t="shared" si="8"/>
        <v>0</v>
      </c>
      <c r="S27" s="2"/>
      <c r="T27" s="7"/>
      <c r="U27" s="2"/>
      <c r="V27" s="6">
        <f t="shared" si="9"/>
        <v>0</v>
      </c>
      <c r="W27" s="2"/>
      <c r="X27" s="7">
        <f t="shared" si="10"/>
        <v>5244.12</v>
      </c>
      <c r="Y27" s="2"/>
      <c r="Z27" s="6">
        <f t="shared" si="11"/>
        <v>0</v>
      </c>
    </row>
    <row r="28" spans="1:26" s="24" customFormat="1" hidden="1" outlineLevel="2" x14ac:dyDescent="0.35">
      <c r="A28" s="29"/>
      <c r="B28" s="11" t="str">
        <f>CONCATENATE("          ", "6118", " - ", "VACATION")</f>
        <v xml:space="preserve">          6118 - VACATION</v>
      </c>
      <c r="C28" s="11"/>
      <c r="D28" s="7">
        <v>5658.85</v>
      </c>
      <c r="E28" s="2"/>
      <c r="F28" s="6">
        <f t="shared" si="4"/>
        <v>0</v>
      </c>
      <c r="G28" s="2"/>
      <c r="H28" s="7">
        <v>5891.4423076923094</v>
      </c>
      <c r="I28" s="2"/>
      <c r="J28" s="6">
        <f t="shared" si="5"/>
        <v>0</v>
      </c>
      <c r="K28" s="2"/>
      <c r="L28" s="7">
        <f t="shared" si="6"/>
        <v>-232.59230769230908</v>
      </c>
      <c r="M28" s="2"/>
      <c r="N28" s="6">
        <f t="shared" si="7"/>
        <v>-3.9479688596563034E-2</v>
      </c>
      <c r="O28" s="11"/>
      <c r="P28" s="7">
        <v>45128.67</v>
      </c>
      <c r="Q28" s="2"/>
      <c r="R28" s="6">
        <f t="shared" si="8"/>
        <v>0</v>
      </c>
      <c r="S28" s="2"/>
      <c r="T28" s="7">
        <v>36482.942307692305</v>
      </c>
      <c r="U28" s="2"/>
      <c r="V28" s="6">
        <f t="shared" si="9"/>
        <v>0</v>
      </c>
      <c r="W28" s="2"/>
      <c r="X28" s="7">
        <f t="shared" si="10"/>
        <v>8645.7276923076934</v>
      </c>
      <c r="Y28" s="2"/>
      <c r="Z28" s="6">
        <f t="shared" si="11"/>
        <v>0.23698000066416713</v>
      </c>
    </row>
    <row r="29" spans="1:26" s="24" customFormat="1" hidden="1" outlineLevel="2" x14ac:dyDescent="0.35">
      <c r="A29" s="29"/>
      <c r="B29" s="11" t="str">
        <f>CONCATENATE("          ", "6119", " - ", "SICK LEAVE")</f>
        <v xml:space="preserve">          6119 - SICK LEAVE</v>
      </c>
      <c r="C29" s="11"/>
      <c r="D29" s="7">
        <v>4003.52</v>
      </c>
      <c r="E29" s="2"/>
      <c r="F29" s="6">
        <f t="shared" si="4"/>
        <v>0</v>
      </c>
      <c r="G29" s="2"/>
      <c r="H29" s="7">
        <v>4869.5846153846142</v>
      </c>
      <c r="I29" s="2"/>
      <c r="J29" s="6">
        <f t="shared" si="5"/>
        <v>0</v>
      </c>
      <c r="K29" s="2"/>
      <c r="L29" s="7">
        <f t="shared" si="6"/>
        <v>-866.06461538461417</v>
      </c>
      <c r="M29" s="2"/>
      <c r="N29" s="6">
        <f t="shared" si="7"/>
        <v>-0.1778518464692927</v>
      </c>
      <c r="O29" s="11"/>
      <c r="P29" s="7">
        <v>30801.299999999996</v>
      </c>
      <c r="Q29" s="2"/>
      <c r="R29" s="6">
        <f t="shared" si="8"/>
        <v>0</v>
      </c>
      <c r="S29" s="2"/>
      <c r="T29" s="7">
        <v>30071.824615384605</v>
      </c>
      <c r="U29" s="2"/>
      <c r="V29" s="6">
        <f t="shared" si="9"/>
        <v>0</v>
      </c>
      <c r="W29" s="2"/>
      <c r="X29" s="7">
        <f t="shared" si="10"/>
        <v>729.47538461539079</v>
      </c>
      <c r="Y29" s="2"/>
      <c r="Z29" s="6">
        <f t="shared" si="11"/>
        <v>2.425776932212469E-2</v>
      </c>
    </row>
    <row r="30" spans="1:26" s="24" customFormat="1" hidden="1" outlineLevel="2" x14ac:dyDescent="0.35">
      <c r="A30" s="29"/>
      <c r="B30" s="11" t="str">
        <f>CONCATENATE("          ", "6120", " - ", "RETIREES HEALTH INSURANCE")</f>
        <v xml:space="preserve">          6120 - RETIREES HEALTH INSURANCE</v>
      </c>
      <c r="C30" s="11"/>
      <c r="D30" s="7">
        <v>28145.68</v>
      </c>
      <c r="E30" s="2"/>
      <c r="F30" s="6">
        <f t="shared" si="4"/>
        <v>0</v>
      </c>
      <c r="G30" s="2"/>
      <c r="H30" s="7">
        <v>32000</v>
      </c>
      <c r="I30" s="2"/>
      <c r="J30" s="6">
        <f t="shared" si="5"/>
        <v>0</v>
      </c>
      <c r="K30" s="2"/>
      <c r="L30" s="7">
        <f t="shared" si="6"/>
        <v>-3854.3199999999997</v>
      </c>
      <c r="M30" s="2"/>
      <c r="N30" s="6">
        <f t="shared" si="7"/>
        <v>-0.12044749999999999</v>
      </c>
      <c r="O30" s="11"/>
      <c r="P30" s="7">
        <v>-189192.6</v>
      </c>
      <c r="Q30" s="2"/>
      <c r="R30" s="6">
        <f t="shared" si="8"/>
        <v>0</v>
      </c>
      <c r="S30" s="2"/>
      <c r="T30" s="7">
        <v>224000</v>
      </c>
      <c r="U30" s="2"/>
      <c r="V30" s="6">
        <f t="shared" si="9"/>
        <v>0</v>
      </c>
      <c r="W30" s="2"/>
      <c r="X30" s="7">
        <f t="shared" si="10"/>
        <v>-413192.6</v>
      </c>
      <c r="Y30" s="2"/>
      <c r="Z30" s="6">
        <f t="shared" si="11"/>
        <v>-1.8446098214285713</v>
      </c>
    </row>
    <row r="31" spans="1:26" s="24" customFormat="1" hidden="1" outlineLevel="2" x14ac:dyDescent="0.35">
      <c r="A31" s="29"/>
      <c r="B31" s="11" t="str">
        <f>CONCATENATE("          ", "6156", " - ", "EMPLOYEE MEALS")</f>
        <v xml:space="preserve">          6156 - EMPLOYEE MEALS</v>
      </c>
      <c r="C31" s="11"/>
      <c r="D31" s="7">
        <v>171</v>
      </c>
      <c r="E31" s="2"/>
      <c r="F31" s="6">
        <f t="shared" si="4"/>
        <v>0</v>
      </c>
      <c r="G31" s="2"/>
      <c r="H31" s="7">
        <v>2525</v>
      </c>
      <c r="I31" s="2"/>
      <c r="J31" s="6">
        <f t="shared" si="5"/>
        <v>0</v>
      </c>
      <c r="K31" s="2"/>
      <c r="L31" s="7">
        <f t="shared" si="6"/>
        <v>-2354</v>
      </c>
      <c r="M31" s="2"/>
      <c r="N31" s="6">
        <f t="shared" si="7"/>
        <v>-0.93227722772277233</v>
      </c>
      <c r="O31" s="11"/>
      <c r="P31" s="7">
        <v>4574.5200000000004</v>
      </c>
      <c r="Q31" s="2"/>
      <c r="R31" s="6">
        <f t="shared" si="8"/>
        <v>0</v>
      </c>
      <c r="S31" s="2"/>
      <c r="T31" s="7">
        <v>15545</v>
      </c>
      <c r="U31" s="2"/>
      <c r="V31" s="6">
        <f t="shared" si="9"/>
        <v>0</v>
      </c>
      <c r="W31" s="2"/>
      <c r="X31" s="7">
        <f t="shared" si="10"/>
        <v>-10970.48</v>
      </c>
      <c r="Y31" s="2"/>
      <c r="Z31" s="6">
        <f t="shared" si="11"/>
        <v>-0.70572402701833381</v>
      </c>
    </row>
    <row r="32" spans="1:26" s="28" customFormat="1" outlineLevel="1" collapsed="1" x14ac:dyDescent="0.3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113526.32999999999</v>
      </c>
      <c r="E32" s="1"/>
      <c r="F32" s="5">
        <f t="shared" ref="F32:F42" si="12">IF(D$12=0,0,D32/D$12)</f>
        <v>0</v>
      </c>
      <c r="G32" s="1"/>
      <c r="H32" s="1">
        <f>SUM(OSRRefH22_1x_0)</f>
        <v>116447.76923076931</v>
      </c>
      <c r="I32" s="1"/>
      <c r="J32" s="5">
        <f t="shared" ref="J32:J42" si="13">IF(H$12=0,0,H32/H$12)</f>
        <v>0</v>
      </c>
      <c r="K32" s="1"/>
      <c r="L32" s="1">
        <f t="shared" ref="L32:L42" si="14">+D32-H32</f>
        <v>-2921.4392307693197</v>
      </c>
      <c r="M32" s="1"/>
      <c r="N32" s="5">
        <f t="shared" ref="N32:N42" si="15">IF(H32=0,0,L32/H32)</f>
        <v>-2.5087979358194352E-2</v>
      </c>
      <c r="O32" s="14"/>
      <c r="P32" s="1">
        <f>SUM(OSRRefP22_1x_0)</f>
        <v>657471.67000000004</v>
      </c>
      <c r="Q32" s="1"/>
      <c r="R32" s="5">
        <f t="shared" ref="R32:R42" si="16">IF(P$12=0,0,P32/P$12)</f>
        <v>0</v>
      </c>
      <c r="S32" s="1"/>
      <c r="T32" s="1">
        <f>SUM(OSRRefT22_1x_0)</f>
        <v>721823.36923076934</v>
      </c>
      <c r="U32" s="1"/>
      <c r="V32" s="5">
        <f t="shared" ref="V32:V42" si="17">IF(T$12=0,0,T32/T$12)</f>
        <v>0</v>
      </c>
      <c r="W32" s="1"/>
      <c r="X32" s="1">
        <f t="shared" ref="X32:X42" si="18">+P32-T32</f>
        <v>-64351.6992307693</v>
      </c>
      <c r="Y32" s="1"/>
      <c r="Z32" s="5">
        <f t="shared" ref="Z32:Z42" si="19">IF(T32=0,0,X32/T32)</f>
        <v>-8.9151587457396167E-2</v>
      </c>
    </row>
    <row r="33" spans="1:26" s="24" customFormat="1" hidden="1" outlineLevel="2" x14ac:dyDescent="0.35">
      <c r="A33" s="29"/>
      <c r="B33" s="11" t="str">
        <f>CONCATENATE("          ", "6001", " - ", "ADMINISTRATIVE SALARIES")</f>
        <v xml:space="preserve">          6001 - ADMINISTRATIVE SALARIES</v>
      </c>
      <c r="C33" s="11"/>
      <c r="D33" s="7">
        <v>30078.959999999999</v>
      </c>
      <c r="E33" s="2"/>
      <c r="F33" s="6">
        <f t="shared" si="12"/>
        <v>0</v>
      </c>
      <c r="G33" s="2"/>
      <c r="H33" s="7">
        <v>34110.576923076937</v>
      </c>
      <c r="I33" s="2"/>
      <c r="J33" s="6">
        <f t="shared" si="13"/>
        <v>0</v>
      </c>
      <c r="K33" s="2"/>
      <c r="L33" s="7">
        <f t="shared" si="14"/>
        <v>-4031.6169230769374</v>
      </c>
      <c r="M33" s="2"/>
      <c r="N33" s="6">
        <f t="shared" si="15"/>
        <v>-0.11819257505285449</v>
      </c>
      <c r="O33" s="11"/>
      <c r="P33" s="7">
        <v>178055.50999999998</v>
      </c>
      <c r="Q33" s="2"/>
      <c r="R33" s="6">
        <f t="shared" si="16"/>
        <v>0</v>
      </c>
      <c r="S33" s="2"/>
      <c r="T33" s="7">
        <v>211485.57692307682</v>
      </c>
      <c r="U33" s="2"/>
      <c r="V33" s="6">
        <f t="shared" si="17"/>
        <v>0</v>
      </c>
      <c r="W33" s="2"/>
      <c r="X33" s="7">
        <f t="shared" si="18"/>
        <v>-33430.06692307684</v>
      </c>
      <c r="Y33" s="2"/>
      <c r="Z33" s="6">
        <f t="shared" si="19"/>
        <v>-0.15807256177680754</v>
      </c>
    </row>
    <row r="34" spans="1:26" s="24" customFormat="1" hidden="1" outlineLevel="2" x14ac:dyDescent="0.35">
      <c r="A34" s="29"/>
      <c r="B34" s="11" t="str">
        <f>CONCATENATE("          ", "6002", " - ", "STAFF SALARIES")</f>
        <v xml:space="preserve">          6002 - STAFF SALARIES</v>
      </c>
      <c r="C34" s="11"/>
      <c r="D34" s="7">
        <v>57114.879999999997</v>
      </c>
      <c r="E34" s="2"/>
      <c r="F34" s="6">
        <f t="shared" si="12"/>
        <v>0</v>
      </c>
      <c r="G34" s="2"/>
      <c r="H34" s="7">
        <v>42682.692307692363</v>
      </c>
      <c r="I34" s="2"/>
      <c r="J34" s="6">
        <f t="shared" si="13"/>
        <v>0</v>
      </c>
      <c r="K34" s="2"/>
      <c r="L34" s="7">
        <f t="shared" si="14"/>
        <v>14432.187692307634</v>
      </c>
      <c r="M34" s="2"/>
      <c r="N34" s="6">
        <f t="shared" si="15"/>
        <v>0.33812739806262493</v>
      </c>
      <c r="O34" s="11"/>
      <c r="P34" s="7">
        <v>344546.95</v>
      </c>
      <c r="Q34" s="2"/>
      <c r="R34" s="6">
        <f t="shared" si="16"/>
        <v>0</v>
      </c>
      <c r="S34" s="2"/>
      <c r="T34" s="7">
        <v>264632.69230769255</v>
      </c>
      <c r="U34" s="2"/>
      <c r="V34" s="6">
        <f t="shared" si="17"/>
        <v>0</v>
      </c>
      <c r="W34" s="2"/>
      <c r="X34" s="7">
        <f t="shared" si="18"/>
        <v>79914.257692307467</v>
      </c>
      <c r="Y34" s="2"/>
      <c r="Z34" s="6">
        <f t="shared" si="19"/>
        <v>0.30198180351575732</v>
      </c>
    </row>
    <row r="35" spans="1:26" s="24" customFormat="1" hidden="1" outlineLevel="2" x14ac:dyDescent="0.35">
      <c r="A35" s="29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/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0</v>
      </c>
      <c r="Y35" s="2"/>
      <c r="Z35" s="6">
        <f t="shared" si="19"/>
        <v>0</v>
      </c>
    </row>
    <row r="36" spans="1:26" s="24" customFormat="1" hidden="1" outlineLevel="2" x14ac:dyDescent="0.35">
      <c r="A36" s="29"/>
      <c r="B36" s="11" t="str">
        <f>CONCATENATE("          ", "6004", " - ", "STAFF HOURLY")</f>
        <v xml:space="preserve">          6004 - STAFF HOURLY</v>
      </c>
      <c r="C36" s="11"/>
      <c r="D36" s="7">
        <v>15921.98</v>
      </c>
      <c r="E36" s="2"/>
      <c r="F36" s="6">
        <f t="shared" si="12"/>
        <v>0</v>
      </c>
      <c r="G36" s="2"/>
      <c r="H36" s="7">
        <v>25680.5</v>
      </c>
      <c r="I36" s="2"/>
      <c r="J36" s="6">
        <f t="shared" si="13"/>
        <v>0</v>
      </c>
      <c r="K36" s="2"/>
      <c r="L36" s="7">
        <f t="shared" si="14"/>
        <v>-9758.52</v>
      </c>
      <c r="M36" s="2"/>
      <c r="N36" s="6">
        <f t="shared" si="15"/>
        <v>-0.37999727419637469</v>
      </c>
      <c r="O36" s="11"/>
      <c r="P36" s="7">
        <v>124539.56</v>
      </c>
      <c r="Q36" s="2"/>
      <c r="R36" s="6">
        <f t="shared" si="16"/>
        <v>0</v>
      </c>
      <c r="S36" s="2"/>
      <c r="T36" s="7">
        <v>163427.09999999998</v>
      </c>
      <c r="U36" s="2"/>
      <c r="V36" s="6">
        <f t="shared" si="17"/>
        <v>0</v>
      </c>
      <c r="W36" s="2"/>
      <c r="X36" s="7">
        <f t="shared" si="18"/>
        <v>-38887.539999999979</v>
      </c>
      <c r="Y36" s="2"/>
      <c r="Z36" s="6">
        <f t="shared" si="19"/>
        <v>-0.23795037665111834</v>
      </c>
    </row>
    <row r="37" spans="1:26" s="24" customFormat="1" hidden="1" outlineLevel="2" x14ac:dyDescent="0.35">
      <c r="A37" s="29"/>
      <c r="B37" s="11" t="str">
        <f>CONCATENATE("          ", "6005", " - ", "TEMPORARY WAGES-HOURLY")</f>
        <v xml:space="preserve">          6005 - TEMPORARY WAGES-HOURLY</v>
      </c>
      <c r="C37" s="11"/>
      <c r="D37" s="7">
        <v>3541.75</v>
      </c>
      <c r="E37" s="2"/>
      <c r="F37" s="6">
        <f t="shared" si="12"/>
        <v>0</v>
      </c>
      <c r="G37" s="2"/>
      <c r="H37" s="7">
        <v>9715</v>
      </c>
      <c r="I37" s="2"/>
      <c r="J37" s="6">
        <f t="shared" si="13"/>
        <v>0</v>
      </c>
      <c r="K37" s="2"/>
      <c r="L37" s="7">
        <f t="shared" si="14"/>
        <v>-6173.25</v>
      </c>
      <c r="M37" s="2"/>
      <c r="N37" s="6">
        <f t="shared" si="15"/>
        <v>-0.63543489449305202</v>
      </c>
      <c r="O37" s="11"/>
      <c r="P37" s="7">
        <v>40073.279999999999</v>
      </c>
      <c r="Q37" s="2"/>
      <c r="R37" s="6">
        <f t="shared" si="16"/>
        <v>0</v>
      </c>
      <c r="S37" s="2"/>
      <c r="T37" s="7">
        <v>60232.999999999993</v>
      </c>
      <c r="U37" s="2"/>
      <c r="V37" s="6">
        <f t="shared" si="17"/>
        <v>0</v>
      </c>
      <c r="W37" s="2"/>
      <c r="X37" s="7">
        <f t="shared" si="18"/>
        <v>-20159.719999999994</v>
      </c>
      <c r="Y37" s="2"/>
      <c r="Z37" s="6">
        <f t="shared" si="19"/>
        <v>-0.33469559875815574</v>
      </c>
    </row>
    <row r="38" spans="1:26" s="24" customFormat="1" hidden="1" outlineLevel="2" x14ac:dyDescent="0.35">
      <c r="A38" s="29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/>
      <c r="Q38" s="2"/>
      <c r="R38" s="6">
        <f t="shared" si="16"/>
        <v>0</v>
      </c>
      <c r="S38" s="2"/>
      <c r="T38" s="7">
        <v>0</v>
      </c>
      <c r="U38" s="2"/>
      <c r="V38" s="6">
        <f t="shared" si="17"/>
        <v>0</v>
      </c>
      <c r="W38" s="2"/>
      <c r="X38" s="7">
        <f t="shared" si="18"/>
        <v>0</v>
      </c>
      <c r="Y38" s="2"/>
      <c r="Z38" s="6">
        <f t="shared" si="19"/>
        <v>0</v>
      </c>
    </row>
    <row r="39" spans="1:26" s="24" customFormat="1" hidden="1" outlineLevel="2" x14ac:dyDescent="0.35">
      <c r="A39" s="29"/>
      <c r="B39" s="11" t="str">
        <f>CONCATENATE("          ", "6007", " - ", "STUDENT HOURLY")</f>
        <v xml:space="preserve">          6007 - STUDENT HOURLY</v>
      </c>
      <c r="C39" s="11"/>
      <c r="D39" s="7">
        <v>5502</v>
      </c>
      <c r="E39" s="2"/>
      <c r="F39" s="6">
        <f t="shared" si="12"/>
        <v>0</v>
      </c>
      <c r="G39" s="2"/>
      <c r="H39" s="7">
        <v>1400</v>
      </c>
      <c r="I39" s="2"/>
      <c r="J39" s="6">
        <f t="shared" si="13"/>
        <v>0</v>
      </c>
      <c r="K39" s="2"/>
      <c r="L39" s="7">
        <f t="shared" si="14"/>
        <v>4102</v>
      </c>
      <c r="M39" s="2"/>
      <c r="N39" s="6">
        <f t="shared" si="15"/>
        <v>2.93</v>
      </c>
      <c r="O39" s="11"/>
      <c r="P39" s="7">
        <v>-39339.009999999995</v>
      </c>
      <c r="Q39" s="2"/>
      <c r="R39" s="6">
        <f t="shared" si="16"/>
        <v>0</v>
      </c>
      <c r="S39" s="2"/>
      <c r="T39" s="7">
        <v>7659</v>
      </c>
      <c r="U39" s="2"/>
      <c r="V39" s="6">
        <f t="shared" si="17"/>
        <v>0</v>
      </c>
      <c r="W39" s="2"/>
      <c r="X39" s="7">
        <f t="shared" si="18"/>
        <v>-46998.009999999995</v>
      </c>
      <c r="Y39" s="2"/>
      <c r="Z39" s="6">
        <f t="shared" si="19"/>
        <v>-6.1363115289202241</v>
      </c>
    </row>
    <row r="40" spans="1:26" s="24" customFormat="1" hidden="1" outlineLevel="2" x14ac:dyDescent="0.35">
      <c r="A40" s="29"/>
      <c r="B40" s="11" t="str">
        <f>CONCATENATE("          ", "6008", " - ", "STUDENT HOURLY-FICA EXEMPT")</f>
        <v xml:space="preserve">          6008 - STUDENT HOURLY-FICA EXEMPT</v>
      </c>
      <c r="C40" s="11"/>
      <c r="D40" s="7">
        <v>1366.76</v>
      </c>
      <c r="E40" s="2"/>
      <c r="F40" s="6">
        <f t="shared" si="12"/>
        <v>0</v>
      </c>
      <c r="G40" s="2"/>
      <c r="H40" s="7">
        <v>2859</v>
      </c>
      <c r="I40" s="2"/>
      <c r="J40" s="6">
        <f t="shared" si="13"/>
        <v>0</v>
      </c>
      <c r="K40" s="2"/>
      <c r="L40" s="7">
        <f t="shared" si="14"/>
        <v>-1492.24</v>
      </c>
      <c r="M40" s="2"/>
      <c r="N40" s="6">
        <f t="shared" si="15"/>
        <v>-0.52194473592165092</v>
      </c>
      <c r="O40" s="11"/>
      <c r="P40" s="7">
        <v>9595.3799999999992</v>
      </c>
      <c r="Q40" s="2"/>
      <c r="R40" s="6">
        <f t="shared" si="16"/>
        <v>0</v>
      </c>
      <c r="S40" s="2"/>
      <c r="T40" s="7">
        <v>14386</v>
      </c>
      <c r="U40" s="2"/>
      <c r="V40" s="6">
        <f t="shared" si="17"/>
        <v>0</v>
      </c>
      <c r="W40" s="2"/>
      <c r="X40" s="7">
        <f t="shared" si="18"/>
        <v>-4790.6200000000008</v>
      </c>
      <c r="Y40" s="2"/>
      <c r="Z40" s="6">
        <f t="shared" si="19"/>
        <v>-0.33300569998609764</v>
      </c>
    </row>
    <row r="41" spans="1:26" s="24" customFormat="1" hidden="1" outlineLevel="2" x14ac:dyDescent="0.35">
      <c r="A41" s="29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4" customFormat="1" hidden="1" outlineLevel="2" x14ac:dyDescent="0.35">
      <c r="A42" s="29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12"/>
        <v>0</v>
      </c>
      <c r="G42" s="2"/>
      <c r="H42" s="7">
        <v>0</v>
      </c>
      <c r="I42" s="2"/>
      <c r="J42" s="6">
        <f t="shared" si="13"/>
        <v>0</v>
      </c>
      <c r="K42" s="2"/>
      <c r="L42" s="7">
        <f t="shared" si="14"/>
        <v>0</v>
      </c>
      <c r="M42" s="2"/>
      <c r="N42" s="6">
        <f t="shared" si="15"/>
        <v>0</v>
      </c>
      <c r="O42" s="11"/>
      <c r="P42" s="7"/>
      <c r="Q42" s="2"/>
      <c r="R42" s="6">
        <f t="shared" si="16"/>
        <v>0</v>
      </c>
      <c r="S42" s="2"/>
      <c r="T42" s="7">
        <v>0</v>
      </c>
      <c r="U42" s="2"/>
      <c r="V42" s="6">
        <f t="shared" si="17"/>
        <v>0</v>
      </c>
      <c r="W42" s="2"/>
      <c r="X42" s="7">
        <f t="shared" si="18"/>
        <v>0</v>
      </c>
      <c r="Y42" s="2"/>
      <c r="Z42" s="6">
        <f t="shared" si="19"/>
        <v>0</v>
      </c>
    </row>
    <row r="43" spans="1:26" s="28" customFormat="1" outlineLevel="1" collapsed="1" x14ac:dyDescent="0.35">
      <c r="A43" s="27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173.21</v>
      </c>
      <c r="E43" s="1"/>
      <c r="F43" s="5">
        <f t="shared" ref="F43:F51" si="20">IF(D$12=0,0,D43/D$12)</f>
        <v>0</v>
      </c>
      <c r="G43" s="1"/>
      <c r="H43" s="1">
        <f>SUM(OSRRefH22_2x_0)</f>
        <v>9083</v>
      </c>
      <c r="I43" s="1"/>
      <c r="J43" s="5">
        <f t="shared" ref="J43:J51" si="21">IF(H$12=0,0,H43/H$12)</f>
        <v>0</v>
      </c>
      <c r="K43" s="1"/>
      <c r="L43" s="1">
        <f t="shared" ref="L43:L51" si="22">+D43-H43</f>
        <v>-8909.7900000000009</v>
      </c>
      <c r="M43" s="1"/>
      <c r="N43" s="5">
        <f t="shared" ref="N43:N51" si="23">IF(H43=0,0,L43/H43)</f>
        <v>-0.98093030936915127</v>
      </c>
      <c r="O43" s="14"/>
      <c r="P43" s="1">
        <f>SUM(OSRRefP22_2x_0)</f>
        <v>1106.06</v>
      </c>
      <c r="Q43" s="1"/>
      <c r="R43" s="5">
        <f t="shared" ref="R43:R51" si="24">IF(P$12=0,0,P43/P$12)</f>
        <v>0</v>
      </c>
      <c r="S43" s="1"/>
      <c r="T43" s="1">
        <f>SUM(OSRRefT22_2x_0)</f>
        <v>63680.999999999993</v>
      </c>
      <c r="U43" s="1"/>
      <c r="V43" s="5">
        <f t="shared" ref="V43:V51" si="25">IF(T$12=0,0,T43/T$12)</f>
        <v>0</v>
      </c>
      <c r="W43" s="1"/>
      <c r="X43" s="1">
        <f t="shared" ref="X43:X51" si="26">+P43-T43</f>
        <v>-62574.939999999995</v>
      </c>
      <c r="Y43" s="1"/>
      <c r="Z43" s="5">
        <f t="shared" ref="Z43:Z51" si="27">IF(T43=0,0,X43/T43)</f>
        <v>-0.98263124008731018</v>
      </c>
    </row>
    <row r="44" spans="1:26" s="24" customFormat="1" hidden="1" outlineLevel="2" x14ac:dyDescent="0.35">
      <c r="A44" s="29"/>
      <c r="B44" s="11" t="str">
        <f>CONCATENATE("          ", "6362", " - ", "ADVERTISING EXPENSE")</f>
        <v xml:space="preserve">          6362 - ADVERTISING EXPENSE</v>
      </c>
      <c r="C44" s="11"/>
      <c r="D44" s="7">
        <v>173.21</v>
      </c>
      <c r="E44" s="2"/>
      <c r="F44" s="6">
        <f t="shared" si="20"/>
        <v>0</v>
      </c>
      <c r="G44" s="2"/>
      <c r="H44" s="7">
        <v>9083</v>
      </c>
      <c r="I44" s="2"/>
      <c r="J44" s="6">
        <f t="shared" si="21"/>
        <v>0</v>
      </c>
      <c r="K44" s="2"/>
      <c r="L44" s="7">
        <f t="shared" si="22"/>
        <v>-8909.7900000000009</v>
      </c>
      <c r="M44" s="2"/>
      <c r="N44" s="6">
        <f t="shared" si="23"/>
        <v>-0.98093030936915127</v>
      </c>
      <c r="O44" s="11"/>
      <c r="P44" s="7">
        <v>1106.06</v>
      </c>
      <c r="Q44" s="2"/>
      <c r="R44" s="6">
        <f t="shared" si="24"/>
        <v>0</v>
      </c>
      <c r="S44" s="2"/>
      <c r="T44" s="7">
        <v>63680.999999999993</v>
      </c>
      <c r="U44" s="2"/>
      <c r="V44" s="6">
        <f t="shared" si="25"/>
        <v>0</v>
      </c>
      <c r="W44" s="2"/>
      <c r="X44" s="7">
        <f t="shared" si="26"/>
        <v>-62574.939999999995</v>
      </c>
      <c r="Y44" s="2"/>
      <c r="Z44" s="6">
        <f t="shared" si="27"/>
        <v>-0.98263124008731018</v>
      </c>
    </row>
    <row r="45" spans="1:26" s="28" customFormat="1" outlineLevel="1" collapsed="1" x14ac:dyDescent="0.3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SUM(OSRRefD22_3x_0)</f>
        <v>2078.09</v>
      </c>
      <c r="E45" s="1"/>
      <c r="F45" s="5">
        <f t="shared" si="20"/>
        <v>0</v>
      </c>
      <c r="G45" s="1"/>
      <c r="H45" s="1">
        <f>SUM(OSRRefH22_3x_0)</f>
        <v>15000</v>
      </c>
      <c r="I45" s="1"/>
      <c r="J45" s="5">
        <f t="shared" si="21"/>
        <v>0</v>
      </c>
      <c r="K45" s="1"/>
      <c r="L45" s="1">
        <f t="shared" si="22"/>
        <v>-12921.91</v>
      </c>
      <c r="M45" s="1"/>
      <c r="N45" s="5">
        <f t="shared" si="23"/>
        <v>-0.86146066666666665</v>
      </c>
      <c r="O45" s="14"/>
      <c r="P45" s="1">
        <f>SUM(OSRRefP22_3x_0)</f>
        <v>4982.67</v>
      </c>
      <c r="Q45" s="1"/>
      <c r="R45" s="5">
        <f t="shared" si="24"/>
        <v>0</v>
      </c>
      <c r="S45" s="1"/>
      <c r="T45" s="1">
        <f>SUM(OSRRefT22_3x_0)</f>
        <v>51000</v>
      </c>
      <c r="U45" s="1"/>
      <c r="V45" s="5">
        <f t="shared" si="25"/>
        <v>0</v>
      </c>
      <c r="W45" s="1"/>
      <c r="X45" s="1">
        <f t="shared" si="26"/>
        <v>-46017.33</v>
      </c>
      <c r="Y45" s="1"/>
      <c r="Z45" s="5">
        <f t="shared" si="27"/>
        <v>-0.90230058823529413</v>
      </c>
    </row>
    <row r="46" spans="1:26" s="24" customFormat="1" hidden="1" outlineLevel="2" x14ac:dyDescent="0.35">
      <c r="A46" s="29"/>
      <c r="B46" s="11" t="str">
        <f>CONCATENATE("          ", "6381", " - ", "BANK/CREDIT CARD FEES")</f>
        <v xml:space="preserve">          6381 - BANK/CREDIT CARD FEES</v>
      </c>
      <c r="C46" s="11"/>
      <c r="D46" s="7">
        <v>2078.09</v>
      </c>
      <c r="E46" s="2"/>
      <c r="F46" s="6">
        <f t="shared" si="20"/>
        <v>0</v>
      </c>
      <c r="G46" s="2"/>
      <c r="H46" s="7">
        <v>15000</v>
      </c>
      <c r="I46" s="2"/>
      <c r="J46" s="6">
        <f t="shared" si="21"/>
        <v>0</v>
      </c>
      <c r="K46" s="2"/>
      <c r="L46" s="7">
        <f t="shared" si="22"/>
        <v>-12921.91</v>
      </c>
      <c r="M46" s="2"/>
      <c r="N46" s="6">
        <f t="shared" si="23"/>
        <v>-0.86146066666666665</v>
      </c>
      <c r="O46" s="11"/>
      <c r="P46" s="7">
        <v>4982.67</v>
      </c>
      <c r="Q46" s="2"/>
      <c r="R46" s="6">
        <f t="shared" si="24"/>
        <v>0</v>
      </c>
      <c r="S46" s="2"/>
      <c r="T46" s="7">
        <v>51000</v>
      </c>
      <c r="U46" s="2"/>
      <c r="V46" s="6">
        <f t="shared" si="25"/>
        <v>0</v>
      </c>
      <c r="W46" s="2"/>
      <c r="X46" s="7">
        <f t="shared" si="26"/>
        <v>-46017.33</v>
      </c>
      <c r="Y46" s="2"/>
      <c r="Z46" s="6">
        <f t="shared" si="27"/>
        <v>-0.90230058823529413</v>
      </c>
    </row>
    <row r="47" spans="1:26" s="28" customFormat="1" outlineLevel="1" collapsed="1" x14ac:dyDescent="0.35">
      <c r="A47" s="27"/>
      <c r="B47" s="14" t="str">
        <f>CONCATENATE("     ","Board                                             ")</f>
        <v xml:space="preserve">     Board                                             </v>
      </c>
      <c r="C47" s="14"/>
      <c r="D47" s="1">
        <f>SUM(OSRRefD22_4x_0)</f>
        <v>1763</v>
      </c>
      <c r="E47" s="1"/>
      <c r="F47" s="5">
        <f t="shared" si="20"/>
        <v>0</v>
      </c>
      <c r="G47" s="1"/>
      <c r="H47" s="1">
        <f>SUM(OSRRefH22_4x_0)</f>
        <v>2437</v>
      </c>
      <c r="I47" s="1"/>
      <c r="J47" s="5">
        <f t="shared" si="21"/>
        <v>0</v>
      </c>
      <c r="K47" s="1"/>
      <c r="L47" s="1">
        <f t="shared" si="22"/>
        <v>-674</v>
      </c>
      <c r="M47" s="1"/>
      <c r="N47" s="5">
        <f t="shared" si="23"/>
        <v>-0.27656955272876488</v>
      </c>
      <c r="O47" s="14"/>
      <c r="P47" s="1">
        <f>SUM(OSRRefP22_4x_0)</f>
        <v>9599.99</v>
      </c>
      <c r="Q47" s="1"/>
      <c r="R47" s="5">
        <f t="shared" si="24"/>
        <v>0</v>
      </c>
      <c r="S47" s="1"/>
      <c r="T47" s="1">
        <f>SUM(OSRRefT22_4x_0)</f>
        <v>18959</v>
      </c>
      <c r="U47" s="1"/>
      <c r="V47" s="5">
        <f t="shared" si="25"/>
        <v>0</v>
      </c>
      <c r="W47" s="1"/>
      <c r="X47" s="1">
        <f t="shared" si="26"/>
        <v>-9359.01</v>
      </c>
      <c r="Y47" s="1"/>
      <c r="Z47" s="5">
        <f t="shared" si="27"/>
        <v>-0.49364470699931434</v>
      </c>
    </row>
    <row r="48" spans="1:26" s="24" customFormat="1" hidden="1" outlineLevel="2" x14ac:dyDescent="0.35">
      <c r="A48" s="29"/>
      <c r="B48" s="11" t="str">
        <f>CONCATENATE("          ", "6397", " - ", "BOARD EXPENSES")</f>
        <v xml:space="preserve">          6397 - BOARD EXPENSES</v>
      </c>
      <c r="C48" s="11"/>
      <c r="D48" s="7">
        <v>1763</v>
      </c>
      <c r="E48" s="2"/>
      <c r="F48" s="6">
        <f t="shared" si="20"/>
        <v>0</v>
      </c>
      <c r="G48" s="2"/>
      <c r="H48" s="7">
        <v>2437</v>
      </c>
      <c r="I48" s="2"/>
      <c r="J48" s="6">
        <f t="shared" si="21"/>
        <v>0</v>
      </c>
      <c r="K48" s="2"/>
      <c r="L48" s="7">
        <f t="shared" si="22"/>
        <v>-674</v>
      </c>
      <c r="M48" s="2"/>
      <c r="N48" s="6">
        <f t="shared" si="23"/>
        <v>-0.27656955272876488</v>
      </c>
      <c r="O48" s="11"/>
      <c r="P48" s="7">
        <v>9599.99</v>
      </c>
      <c r="Q48" s="2"/>
      <c r="R48" s="6">
        <f t="shared" si="24"/>
        <v>0</v>
      </c>
      <c r="S48" s="2"/>
      <c r="T48" s="7">
        <v>18959</v>
      </c>
      <c r="U48" s="2"/>
      <c r="V48" s="6">
        <f t="shared" si="25"/>
        <v>0</v>
      </c>
      <c r="W48" s="2"/>
      <c r="X48" s="7">
        <f t="shared" si="26"/>
        <v>-9359.01</v>
      </c>
      <c r="Y48" s="2"/>
      <c r="Z48" s="6">
        <f t="shared" si="27"/>
        <v>-0.49364470699931434</v>
      </c>
    </row>
    <row r="49" spans="1:26" s="28" customFormat="1" outlineLevel="1" collapsed="1" x14ac:dyDescent="0.35">
      <c r="A49" s="27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7139.05</v>
      </c>
      <c r="E49" s="1"/>
      <c r="F49" s="5">
        <f t="shared" si="20"/>
        <v>0</v>
      </c>
      <c r="G49" s="1"/>
      <c r="H49" s="1">
        <f>SUM(OSRRefH22_5x_0)</f>
        <v>7139</v>
      </c>
      <c r="I49" s="1"/>
      <c r="J49" s="5">
        <f t="shared" si="21"/>
        <v>0</v>
      </c>
      <c r="K49" s="1"/>
      <c r="L49" s="1">
        <f t="shared" si="22"/>
        <v>5.0000000000181899E-2</v>
      </c>
      <c r="M49" s="1"/>
      <c r="N49" s="5">
        <f t="shared" si="23"/>
        <v>7.0037820423283231E-6</v>
      </c>
      <c r="O49" s="14"/>
      <c r="P49" s="1">
        <f>SUM(OSRRefP22_5x_0)</f>
        <v>51543.87</v>
      </c>
      <c r="Q49" s="1"/>
      <c r="R49" s="5">
        <f t="shared" si="24"/>
        <v>0</v>
      </c>
      <c r="S49" s="1"/>
      <c r="T49" s="1">
        <f>SUM(OSRRefT22_5x_0)</f>
        <v>46281</v>
      </c>
      <c r="U49" s="1"/>
      <c r="V49" s="5">
        <f t="shared" si="25"/>
        <v>0</v>
      </c>
      <c r="W49" s="1"/>
      <c r="X49" s="1">
        <f t="shared" si="26"/>
        <v>5262.8700000000026</v>
      </c>
      <c r="Y49" s="1"/>
      <c r="Z49" s="5">
        <f t="shared" si="27"/>
        <v>0.11371556362222084</v>
      </c>
    </row>
    <row r="50" spans="1:26" s="24" customFormat="1" hidden="1" outlineLevel="2" x14ac:dyDescent="0.35">
      <c r="A50" s="29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7139.05</v>
      </c>
      <c r="E50" s="2"/>
      <c r="F50" s="6">
        <f t="shared" si="20"/>
        <v>0</v>
      </c>
      <c r="G50" s="2"/>
      <c r="H50" s="7">
        <v>7139</v>
      </c>
      <c r="I50" s="2"/>
      <c r="J50" s="6">
        <f t="shared" si="21"/>
        <v>0</v>
      </c>
      <c r="K50" s="2"/>
      <c r="L50" s="7">
        <f t="shared" si="22"/>
        <v>5.0000000000181899E-2</v>
      </c>
      <c r="M50" s="2"/>
      <c r="N50" s="6">
        <f t="shared" si="23"/>
        <v>7.0037820423283231E-6</v>
      </c>
      <c r="O50" s="11"/>
      <c r="P50" s="7">
        <v>51543.87</v>
      </c>
      <c r="Q50" s="2"/>
      <c r="R50" s="6">
        <f t="shared" si="24"/>
        <v>0</v>
      </c>
      <c r="S50" s="2"/>
      <c r="T50" s="7">
        <v>46181</v>
      </c>
      <c r="U50" s="2"/>
      <c r="V50" s="6">
        <f t="shared" si="25"/>
        <v>0</v>
      </c>
      <c r="W50" s="2"/>
      <c r="X50" s="7">
        <f t="shared" si="26"/>
        <v>5362.8700000000026</v>
      </c>
      <c r="Y50" s="2"/>
      <c r="Z50" s="6">
        <f t="shared" si="27"/>
        <v>0.11612719516684357</v>
      </c>
    </row>
    <row r="51" spans="1:26" s="24" customFormat="1" hidden="1" outlineLevel="2" x14ac:dyDescent="0.35">
      <c r="A51" s="29"/>
      <c r="B51" s="11" t="str">
        <f>CONCATENATE("          ", "6324", " - ", "FURNITURE + FIXT DEPRECIATION")</f>
        <v xml:space="preserve">          6324 - FURNITURE + FIXT DEPRECIATION</v>
      </c>
      <c r="C51" s="11"/>
      <c r="D51" s="7"/>
      <c r="E51" s="2"/>
      <c r="F51" s="6">
        <f t="shared" si="20"/>
        <v>0</v>
      </c>
      <c r="G51" s="2"/>
      <c r="H51" s="7"/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100</v>
      </c>
      <c r="U51" s="2"/>
      <c r="V51" s="6">
        <f t="shared" si="25"/>
        <v>0</v>
      </c>
      <c r="W51" s="2"/>
      <c r="X51" s="7">
        <f t="shared" si="26"/>
        <v>-100</v>
      </c>
      <c r="Y51" s="2"/>
      <c r="Z51" s="6">
        <f t="shared" si="27"/>
        <v>-1</v>
      </c>
    </row>
    <row r="52" spans="1:26" s="28" customFormat="1" outlineLevel="1" collapsed="1" x14ac:dyDescent="0.35">
      <c r="A52" s="27"/>
      <c r="B52" s="14" t="str">
        <f>CONCATENATE("     ","Donations                                         ")</f>
        <v xml:space="preserve">     Donations                                         </v>
      </c>
      <c r="C52" s="14"/>
      <c r="D52" s="1">
        <f>SUM(OSRRefD22_6x_0)</f>
        <v>0</v>
      </c>
      <c r="E52" s="1"/>
      <c r="F52" s="5">
        <f t="shared" ref="F52:F60" si="28">IF(D$12=0,0,D52/D$12)</f>
        <v>0</v>
      </c>
      <c r="G52" s="1"/>
      <c r="H52" s="1">
        <f>SUM(OSRRefH22_6x_0)</f>
        <v>6000</v>
      </c>
      <c r="I52" s="1"/>
      <c r="J52" s="5">
        <f t="shared" ref="J52:J60" si="29">IF(H$12=0,0,H52/H$12)</f>
        <v>0</v>
      </c>
      <c r="K52" s="1"/>
      <c r="L52" s="1">
        <f t="shared" ref="L52:L60" si="30">+D52-H52</f>
        <v>-6000</v>
      </c>
      <c r="M52" s="1"/>
      <c r="N52" s="5">
        <f t="shared" ref="N52:N60" si="31">IF(H52=0,0,L52/H52)</f>
        <v>-1</v>
      </c>
      <c r="O52" s="14"/>
      <c r="P52" s="1">
        <f>SUM(OSRRefP22_6x_0)</f>
        <v>25000</v>
      </c>
      <c r="Q52" s="1"/>
      <c r="R52" s="5">
        <f t="shared" ref="R52:R60" si="32">IF(P$12=0,0,P52/P$12)</f>
        <v>0</v>
      </c>
      <c r="S52" s="1"/>
      <c r="T52" s="1">
        <f>SUM(OSRRefT22_6x_0)</f>
        <v>40250</v>
      </c>
      <c r="U52" s="1"/>
      <c r="V52" s="5">
        <f t="shared" ref="V52:V60" si="33">IF(T$12=0,0,T52/T$12)</f>
        <v>0</v>
      </c>
      <c r="W52" s="1"/>
      <c r="X52" s="1">
        <f t="shared" ref="X52:X60" si="34">+P52-T52</f>
        <v>-15250</v>
      </c>
      <c r="Y52" s="1"/>
      <c r="Z52" s="5">
        <f t="shared" ref="Z52:Z60" si="35">IF(T52=0,0,X52/T52)</f>
        <v>-0.37888198757763975</v>
      </c>
    </row>
    <row r="53" spans="1:26" s="24" customFormat="1" hidden="1" outlineLevel="2" x14ac:dyDescent="0.35">
      <c r="A53" s="29"/>
      <c r="B53" s="11" t="str">
        <f>CONCATENATE("          ", "6399", " - ", "DONATION-ON CAMPUS")</f>
        <v xml:space="preserve">          6399 - DONATION-ON CAMPUS</v>
      </c>
      <c r="C53" s="11"/>
      <c r="D53" s="7"/>
      <c r="E53" s="2"/>
      <c r="F53" s="6">
        <f t="shared" si="28"/>
        <v>0</v>
      </c>
      <c r="G53" s="2"/>
      <c r="H53" s="7">
        <v>6000</v>
      </c>
      <c r="I53" s="2"/>
      <c r="J53" s="6">
        <f t="shared" si="29"/>
        <v>0</v>
      </c>
      <c r="K53" s="2"/>
      <c r="L53" s="7">
        <f t="shared" si="30"/>
        <v>-6000</v>
      </c>
      <c r="M53" s="2"/>
      <c r="N53" s="6">
        <f t="shared" si="31"/>
        <v>-1</v>
      </c>
      <c r="O53" s="11"/>
      <c r="P53" s="7">
        <v>25000</v>
      </c>
      <c r="Q53" s="2"/>
      <c r="R53" s="6">
        <f t="shared" si="32"/>
        <v>0</v>
      </c>
      <c r="S53" s="2"/>
      <c r="T53" s="7">
        <v>40250</v>
      </c>
      <c r="U53" s="2"/>
      <c r="V53" s="6">
        <f t="shared" si="33"/>
        <v>0</v>
      </c>
      <c r="W53" s="2"/>
      <c r="X53" s="7">
        <f t="shared" si="34"/>
        <v>-15250</v>
      </c>
      <c r="Y53" s="2"/>
      <c r="Z53" s="6">
        <f t="shared" si="35"/>
        <v>-0.37888198757763975</v>
      </c>
    </row>
    <row r="54" spans="1:26" s="28" customFormat="1" outlineLevel="1" collapsed="1" x14ac:dyDescent="0.35">
      <c r="A54" s="27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SUM(OSRRefD22_7x_0)</f>
        <v>0</v>
      </c>
      <c r="E54" s="1"/>
      <c r="F54" s="5">
        <f t="shared" si="28"/>
        <v>0</v>
      </c>
      <c r="G54" s="1"/>
      <c r="H54" s="1">
        <f>SUM(OSRRefH22_7x_0)</f>
        <v>0</v>
      </c>
      <c r="I54" s="1"/>
      <c r="J54" s="5">
        <f t="shared" si="29"/>
        <v>0</v>
      </c>
      <c r="K54" s="1"/>
      <c r="L54" s="1">
        <f t="shared" si="30"/>
        <v>0</v>
      </c>
      <c r="M54" s="1"/>
      <c r="N54" s="5">
        <f t="shared" si="31"/>
        <v>0</v>
      </c>
      <c r="O54" s="14"/>
      <c r="P54" s="1">
        <f>SUM(OSRRefP22_7x_0)</f>
        <v>81.56</v>
      </c>
      <c r="Q54" s="1"/>
      <c r="R54" s="5">
        <f t="shared" si="32"/>
        <v>0</v>
      </c>
      <c r="S54" s="1"/>
      <c r="T54" s="1">
        <f>SUM(OSRRefT22_7x_0)</f>
        <v>4200</v>
      </c>
      <c r="U54" s="1"/>
      <c r="V54" s="5">
        <f t="shared" si="33"/>
        <v>0</v>
      </c>
      <c r="W54" s="1"/>
      <c r="X54" s="1">
        <f t="shared" si="34"/>
        <v>-4118.4399999999996</v>
      </c>
      <c r="Y54" s="1"/>
      <c r="Z54" s="5">
        <f t="shared" si="35"/>
        <v>-0.98058095238095233</v>
      </c>
    </row>
    <row r="55" spans="1:26" s="24" customFormat="1" hidden="1" outlineLevel="2" x14ac:dyDescent="0.35">
      <c r="A55" s="29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28"/>
        <v>0</v>
      </c>
      <c r="G55" s="2"/>
      <c r="H55" s="7">
        <v>0</v>
      </c>
      <c r="I55" s="2"/>
      <c r="J55" s="6">
        <f t="shared" si="29"/>
        <v>0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>
        <v>81.56</v>
      </c>
      <c r="Q55" s="2"/>
      <c r="R55" s="6">
        <f t="shared" si="32"/>
        <v>0</v>
      </c>
      <c r="S55" s="2"/>
      <c r="T55" s="7">
        <v>4200</v>
      </c>
      <c r="U55" s="2"/>
      <c r="V55" s="6">
        <f t="shared" si="33"/>
        <v>0</v>
      </c>
      <c r="W55" s="2"/>
      <c r="X55" s="7">
        <f t="shared" si="34"/>
        <v>-4118.4399999999996</v>
      </c>
      <c r="Y55" s="2"/>
      <c r="Z55" s="6">
        <f t="shared" si="35"/>
        <v>-0.98058095238095233</v>
      </c>
    </row>
    <row r="56" spans="1:26" s="28" customFormat="1" outlineLevel="1" collapsed="1" x14ac:dyDescent="0.35">
      <c r="A56" s="27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SUM(OSRRefD22_8x_0)</f>
        <v>208.97</v>
      </c>
      <c r="E56" s="1"/>
      <c r="F56" s="5">
        <f t="shared" si="28"/>
        <v>0</v>
      </c>
      <c r="G56" s="1"/>
      <c r="H56" s="1">
        <f>SUM(OSRRefH22_8x_0)</f>
        <v>291</v>
      </c>
      <c r="I56" s="1"/>
      <c r="J56" s="5">
        <f t="shared" si="29"/>
        <v>0</v>
      </c>
      <c r="K56" s="1"/>
      <c r="L56" s="1">
        <f t="shared" si="30"/>
        <v>-82.03</v>
      </c>
      <c r="M56" s="1"/>
      <c r="N56" s="5">
        <f t="shared" si="31"/>
        <v>-0.28189003436426119</v>
      </c>
      <c r="O56" s="14"/>
      <c r="P56" s="1">
        <f>SUM(OSRRefP22_8x_0)</f>
        <v>1462.79</v>
      </c>
      <c r="Q56" s="1"/>
      <c r="R56" s="5">
        <f t="shared" si="32"/>
        <v>0</v>
      </c>
      <c r="S56" s="1"/>
      <c r="T56" s="1">
        <f>SUM(OSRRefT22_8x_0)</f>
        <v>1955</v>
      </c>
      <c r="U56" s="1"/>
      <c r="V56" s="5">
        <f t="shared" si="33"/>
        <v>0</v>
      </c>
      <c r="W56" s="1"/>
      <c r="X56" s="1">
        <f t="shared" si="34"/>
        <v>-492.21000000000004</v>
      </c>
      <c r="Y56" s="1"/>
      <c r="Z56" s="5">
        <f t="shared" si="35"/>
        <v>-0.25176982097186701</v>
      </c>
    </row>
    <row r="57" spans="1:26" s="24" customFormat="1" hidden="1" outlineLevel="2" x14ac:dyDescent="0.35">
      <c r="A57" s="29"/>
      <c r="B57" s="11" t="str">
        <f>CONCATENATE("          ", "6351", " - ", "EQUIPMENT RENTAL")</f>
        <v xml:space="preserve">          6351 - EQUIPMENT RENTAL</v>
      </c>
      <c r="C57" s="11"/>
      <c r="D57" s="7">
        <v>208.97</v>
      </c>
      <c r="E57" s="2"/>
      <c r="F57" s="6">
        <f t="shared" si="28"/>
        <v>0</v>
      </c>
      <c r="G57" s="2"/>
      <c r="H57" s="7">
        <v>291</v>
      </c>
      <c r="I57" s="2"/>
      <c r="J57" s="6">
        <f t="shared" si="29"/>
        <v>0</v>
      </c>
      <c r="K57" s="2"/>
      <c r="L57" s="7">
        <f t="shared" si="30"/>
        <v>-82.03</v>
      </c>
      <c r="M57" s="2"/>
      <c r="N57" s="6">
        <f t="shared" si="31"/>
        <v>-0.28189003436426119</v>
      </c>
      <c r="O57" s="11"/>
      <c r="P57" s="7">
        <v>1462.79</v>
      </c>
      <c r="Q57" s="2"/>
      <c r="R57" s="6">
        <f t="shared" si="32"/>
        <v>0</v>
      </c>
      <c r="S57" s="2"/>
      <c r="T57" s="7">
        <v>1955</v>
      </c>
      <c r="U57" s="2"/>
      <c r="V57" s="6">
        <f t="shared" si="33"/>
        <v>0</v>
      </c>
      <c r="W57" s="2"/>
      <c r="X57" s="7">
        <f t="shared" si="34"/>
        <v>-492.21000000000004</v>
      </c>
      <c r="Y57" s="2"/>
      <c r="Z57" s="6">
        <f t="shared" si="35"/>
        <v>-0.25176982097186701</v>
      </c>
    </row>
    <row r="58" spans="1:26" s="28" customFormat="1" outlineLevel="1" collapsed="1" x14ac:dyDescent="0.35">
      <c r="A58" s="27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SUM(OSRRefD22_9x_0)</f>
        <v>114.28</v>
      </c>
      <c r="E58" s="1"/>
      <c r="F58" s="5">
        <f t="shared" si="28"/>
        <v>0</v>
      </c>
      <c r="G58" s="1"/>
      <c r="H58" s="1">
        <f>SUM(OSRRefH22_9x_0)</f>
        <v>198</v>
      </c>
      <c r="I58" s="1"/>
      <c r="J58" s="5">
        <f t="shared" si="29"/>
        <v>0</v>
      </c>
      <c r="K58" s="1"/>
      <c r="L58" s="1">
        <f t="shared" si="30"/>
        <v>-83.72</v>
      </c>
      <c r="M58" s="1"/>
      <c r="N58" s="5">
        <f t="shared" si="31"/>
        <v>-0.42282828282828283</v>
      </c>
      <c r="O58" s="14"/>
      <c r="P58" s="1">
        <f>SUM(OSRRefP22_9x_0)</f>
        <v>895.44999999999993</v>
      </c>
      <c r="Q58" s="1"/>
      <c r="R58" s="5">
        <f t="shared" si="32"/>
        <v>0</v>
      </c>
      <c r="S58" s="1"/>
      <c r="T58" s="1">
        <f>SUM(OSRRefT22_9x_0)</f>
        <v>1386</v>
      </c>
      <c r="U58" s="1"/>
      <c r="V58" s="5">
        <f t="shared" si="33"/>
        <v>0</v>
      </c>
      <c r="W58" s="1"/>
      <c r="X58" s="1">
        <f t="shared" si="34"/>
        <v>-490.55000000000007</v>
      </c>
      <c r="Y58" s="1"/>
      <c r="Z58" s="5">
        <f t="shared" si="35"/>
        <v>-0.35393217893217899</v>
      </c>
    </row>
    <row r="59" spans="1:26" s="24" customFormat="1" hidden="1" outlineLevel="2" x14ac:dyDescent="0.35">
      <c r="A59" s="29"/>
      <c r="B59" s="11" t="str">
        <f>CONCATENATE("          ", "6305", " - ", "FREIGHT OUT")</f>
        <v xml:space="preserve">          6305 - FREIGHT OUT</v>
      </c>
      <c r="C59" s="11"/>
      <c r="D59" s="7"/>
      <c r="E59" s="2"/>
      <c r="F59" s="6">
        <f t="shared" si="28"/>
        <v>0</v>
      </c>
      <c r="G59" s="2"/>
      <c r="H59" s="7"/>
      <c r="I59" s="2"/>
      <c r="J59" s="6">
        <f t="shared" si="29"/>
        <v>0</v>
      </c>
      <c r="K59" s="2"/>
      <c r="L59" s="7">
        <f t="shared" si="30"/>
        <v>0</v>
      </c>
      <c r="M59" s="2"/>
      <c r="N59" s="6">
        <f t="shared" si="31"/>
        <v>0</v>
      </c>
      <c r="O59" s="11"/>
      <c r="P59" s="7">
        <v>5.41</v>
      </c>
      <c r="Q59" s="2"/>
      <c r="R59" s="6">
        <f t="shared" si="32"/>
        <v>0</v>
      </c>
      <c r="S59" s="2"/>
      <c r="T59" s="7"/>
      <c r="U59" s="2"/>
      <c r="V59" s="6">
        <f t="shared" si="33"/>
        <v>0</v>
      </c>
      <c r="W59" s="2"/>
      <c r="X59" s="7">
        <f t="shared" si="34"/>
        <v>5.41</v>
      </c>
      <c r="Y59" s="2"/>
      <c r="Z59" s="6">
        <f t="shared" si="35"/>
        <v>0</v>
      </c>
    </row>
    <row r="60" spans="1:26" s="24" customFormat="1" hidden="1" outlineLevel="2" x14ac:dyDescent="0.35">
      <c r="A60" s="29"/>
      <c r="B60" s="11" t="str">
        <f>CONCATENATE("          ", "6307", " - ", "POSTAGE")</f>
        <v xml:space="preserve">          6307 - POSTAGE</v>
      </c>
      <c r="C60" s="11"/>
      <c r="D60" s="7">
        <v>114.28</v>
      </c>
      <c r="E60" s="2"/>
      <c r="F60" s="6">
        <f t="shared" si="28"/>
        <v>0</v>
      </c>
      <c r="G60" s="2"/>
      <c r="H60" s="7">
        <v>198</v>
      </c>
      <c r="I60" s="2"/>
      <c r="J60" s="6">
        <f t="shared" si="29"/>
        <v>0</v>
      </c>
      <c r="K60" s="2"/>
      <c r="L60" s="7">
        <f t="shared" si="30"/>
        <v>-83.72</v>
      </c>
      <c r="M60" s="2"/>
      <c r="N60" s="6">
        <f t="shared" si="31"/>
        <v>-0.42282828282828283</v>
      </c>
      <c r="O60" s="11"/>
      <c r="P60" s="7">
        <v>890.04</v>
      </c>
      <c r="Q60" s="2"/>
      <c r="R60" s="6">
        <f t="shared" si="32"/>
        <v>0</v>
      </c>
      <c r="S60" s="2"/>
      <c r="T60" s="7">
        <v>1386</v>
      </c>
      <c r="U60" s="2"/>
      <c r="V60" s="6">
        <f t="shared" si="33"/>
        <v>0</v>
      </c>
      <c r="W60" s="2"/>
      <c r="X60" s="7">
        <f t="shared" si="34"/>
        <v>-495.96000000000004</v>
      </c>
      <c r="Y60" s="2"/>
      <c r="Z60" s="6">
        <f t="shared" si="35"/>
        <v>-0.35783549783549784</v>
      </c>
    </row>
    <row r="61" spans="1:26" s="28" customFormat="1" outlineLevel="1" collapsed="1" x14ac:dyDescent="0.35">
      <c r="A61" s="27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SUM(OSRRefD22_10x_0)</f>
        <v>261.2</v>
      </c>
      <c r="E61" s="1"/>
      <c r="F61" s="5">
        <f t="shared" ref="F61:F65" si="36">IF(D$12=0,0,D61/D$12)</f>
        <v>0</v>
      </c>
      <c r="G61" s="1"/>
      <c r="H61" s="1">
        <f>SUM(OSRRefH22_10x_0)</f>
        <v>333</v>
      </c>
      <c r="I61" s="1"/>
      <c r="J61" s="5">
        <f t="shared" ref="J61:J65" si="37">IF(H$12=0,0,H61/H$12)</f>
        <v>0</v>
      </c>
      <c r="K61" s="1"/>
      <c r="L61" s="1">
        <f t="shared" ref="L61:L65" si="38">+D61-H61</f>
        <v>-71.800000000000011</v>
      </c>
      <c r="M61" s="1"/>
      <c r="N61" s="5">
        <f t="shared" ref="N61:N65" si="39">IF(H61=0,0,L61/H61)</f>
        <v>-0.21561561561561565</v>
      </c>
      <c r="O61" s="14"/>
      <c r="P61" s="1">
        <f>SUM(OSRRefP22_10x_0)</f>
        <v>427.74</v>
      </c>
      <c r="Q61" s="1"/>
      <c r="R61" s="5">
        <f t="shared" ref="R61:R65" si="40">IF(P$12=0,0,P61/P$12)</f>
        <v>0</v>
      </c>
      <c r="S61" s="1"/>
      <c r="T61" s="1">
        <f>SUM(OSRRefT22_10x_0)</f>
        <v>3731</v>
      </c>
      <c r="U61" s="1"/>
      <c r="V61" s="5">
        <f t="shared" ref="V61:V65" si="41">IF(T$12=0,0,T61/T$12)</f>
        <v>0</v>
      </c>
      <c r="W61" s="1"/>
      <c r="X61" s="1">
        <f t="shared" ref="X61:X65" si="42">+P61-T61</f>
        <v>-3303.26</v>
      </c>
      <c r="Y61" s="1"/>
      <c r="Z61" s="5">
        <f t="shared" ref="Z61:Z65" si="43">IF(T61=0,0,X61/T61)</f>
        <v>-0.88535513267220589</v>
      </c>
    </row>
    <row r="62" spans="1:26" s="24" customFormat="1" hidden="1" outlineLevel="2" x14ac:dyDescent="0.35">
      <c r="A62" s="29"/>
      <c r="B62" s="11" t="str">
        <f>CONCATENATE("          ", "6279", " - ", "GENERAL EXPENSE")</f>
        <v xml:space="preserve">          6279 - GENERAL EXPENSE</v>
      </c>
      <c r="C62" s="11"/>
      <c r="D62" s="7">
        <v>261.2</v>
      </c>
      <c r="E62" s="2"/>
      <c r="F62" s="6">
        <f t="shared" si="36"/>
        <v>0</v>
      </c>
      <c r="G62" s="2"/>
      <c r="H62" s="7">
        <v>333</v>
      </c>
      <c r="I62" s="2"/>
      <c r="J62" s="6">
        <f t="shared" si="37"/>
        <v>0</v>
      </c>
      <c r="K62" s="2"/>
      <c r="L62" s="7">
        <f t="shared" si="38"/>
        <v>-71.800000000000011</v>
      </c>
      <c r="M62" s="2"/>
      <c r="N62" s="6">
        <f t="shared" si="39"/>
        <v>-0.21561561561561565</v>
      </c>
      <c r="O62" s="11"/>
      <c r="P62" s="7">
        <v>427.74</v>
      </c>
      <c r="Q62" s="2"/>
      <c r="R62" s="6">
        <f t="shared" si="40"/>
        <v>0</v>
      </c>
      <c r="S62" s="2"/>
      <c r="T62" s="7">
        <v>3731</v>
      </c>
      <c r="U62" s="2"/>
      <c r="V62" s="6">
        <f t="shared" si="41"/>
        <v>0</v>
      </c>
      <c r="W62" s="2"/>
      <c r="X62" s="7">
        <f t="shared" si="42"/>
        <v>-3303.26</v>
      </c>
      <c r="Y62" s="2"/>
      <c r="Z62" s="6">
        <f t="shared" si="43"/>
        <v>-0.88535513267220589</v>
      </c>
    </row>
    <row r="63" spans="1:26" s="28" customFormat="1" outlineLevel="1" collapsed="1" x14ac:dyDescent="0.35">
      <c r="A63" s="27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SUM(OSRRefD22_11x_0)</f>
        <v>393.67</v>
      </c>
      <c r="E63" s="1"/>
      <c r="F63" s="5">
        <f t="shared" si="36"/>
        <v>0</v>
      </c>
      <c r="G63" s="1"/>
      <c r="H63" s="1">
        <f>SUM(OSRRefH22_11x_0)</f>
        <v>432</v>
      </c>
      <c r="I63" s="1"/>
      <c r="J63" s="5">
        <f t="shared" si="37"/>
        <v>0</v>
      </c>
      <c r="K63" s="1"/>
      <c r="L63" s="1">
        <f t="shared" si="38"/>
        <v>-38.329999999999984</v>
      </c>
      <c r="M63" s="1"/>
      <c r="N63" s="5">
        <f t="shared" si="39"/>
        <v>-8.8726851851851821E-2</v>
      </c>
      <c r="O63" s="14"/>
      <c r="P63" s="1">
        <f>SUM(OSRRefP22_11x_0)</f>
        <v>2755.69</v>
      </c>
      <c r="Q63" s="1"/>
      <c r="R63" s="5">
        <f t="shared" si="40"/>
        <v>0</v>
      </c>
      <c r="S63" s="1"/>
      <c r="T63" s="1">
        <f>SUM(OSRRefT22_11x_0)</f>
        <v>4343</v>
      </c>
      <c r="U63" s="1"/>
      <c r="V63" s="5">
        <f t="shared" si="41"/>
        <v>0</v>
      </c>
      <c r="W63" s="1"/>
      <c r="X63" s="1">
        <f t="shared" si="42"/>
        <v>-1587.31</v>
      </c>
      <c r="Y63" s="1"/>
      <c r="Z63" s="5">
        <f t="shared" si="43"/>
        <v>-0.36548699055952105</v>
      </c>
    </row>
    <row r="64" spans="1:26" s="24" customFormat="1" hidden="1" outlineLevel="2" x14ac:dyDescent="0.35">
      <c r="A64" s="29"/>
      <c r="B64" s="11" t="str">
        <f>CONCATENATE("          ", "6312", " - ", "FIRE &amp; THEFT INSURANCE")</f>
        <v xml:space="preserve">          6312 - FIRE &amp; THEFT INSURANCE</v>
      </c>
      <c r="C64" s="11"/>
      <c r="D64" s="7"/>
      <c r="E64" s="2"/>
      <c r="F64" s="6">
        <f t="shared" si="36"/>
        <v>0</v>
      </c>
      <c r="G64" s="2"/>
      <c r="H64" s="7"/>
      <c r="I64" s="2"/>
      <c r="J64" s="6">
        <f t="shared" si="37"/>
        <v>0</v>
      </c>
      <c r="K64" s="2"/>
      <c r="L64" s="7">
        <f t="shared" si="38"/>
        <v>0</v>
      </c>
      <c r="M64" s="2"/>
      <c r="N64" s="6">
        <f t="shared" si="39"/>
        <v>0</v>
      </c>
      <c r="O64" s="11"/>
      <c r="P64" s="7"/>
      <c r="Q64" s="2"/>
      <c r="R64" s="6">
        <f t="shared" si="40"/>
        <v>0</v>
      </c>
      <c r="S64" s="2"/>
      <c r="T64" s="7">
        <v>780</v>
      </c>
      <c r="U64" s="2"/>
      <c r="V64" s="6">
        <f t="shared" si="41"/>
        <v>0</v>
      </c>
      <c r="W64" s="2"/>
      <c r="X64" s="7">
        <f t="shared" si="42"/>
        <v>-780</v>
      </c>
      <c r="Y64" s="2"/>
      <c r="Z64" s="6">
        <f t="shared" si="43"/>
        <v>-1</v>
      </c>
    </row>
    <row r="65" spans="1:26" s="24" customFormat="1" hidden="1" outlineLevel="2" x14ac:dyDescent="0.35">
      <c r="A65" s="29"/>
      <c r="B65" s="11" t="str">
        <f>CONCATENATE("          ", "6314", " - ", "LIABILITY INSURANCE")</f>
        <v xml:space="preserve">          6314 - LIABILITY INSURANCE</v>
      </c>
      <c r="C65" s="11"/>
      <c r="D65" s="7">
        <v>393.67</v>
      </c>
      <c r="E65" s="2"/>
      <c r="F65" s="6">
        <f t="shared" si="36"/>
        <v>0</v>
      </c>
      <c r="G65" s="2"/>
      <c r="H65" s="7">
        <v>432</v>
      </c>
      <c r="I65" s="2"/>
      <c r="J65" s="6">
        <f t="shared" si="37"/>
        <v>0</v>
      </c>
      <c r="K65" s="2"/>
      <c r="L65" s="7">
        <f t="shared" si="38"/>
        <v>-38.329999999999984</v>
      </c>
      <c r="M65" s="2"/>
      <c r="N65" s="6">
        <f t="shared" si="39"/>
        <v>-8.8726851851851821E-2</v>
      </c>
      <c r="O65" s="11"/>
      <c r="P65" s="7">
        <v>2755.69</v>
      </c>
      <c r="Q65" s="2"/>
      <c r="R65" s="6">
        <f t="shared" si="40"/>
        <v>0</v>
      </c>
      <c r="S65" s="2"/>
      <c r="T65" s="7">
        <v>3563</v>
      </c>
      <c r="U65" s="2"/>
      <c r="V65" s="6">
        <f t="shared" si="41"/>
        <v>0</v>
      </c>
      <c r="W65" s="2"/>
      <c r="X65" s="7">
        <f t="shared" si="42"/>
        <v>-807.31</v>
      </c>
      <c r="Y65" s="2"/>
      <c r="Z65" s="6">
        <f t="shared" si="43"/>
        <v>-0.22658153241650295</v>
      </c>
    </row>
    <row r="66" spans="1:26" s="28" customFormat="1" outlineLevel="1" collapsed="1" x14ac:dyDescent="0.35">
      <c r="A66" s="27"/>
      <c r="B66" s="14" t="str">
        <f>CONCATENATE("     ","Professional Services                             ")</f>
        <v xml:space="preserve">     Professional Services                             </v>
      </c>
      <c r="C66" s="14"/>
      <c r="D66" s="1">
        <f>SUM(OSRRefD22_12x_0)</f>
        <v>14763.05</v>
      </c>
      <c r="E66" s="1"/>
      <c r="F66" s="5">
        <f t="shared" ref="F66:F70" si="44">IF(D$12=0,0,D66/D$12)</f>
        <v>0</v>
      </c>
      <c r="G66" s="1"/>
      <c r="H66" s="1">
        <f>SUM(OSRRefH22_12x_0)</f>
        <v>15833</v>
      </c>
      <c r="I66" s="1"/>
      <c r="J66" s="5">
        <f t="shared" ref="J66:J70" si="45">IF(H$12=0,0,H66/H$12)</f>
        <v>0</v>
      </c>
      <c r="K66" s="1"/>
      <c r="L66" s="1">
        <f t="shared" ref="L66:L70" si="46">+D66-H66</f>
        <v>-1069.9500000000007</v>
      </c>
      <c r="M66" s="1"/>
      <c r="N66" s="5">
        <f t="shared" ref="N66:N70" si="47">IF(H66=0,0,L66/H66)</f>
        <v>-6.757721215183482E-2</v>
      </c>
      <c r="O66" s="14"/>
      <c r="P66" s="1">
        <f>SUM(OSRRefP22_12x_0)</f>
        <v>93456.37000000001</v>
      </c>
      <c r="Q66" s="1"/>
      <c r="R66" s="5">
        <f t="shared" ref="R66:R70" si="48">IF(P$12=0,0,P66/P$12)</f>
        <v>0</v>
      </c>
      <c r="S66" s="1"/>
      <c r="T66" s="1">
        <f>SUM(OSRRefT22_12x_0)</f>
        <v>131831</v>
      </c>
      <c r="U66" s="1"/>
      <c r="V66" s="5">
        <f t="shared" ref="V66:V70" si="49">IF(T$12=0,0,T66/T$12)</f>
        <v>0</v>
      </c>
      <c r="W66" s="1"/>
      <c r="X66" s="1">
        <f t="shared" ref="X66:X70" si="50">+P66-T66</f>
        <v>-38374.62999999999</v>
      </c>
      <c r="Y66" s="1"/>
      <c r="Z66" s="5">
        <f t="shared" ref="Z66:Z70" si="51">IF(T66=0,0,X66/T66)</f>
        <v>-0.29108957680666908</v>
      </c>
    </row>
    <row r="67" spans="1:26" s="24" customFormat="1" hidden="1" outlineLevel="2" x14ac:dyDescent="0.35">
      <c r="A67" s="29"/>
      <c r="B67" s="11" t="str">
        <f>CONCATENATE("          ", "6331", " - ", "INDIRECT COSTS-AUXILIARY ORGAN")</f>
        <v xml:space="preserve">          6331 - INDIRECT COSTS-AUXILIARY ORGAN</v>
      </c>
      <c r="C67" s="11"/>
      <c r="D67" s="7">
        <v>11585.75</v>
      </c>
      <c r="E67" s="2"/>
      <c r="F67" s="6">
        <f t="shared" si="44"/>
        <v>0</v>
      </c>
      <c r="G67" s="2"/>
      <c r="H67" s="7">
        <v>13500</v>
      </c>
      <c r="I67" s="2"/>
      <c r="J67" s="6">
        <f t="shared" si="45"/>
        <v>0</v>
      </c>
      <c r="K67" s="2"/>
      <c r="L67" s="7">
        <f t="shared" si="46"/>
        <v>-1914.25</v>
      </c>
      <c r="M67" s="2"/>
      <c r="N67" s="6">
        <f t="shared" si="47"/>
        <v>-0.14179629629629631</v>
      </c>
      <c r="O67" s="11"/>
      <c r="P67" s="7">
        <v>80832.25</v>
      </c>
      <c r="Q67" s="2"/>
      <c r="R67" s="6">
        <f t="shared" si="48"/>
        <v>0</v>
      </c>
      <c r="S67" s="2"/>
      <c r="T67" s="7">
        <v>89500</v>
      </c>
      <c r="U67" s="2"/>
      <c r="V67" s="6">
        <f t="shared" si="49"/>
        <v>0</v>
      </c>
      <c r="W67" s="2"/>
      <c r="X67" s="7">
        <f t="shared" si="50"/>
        <v>-8667.75</v>
      </c>
      <c r="Y67" s="2"/>
      <c r="Z67" s="6">
        <f t="shared" si="51"/>
        <v>-9.68463687150838E-2</v>
      </c>
    </row>
    <row r="68" spans="1:26" s="24" customFormat="1" hidden="1" outlineLevel="2" x14ac:dyDescent="0.35">
      <c r="A68" s="29"/>
      <c r="B68" s="11" t="str">
        <f>CONCATENATE("          ", "6332", " - ", "CONSULTANT FEES")</f>
        <v xml:space="preserve">          6332 - CONSULTANT FEES</v>
      </c>
      <c r="C68" s="11"/>
      <c r="D68" s="7"/>
      <c r="E68" s="2"/>
      <c r="F68" s="6">
        <f t="shared" si="44"/>
        <v>0</v>
      </c>
      <c r="G68" s="2"/>
      <c r="H68" s="7">
        <v>250</v>
      </c>
      <c r="I68" s="2"/>
      <c r="J68" s="6">
        <f t="shared" si="45"/>
        <v>0</v>
      </c>
      <c r="K68" s="2"/>
      <c r="L68" s="7">
        <f t="shared" si="46"/>
        <v>-250</v>
      </c>
      <c r="M68" s="2"/>
      <c r="N68" s="6">
        <f t="shared" si="47"/>
        <v>-1</v>
      </c>
      <c r="O68" s="11"/>
      <c r="P68" s="7"/>
      <c r="Q68" s="2"/>
      <c r="R68" s="6">
        <f t="shared" si="48"/>
        <v>0</v>
      </c>
      <c r="S68" s="2"/>
      <c r="T68" s="7">
        <v>19750</v>
      </c>
      <c r="U68" s="2"/>
      <c r="V68" s="6">
        <f t="shared" si="49"/>
        <v>0</v>
      </c>
      <c r="W68" s="2"/>
      <c r="X68" s="7">
        <f t="shared" si="50"/>
        <v>-19750</v>
      </c>
      <c r="Y68" s="2"/>
      <c r="Z68" s="6">
        <f t="shared" si="51"/>
        <v>-1</v>
      </c>
    </row>
    <row r="69" spans="1:26" s="24" customFormat="1" hidden="1" outlineLevel="2" x14ac:dyDescent="0.35">
      <c r="A69" s="29"/>
      <c r="B69" s="11" t="str">
        <f>CONCATENATE("          ", "6334", " - ", "LEGAL COUNCIL EXPENSE")</f>
        <v xml:space="preserve">          6334 - LEGAL COUNCIL EXPENSE</v>
      </c>
      <c r="C69" s="11"/>
      <c r="D69" s="7">
        <v>1225</v>
      </c>
      <c r="E69" s="2"/>
      <c r="F69" s="6">
        <f t="shared" si="44"/>
        <v>0</v>
      </c>
      <c r="G69" s="2"/>
      <c r="H69" s="7">
        <v>833</v>
      </c>
      <c r="I69" s="2"/>
      <c r="J69" s="6">
        <f t="shared" si="45"/>
        <v>0</v>
      </c>
      <c r="K69" s="2"/>
      <c r="L69" s="7">
        <f t="shared" si="46"/>
        <v>392</v>
      </c>
      <c r="M69" s="2"/>
      <c r="N69" s="6">
        <f t="shared" si="47"/>
        <v>0.47058823529411764</v>
      </c>
      <c r="O69" s="11"/>
      <c r="P69" s="7">
        <v>6254.24</v>
      </c>
      <c r="Q69" s="2"/>
      <c r="R69" s="6">
        <f t="shared" si="48"/>
        <v>0</v>
      </c>
      <c r="S69" s="2"/>
      <c r="T69" s="7">
        <v>8831</v>
      </c>
      <c r="U69" s="2"/>
      <c r="V69" s="6">
        <f t="shared" si="49"/>
        <v>0</v>
      </c>
      <c r="W69" s="2"/>
      <c r="X69" s="7">
        <f t="shared" si="50"/>
        <v>-2576.7600000000002</v>
      </c>
      <c r="Y69" s="2"/>
      <c r="Z69" s="6">
        <f t="shared" si="51"/>
        <v>-0.29178575472766394</v>
      </c>
    </row>
    <row r="70" spans="1:26" s="24" customFormat="1" hidden="1" outlineLevel="2" x14ac:dyDescent="0.35">
      <c r="A70" s="29"/>
      <c r="B70" s="11" t="str">
        <f>CONCATENATE("          ", "6336", " - ", "PROFESSIONAL SERVICES")</f>
        <v xml:space="preserve">          6336 - PROFESSIONAL SERVICES</v>
      </c>
      <c r="C70" s="11"/>
      <c r="D70" s="7">
        <v>1952.3</v>
      </c>
      <c r="E70" s="2"/>
      <c r="F70" s="6">
        <f t="shared" si="44"/>
        <v>0</v>
      </c>
      <c r="G70" s="2"/>
      <c r="H70" s="7">
        <v>1250</v>
      </c>
      <c r="I70" s="2"/>
      <c r="J70" s="6">
        <f t="shared" si="45"/>
        <v>0</v>
      </c>
      <c r="K70" s="2"/>
      <c r="L70" s="7">
        <f t="shared" si="46"/>
        <v>702.3</v>
      </c>
      <c r="M70" s="2"/>
      <c r="N70" s="6">
        <f t="shared" si="47"/>
        <v>0.56184000000000001</v>
      </c>
      <c r="O70" s="11"/>
      <c r="P70" s="7">
        <v>6369.88</v>
      </c>
      <c r="Q70" s="2"/>
      <c r="R70" s="6">
        <f t="shared" si="48"/>
        <v>0</v>
      </c>
      <c r="S70" s="2"/>
      <c r="T70" s="7">
        <v>13750</v>
      </c>
      <c r="U70" s="2"/>
      <c r="V70" s="6">
        <f t="shared" si="49"/>
        <v>0</v>
      </c>
      <c r="W70" s="2"/>
      <c r="X70" s="7">
        <f t="shared" si="50"/>
        <v>-7380.12</v>
      </c>
      <c r="Y70" s="2"/>
      <c r="Z70" s="6">
        <f t="shared" si="51"/>
        <v>-0.53673599999999999</v>
      </c>
    </row>
    <row r="71" spans="1:26" s="28" customFormat="1" outlineLevel="1" collapsed="1" x14ac:dyDescent="0.35">
      <c r="A71" s="27"/>
      <c r="B71" s="14" t="str">
        <f>CONCATENATE("     ","Repair and Maintenance                            ")</f>
        <v xml:space="preserve">     Repair and Maintenance                            </v>
      </c>
      <c r="C71" s="14"/>
      <c r="D71" s="1">
        <f>SUM(OSRRefD22_13x_0)</f>
        <v>24215.309999999998</v>
      </c>
      <c r="E71" s="1"/>
      <c r="F71" s="5">
        <f t="shared" ref="F71:F75" si="52">IF(D$12=0,0,D71/D$12)</f>
        <v>0</v>
      </c>
      <c r="G71" s="1"/>
      <c r="H71" s="1">
        <f>SUM(OSRRefH22_13x_0)</f>
        <v>26402</v>
      </c>
      <c r="I71" s="1"/>
      <c r="J71" s="5">
        <f t="shared" ref="J71:J75" si="53">IF(H$12=0,0,H71/H$12)</f>
        <v>0</v>
      </c>
      <c r="K71" s="1"/>
      <c r="L71" s="1">
        <f t="shared" ref="L71:L75" si="54">+D71-H71</f>
        <v>-2186.6900000000023</v>
      </c>
      <c r="M71" s="1"/>
      <c r="N71" s="5">
        <f t="shared" ref="N71:N75" si="55">IF(H71=0,0,L71/H71)</f>
        <v>-8.2822892205136056E-2</v>
      </c>
      <c r="O71" s="14"/>
      <c r="P71" s="1">
        <f>SUM(OSRRefP22_13x_0)</f>
        <v>141037.22</v>
      </c>
      <c r="Q71" s="1"/>
      <c r="R71" s="5">
        <f t="shared" ref="R71:R75" si="56">IF(P$12=0,0,P71/P$12)</f>
        <v>0</v>
      </c>
      <c r="S71" s="1"/>
      <c r="T71" s="1">
        <f>SUM(OSRRefT22_13x_0)</f>
        <v>176814</v>
      </c>
      <c r="U71" s="1"/>
      <c r="V71" s="5">
        <f t="shared" ref="V71:V75" si="57">IF(T$12=0,0,T71/T$12)</f>
        <v>0</v>
      </c>
      <c r="W71" s="1"/>
      <c r="X71" s="1">
        <f t="shared" ref="X71:X75" si="58">+P71-T71</f>
        <v>-35776.78</v>
      </c>
      <c r="Y71" s="1"/>
      <c r="Z71" s="5">
        <f t="shared" ref="Z71:Z75" si="59">IF(T71=0,0,X71/T71)</f>
        <v>-0.20234133043763503</v>
      </c>
    </row>
    <row r="72" spans="1:26" s="24" customFormat="1" hidden="1" outlineLevel="2" x14ac:dyDescent="0.35">
      <c r="A72" s="29"/>
      <c r="B72" s="11" t="str">
        <f>CONCATENATE("          ", "6371", " - ", "COMPUTER SOFTWARE MAINTENANCE")</f>
        <v xml:space="preserve">          6371 - COMPUTER SOFTWARE MAINTENANCE</v>
      </c>
      <c r="C72" s="11"/>
      <c r="D72" s="7">
        <v>4135.6499999999996</v>
      </c>
      <c r="E72" s="2"/>
      <c r="F72" s="6">
        <f t="shared" si="52"/>
        <v>0</v>
      </c>
      <c r="G72" s="2"/>
      <c r="H72" s="7">
        <v>8470</v>
      </c>
      <c r="I72" s="2"/>
      <c r="J72" s="6">
        <f t="shared" si="53"/>
        <v>0</v>
      </c>
      <c r="K72" s="2"/>
      <c r="L72" s="7">
        <f t="shared" si="54"/>
        <v>-4334.3500000000004</v>
      </c>
      <c r="M72" s="2"/>
      <c r="N72" s="6">
        <f t="shared" si="55"/>
        <v>-0.51172963400236127</v>
      </c>
      <c r="O72" s="11"/>
      <c r="P72" s="7">
        <v>30329.260000000002</v>
      </c>
      <c r="Q72" s="2"/>
      <c r="R72" s="6">
        <f t="shared" si="56"/>
        <v>0</v>
      </c>
      <c r="S72" s="2"/>
      <c r="T72" s="7">
        <v>59290</v>
      </c>
      <c r="U72" s="2"/>
      <c r="V72" s="6">
        <f t="shared" si="57"/>
        <v>0</v>
      </c>
      <c r="W72" s="2"/>
      <c r="X72" s="7">
        <f t="shared" si="58"/>
        <v>-28960.739999999998</v>
      </c>
      <c r="Y72" s="2"/>
      <c r="Z72" s="6">
        <f t="shared" si="59"/>
        <v>-0.48845909934221621</v>
      </c>
    </row>
    <row r="73" spans="1:26" s="24" customFormat="1" hidden="1" outlineLevel="2" x14ac:dyDescent="0.35">
      <c r="A73" s="29"/>
      <c r="B73" s="11" t="str">
        <f>CONCATENATE("          ", "6372", " - ", "COMPUTER HARDWARE MAINTENANCE")</f>
        <v xml:space="preserve">          6372 - COMPUTER HARDWARE MAINTENANCE</v>
      </c>
      <c r="C73" s="11"/>
      <c r="D73" s="7"/>
      <c r="E73" s="2"/>
      <c r="F73" s="6">
        <f t="shared" si="52"/>
        <v>0</v>
      </c>
      <c r="G73" s="2"/>
      <c r="H73" s="7">
        <v>1600</v>
      </c>
      <c r="I73" s="2"/>
      <c r="J73" s="6">
        <f t="shared" si="53"/>
        <v>0</v>
      </c>
      <c r="K73" s="2"/>
      <c r="L73" s="7">
        <f t="shared" si="54"/>
        <v>-1600</v>
      </c>
      <c r="M73" s="2"/>
      <c r="N73" s="6">
        <f t="shared" si="55"/>
        <v>-1</v>
      </c>
      <c r="O73" s="11"/>
      <c r="P73" s="7"/>
      <c r="Q73" s="2"/>
      <c r="R73" s="6">
        <f t="shared" si="56"/>
        <v>0</v>
      </c>
      <c r="S73" s="2"/>
      <c r="T73" s="7">
        <v>11200</v>
      </c>
      <c r="U73" s="2"/>
      <c r="V73" s="6">
        <f t="shared" si="57"/>
        <v>0</v>
      </c>
      <c r="W73" s="2"/>
      <c r="X73" s="7">
        <f t="shared" si="58"/>
        <v>-11200</v>
      </c>
      <c r="Y73" s="2"/>
      <c r="Z73" s="6">
        <f t="shared" si="59"/>
        <v>-1</v>
      </c>
    </row>
    <row r="74" spans="1:26" s="24" customFormat="1" hidden="1" outlineLevel="2" x14ac:dyDescent="0.35">
      <c r="A74" s="29"/>
      <c r="B74" s="11" t="str">
        <f>CONCATENATE("          ", "6373", " - ", "MAINTENANCE CONTRACTS")</f>
        <v xml:space="preserve">          6373 - MAINTENANCE CONTRACTS</v>
      </c>
      <c r="C74" s="11"/>
      <c r="D74" s="7">
        <v>20079.66</v>
      </c>
      <c r="E74" s="2"/>
      <c r="F74" s="6">
        <f t="shared" si="52"/>
        <v>0</v>
      </c>
      <c r="G74" s="2"/>
      <c r="H74" s="7">
        <v>16332</v>
      </c>
      <c r="I74" s="2"/>
      <c r="J74" s="6">
        <f t="shared" si="53"/>
        <v>0</v>
      </c>
      <c r="K74" s="2"/>
      <c r="L74" s="7">
        <f t="shared" si="54"/>
        <v>3747.66</v>
      </c>
      <c r="M74" s="2"/>
      <c r="N74" s="6">
        <f t="shared" si="55"/>
        <v>0.22946730345334312</v>
      </c>
      <c r="O74" s="11"/>
      <c r="P74" s="7">
        <v>108537.67</v>
      </c>
      <c r="Q74" s="2"/>
      <c r="R74" s="6">
        <f t="shared" si="56"/>
        <v>0</v>
      </c>
      <c r="S74" s="2"/>
      <c r="T74" s="7">
        <v>106324</v>
      </c>
      <c r="U74" s="2"/>
      <c r="V74" s="6">
        <f t="shared" si="57"/>
        <v>0</v>
      </c>
      <c r="W74" s="2"/>
      <c r="X74" s="7">
        <f t="shared" si="58"/>
        <v>2213.6699999999983</v>
      </c>
      <c r="Y74" s="2"/>
      <c r="Z74" s="6">
        <f t="shared" si="59"/>
        <v>2.0820040630525546E-2</v>
      </c>
    </row>
    <row r="75" spans="1:26" s="24" customFormat="1" hidden="1" outlineLevel="2" x14ac:dyDescent="0.35">
      <c r="A75" s="29"/>
      <c r="B75" s="11" t="str">
        <f>CONCATENATE("          ", "6375", " - ", "OUTSIDE REPAIRS &amp; MAINTENANCE")</f>
        <v xml:space="preserve">          6375 - OUTSIDE REPAIRS &amp; MAINTENANCE</v>
      </c>
      <c r="C75" s="11"/>
      <c r="D75" s="7"/>
      <c r="E75" s="2"/>
      <c r="F75" s="6">
        <f t="shared" si="52"/>
        <v>0</v>
      </c>
      <c r="G75" s="2"/>
      <c r="H75" s="7"/>
      <c r="I75" s="2"/>
      <c r="J75" s="6">
        <f t="shared" si="53"/>
        <v>0</v>
      </c>
      <c r="K75" s="2"/>
      <c r="L75" s="7">
        <f t="shared" si="54"/>
        <v>0</v>
      </c>
      <c r="M75" s="2"/>
      <c r="N75" s="6">
        <f t="shared" si="55"/>
        <v>0</v>
      </c>
      <c r="O75" s="11"/>
      <c r="P75" s="7">
        <v>2170.29</v>
      </c>
      <c r="Q75" s="2"/>
      <c r="R75" s="6">
        <f t="shared" si="56"/>
        <v>0</v>
      </c>
      <c r="S75" s="2"/>
      <c r="T75" s="7"/>
      <c r="U75" s="2"/>
      <c r="V75" s="6">
        <f t="shared" si="57"/>
        <v>0</v>
      </c>
      <c r="W75" s="2"/>
      <c r="X75" s="7">
        <f t="shared" si="58"/>
        <v>2170.29</v>
      </c>
      <c r="Y75" s="2"/>
      <c r="Z75" s="6">
        <f t="shared" si="59"/>
        <v>0</v>
      </c>
    </row>
    <row r="76" spans="1:26" s="28" customFormat="1" outlineLevel="1" collapsed="1" x14ac:dyDescent="0.35">
      <c r="A76" s="27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SUM(OSRRefD22_14x_0)</f>
        <v>632.79999999999995</v>
      </c>
      <c r="E76" s="1"/>
      <c r="F76" s="5">
        <f t="shared" ref="F76:F78" si="60">IF(D$12=0,0,D76/D$12)</f>
        <v>0</v>
      </c>
      <c r="G76" s="1"/>
      <c r="H76" s="1">
        <f>SUM(OSRRefH22_14x_0)</f>
        <v>525</v>
      </c>
      <c r="I76" s="1"/>
      <c r="J76" s="5">
        <f t="shared" ref="J76:J78" si="61">IF(H$12=0,0,H76/H$12)</f>
        <v>0</v>
      </c>
      <c r="K76" s="1"/>
      <c r="L76" s="1">
        <f t="shared" ref="L76:L78" si="62">+D76-H76</f>
        <v>107.79999999999995</v>
      </c>
      <c r="M76" s="1"/>
      <c r="N76" s="5">
        <f t="shared" ref="N76:N78" si="63">IF(H76=0,0,L76/H76)</f>
        <v>0.20533333333333326</v>
      </c>
      <c r="O76" s="14"/>
      <c r="P76" s="1">
        <f>SUM(OSRRefP22_14x_0)</f>
        <v>3707.68</v>
      </c>
      <c r="Q76" s="1"/>
      <c r="R76" s="5">
        <f t="shared" ref="R76:R78" si="64">IF(P$12=0,0,P76/P$12)</f>
        <v>0</v>
      </c>
      <c r="S76" s="1"/>
      <c r="T76" s="1">
        <f>SUM(OSRRefT22_14x_0)</f>
        <v>3675</v>
      </c>
      <c r="U76" s="1"/>
      <c r="V76" s="5">
        <f t="shared" ref="V76:V78" si="65">IF(T$12=0,0,T76/T$12)</f>
        <v>0</v>
      </c>
      <c r="W76" s="1"/>
      <c r="X76" s="1">
        <f t="shared" ref="X76:X78" si="66">+P76-T76</f>
        <v>32.679999999999836</v>
      </c>
      <c r="Y76" s="1"/>
      <c r="Z76" s="5">
        <f t="shared" ref="Z76:Z78" si="67">IF(T76=0,0,X76/T76)</f>
        <v>8.8925170068026773E-3</v>
      </c>
    </row>
    <row r="77" spans="1:26" s="24" customFormat="1" hidden="1" outlineLevel="2" x14ac:dyDescent="0.35">
      <c r="A77" s="29"/>
      <c r="B77" s="11" t="str">
        <f>CONCATENATE("          ", "6281", " - ", "STORAGE FEE")</f>
        <v xml:space="preserve">          6281 - STORAGE FEE</v>
      </c>
      <c r="C77" s="11"/>
      <c r="D77" s="7">
        <v>632.79999999999995</v>
      </c>
      <c r="E77" s="2"/>
      <c r="F77" s="6">
        <f t="shared" si="60"/>
        <v>0</v>
      </c>
      <c r="G77" s="2"/>
      <c r="H77" s="7">
        <v>500</v>
      </c>
      <c r="I77" s="2"/>
      <c r="J77" s="6">
        <f t="shared" si="61"/>
        <v>0</v>
      </c>
      <c r="K77" s="2"/>
      <c r="L77" s="7">
        <f t="shared" si="62"/>
        <v>132.79999999999995</v>
      </c>
      <c r="M77" s="2"/>
      <c r="N77" s="6">
        <f t="shared" si="63"/>
        <v>0.26559999999999989</v>
      </c>
      <c r="O77" s="11"/>
      <c r="P77" s="7">
        <v>3707.68</v>
      </c>
      <c r="Q77" s="2"/>
      <c r="R77" s="6">
        <f t="shared" si="64"/>
        <v>0</v>
      </c>
      <c r="S77" s="2"/>
      <c r="T77" s="7">
        <v>3500</v>
      </c>
      <c r="U77" s="2"/>
      <c r="V77" s="6">
        <f t="shared" si="65"/>
        <v>0</v>
      </c>
      <c r="W77" s="2"/>
      <c r="X77" s="7">
        <f t="shared" si="66"/>
        <v>207.67999999999984</v>
      </c>
      <c r="Y77" s="2"/>
      <c r="Z77" s="6">
        <f t="shared" si="67"/>
        <v>5.9337142857142811E-2</v>
      </c>
    </row>
    <row r="78" spans="1:26" s="24" customFormat="1" hidden="1" outlineLevel="2" x14ac:dyDescent="0.35">
      <c r="A78" s="29"/>
      <c r="B78" s="11" t="str">
        <f>CONCATENATE("          ", "6286", " - ", "LAUNDRY EXPENSE")</f>
        <v xml:space="preserve">          6286 - LAUNDRY EXPENSE</v>
      </c>
      <c r="C78" s="11"/>
      <c r="D78" s="7"/>
      <c r="E78" s="2"/>
      <c r="F78" s="6">
        <f t="shared" si="60"/>
        <v>0</v>
      </c>
      <c r="G78" s="2"/>
      <c r="H78" s="7">
        <v>25</v>
      </c>
      <c r="I78" s="2"/>
      <c r="J78" s="6">
        <f t="shared" si="61"/>
        <v>0</v>
      </c>
      <c r="K78" s="2"/>
      <c r="L78" s="7">
        <f t="shared" si="62"/>
        <v>-25</v>
      </c>
      <c r="M78" s="2"/>
      <c r="N78" s="6">
        <f t="shared" si="63"/>
        <v>-1</v>
      </c>
      <c r="O78" s="11"/>
      <c r="P78" s="7"/>
      <c r="Q78" s="2"/>
      <c r="R78" s="6">
        <f t="shared" si="64"/>
        <v>0</v>
      </c>
      <c r="S78" s="2"/>
      <c r="T78" s="7">
        <v>175</v>
      </c>
      <c r="U78" s="2"/>
      <c r="V78" s="6">
        <f t="shared" si="65"/>
        <v>0</v>
      </c>
      <c r="W78" s="2"/>
      <c r="X78" s="7">
        <f t="shared" si="66"/>
        <v>-175</v>
      </c>
      <c r="Y78" s="2"/>
      <c r="Z78" s="6">
        <f t="shared" si="67"/>
        <v>-1</v>
      </c>
    </row>
    <row r="79" spans="1:26" s="28" customFormat="1" outlineLevel="1" collapsed="1" x14ac:dyDescent="0.35">
      <c r="A79" s="27"/>
      <c r="B79" s="14" t="str">
        <f>CONCATENATE("     ","Subscriptions &amp; Dues                              ")</f>
        <v xml:space="preserve">     Subscriptions &amp; Dues                              </v>
      </c>
      <c r="C79" s="14"/>
      <c r="D79" s="1">
        <f>SUM(OSRRefD22_15x_0)</f>
        <v>0</v>
      </c>
      <c r="E79" s="1"/>
      <c r="F79" s="5">
        <f t="shared" ref="F79:F81" si="68">IF(D$12=0,0,D79/D$12)</f>
        <v>0</v>
      </c>
      <c r="G79" s="1"/>
      <c r="H79" s="1">
        <f>SUM(OSRRefH22_15x_0)</f>
        <v>155</v>
      </c>
      <c r="I79" s="1"/>
      <c r="J79" s="5">
        <f t="shared" ref="J79:J81" si="69">IF(H$12=0,0,H79/H$12)</f>
        <v>0</v>
      </c>
      <c r="K79" s="1"/>
      <c r="L79" s="1">
        <f t="shared" ref="L79:L81" si="70">+D79-H79</f>
        <v>-155</v>
      </c>
      <c r="M79" s="1"/>
      <c r="N79" s="5">
        <f t="shared" ref="N79:N81" si="71">IF(H79=0,0,L79/H79)</f>
        <v>-1</v>
      </c>
      <c r="O79" s="14"/>
      <c r="P79" s="1">
        <f>SUM(OSRRefP22_15x_0)</f>
        <v>2259.9899999999998</v>
      </c>
      <c r="Q79" s="1"/>
      <c r="R79" s="5">
        <f t="shared" ref="R79:R81" si="72">IF(P$12=0,0,P79/P$12)</f>
        <v>0</v>
      </c>
      <c r="S79" s="1"/>
      <c r="T79" s="1">
        <f>SUM(OSRRefT22_15x_0)</f>
        <v>3835</v>
      </c>
      <c r="U79" s="1"/>
      <c r="V79" s="5">
        <f t="shared" ref="V79:V81" si="73">IF(T$12=0,0,T79/T$12)</f>
        <v>0</v>
      </c>
      <c r="W79" s="1"/>
      <c r="X79" s="1">
        <f t="shared" ref="X79:X81" si="74">+P79-T79</f>
        <v>-1575.0100000000002</v>
      </c>
      <c r="Y79" s="1"/>
      <c r="Z79" s="5">
        <f t="shared" ref="Z79:Z81" si="75">IF(T79=0,0,X79/T79)</f>
        <v>-0.41069361147327255</v>
      </c>
    </row>
    <row r="80" spans="1:26" s="24" customFormat="1" hidden="1" outlineLevel="2" x14ac:dyDescent="0.35">
      <c r="A80" s="29"/>
      <c r="B80" s="11" t="str">
        <f>CONCATENATE("          ", "6258", " - ", "MEMBERSHIP DUES")</f>
        <v xml:space="preserve">          6258 - MEMBERSHIP DUES</v>
      </c>
      <c r="C80" s="11"/>
      <c r="D80" s="7"/>
      <c r="E80" s="2"/>
      <c r="F80" s="6">
        <f t="shared" si="68"/>
        <v>0</v>
      </c>
      <c r="G80" s="2"/>
      <c r="H80" s="7">
        <v>55</v>
      </c>
      <c r="I80" s="2"/>
      <c r="J80" s="6">
        <f t="shared" si="69"/>
        <v>0</v>
      </c>
      <c r="K80" s="2"/>
      <c r="L80" s="7">
        <f t="shared" si="70"/>
        <v>-55</v>
      </c>
      <c r="M80" s="2"/>
      <c r="N80" s="6">
        <f t="shared" si="71"/>
        <v>-1</v>
      </c>
      <c r="O80" s="11"/>
      <c r="P80" s="7">
        <v>2259.9899999999998</v>
      </c>
      <c r="Q80" s="2"/>
      <c r="R80" s="6">
        <f t="shared" si="72"/>
        <v>0</v>
      </c>
      <c r="S80" s="2"/>
      <c r="T80" s="7">
        <v>3135</v>
      </c>
      <c r="U80" s="2"/>
      <c r="V80" s="6">
        <f t="shared" si="73"/>
        <v>0</v>
      </c>
      <c r="W80" s="2"/>
      <c r="X80" s="7">
        <f t="shared" si="74"/>
        <v>-875.01000000000022</v>
      </c>
      <c r="Y80" s="2"/>
      <c r="Z80" s="6">
        <f t="shared" si="75"/>
        <v>-0.27911004784689003</v>
      </c>
    </row>
    <row r="81" spans="1:26" s="24" customFormat="1" hidden="1" outlineLevel="2" x14ac:dyDescent="0.35">
      <c r="A81" s="29"/>
      <c r="B81" s="11" t="str">
        <f>CONCATENATE("          ", "6275", " - ", "SUBSCRIPTIONS")</f>
        <v xml:space="preserve">          6275 - SUBSCRIPTIONS</v>
      </c>
      <c r="C81" s="11"/>
      <c r="D81" s="7"/>
      <c r="E81" s="2"/>
      <c r="F81" s="6">
        <f t="shared" si="68"/>
        <v>0</v>
      </c>
      <c r="G81" s="2"/>
      <c r="H81" s="7">
        <v>100</v>
      </c>
      <c r="I81" s="2"/>
      <c r="J81" s="6">
        <f t="shared" si="69"/>
        <v>0</v>
      </c>
      <c r="K81" s="2"/>
      <c r="L81" s="7">
        <f t="shared" si="70"/>
        <v>-100</v>
      </c>
      <c r="M81" s="2"/>
      <c r="N81" s="6">
        <f t="shared" si="71"/>
        <v>-1</v>
      </c>
      <c r="O81" s="11"/>
      <c r="P81" s="7"/>
      <c r="Q81" s="2"/>
      <c r="R81" s="6">
        <f t="shared" si="72"/>
        <v>0</v>
      </c>
      <c r="S81" s="2"/>
      <c r="T81" s="7">
        <v>700</v>
      </c>
      <c r="U81" s="2"/>
      <c r="V81" s="6">
        <f t="shared" si="73"/>
        <v>0</v>
      </c>
      <c r="W81" s="2"/>
      <c r="X81" s="7">
        <f t="shared" si="74"/>
        <v>-700</v>
      </c>
      <c r="Y81" s="2"/>
      <c r="Z81" s="6">
        <f t="shared" si="75"/>
        <v>-1</v>
      </c>
    </row>
    <row r="82" spans="1:26" s="28" customFormat="1" outlineLevel="1" collapsed="1" x14ac:dyDescent="0.35">
      <c r="A82" s="27"/>
      <c r="B82" s="14" t="str">
        <f>CONCATENATE("     ","Supplies                                          ")</f>
        <v xml:space="preserve">     Supplies                                          </v>
      </c>
      <c r="C82" s="14"/>
      <c r="D82" s="1">
        <f>SUM(OSRRefD22_16x_0)</f>
        <v>862.65</v>
      </c>
      <c r="E82" s="1"/>
      <c r="F82" s="5">
        <f t="shared" ref="F82:F87" si="76">IF(D$12=0,0,D82/D$12)</f>
        <v>0</v>
      </c>
      <c r="G82" s="1"/>
      <c r="H82" s="1">
        <f>SUM(OSRRefH22_16x_0)</f>
        <v>4417</v>
      </c>
      <c r="I82" s="1"/>
      <c r="J82" s="5">
        <f t="shared" ref="J82:J87" si="77">IF(H$12=0,0,H82/H$12)</f>
        <v>0</v>
      </c>
      <c r="K82" s="1"/>
      <c r="L82" s="1">
        <f t="shared" ref="L82:L87" si="78">+D82-H82</f>
        <v>-3554.35</v>
      </c>
      <c r="M82" s="1"/>
      <c r="N82" s="5">
        <f t="shared" ref="N82:N87" si="79">IF(H82=0,0,L82/H82)</f>
        <v>-0.80469775865972382</v>
      </c>
      <c r="O82" s="14"/>
      <c r="P82" s="1">
        <f>SUM(OSRRefP22_16x_0)</f>
        <v>789.06999999999994</v>
      </c>
      <c r="Q82" s="1"/>
      <c r="R82" s="5">
        <f t="shared" ref="R82:R87" si="80">IF(P$12=0,0,P82/P$12)</f>
        <v>0</v>
      </c>
      <c r="S82" s="1"/>
      <c r="T82" s="1">
        <f>SUM(OSRRefT22_16x_0)</f>
        <v>49003</v>
      </c>
      <c r="U82" s="1"/>
      <c r="V82" s="5">
        <f t="shared" ref="V82:V87" si="81">IF(T$12=0,0,T82/T$12)</f>
        <v>0</v>
      </c>
      <c r="W82" s="1"/>
      <c r="X82" s="1">
        <f t="shared" ref="X82:X87" si="82">+P82-T82</f>
        <v>-48213.93</v>
      </c>
      <c r="Y82" s="1"/>
      <c r="Z82" s="5">
        <f t="shared" ref="Z82:Z87" si="83">IF(T82=0,0,X82/T82)</f>
        <v>-0.98389751647858292</v>
      </c>
    </row>
    <row r="83" spans="1:26" s="24" customFormat="1" hidden="1" outlineLevel="2" x14ac:dyDescent="0.35">
      <c r="A83" s="29"/>
      <c r="B83" s="11" t="str">
        <f>CONCATENATE("          ", "6234", " - ", "EXPENDABLE SUPPLIES &amp; EQUIPMEN")</f>
        <v xml:space="preserve">          6234 - EXPENDABLE SUPPLIES &amp; EQUIPMEN</v>
      </c>
      <c r="C83" s="11"/>
      <c r="D83" s="7"/>
      <c r="E83" s="2"/>
      <c r="F83" s="6">
        <f t="shared" si="76"/>
        <v>0</v>
      </c>
      <c r="G83" s="2"/>
      <c r="H83" s="7">
        <v>1000</v>
      </c>
      <c r="I83" s="2"/>
      <c r="J83" s="6">
        <f t="shared" si="77"/>
        <v>0</v>
      </c>
      <c r="K83" s="2"/>
      <c r="L83" s="7">
        <f t="shared" si="78"/>
        <v>-1000</v>
      </c>
      <c r="M83" s="2"/>
      <c r="N83" s="6">
        <f t="shared" si="79"/>
        <v>-1</v>
      </c>
      <c r="O83" s="11"/>
      <c r="P83" s="7"/>
      <c r="Q83" s="2"/>
      <c r="R83" s="6">
        <f t="shared" si="80"/>
        <v>0</v>
      </c>
      <c r="S83" s="2"/>
      <c r="T83" s="7">
        <v>16584</v>
      </c>
      <c r="U83" s="2"/>
      <c r="V83" s="6">
        <f t="shared" si="81"/>
        <v>0</v>
      </c>
      <c r="W83" s="2"/>
      <c r="X83" s="7">
        <f t="shared" si="82"/>
        <v>-16584</v>
      </c>
      <c r="Y83" s="2"/>
      <c r="Z83" s="6">
        <f t="shared" si="83"/>
        <v>-1</v>
      </c>
    </row>
    <row r="84" spans="1:26" s="24" customFormat="1" hidden="1" outlineLevel="2" x14ac:dyDescent="0.35">
      <c r="A84" s="29"/>
      <c r="B84" s="11" t="str">
        <f>CONCATENATE("          ", "6235", " - ", "COVID-19 EXPENSES")</f>
        <v xml:space="preserve">          6235 - COVID-19 EXPENSES</v>
      </c>
      <c r="C84" s="11"/>
      <c r="D84" s="7"/>
      <c r="E84" s="2"/>
      <c r="F84" s="6">
        <f t="shared" si="76"/>
        <v>0</v>
      </c>
      <c r="G84" s="2"/>
      <c r="H84" s="7">
        <v>417</v>
      </c>
      <c r="I84" s="2"/>
      <c r="J84" s="6">
        <f t="shared" si="77"/>
        <v>0</v>
      </c>
      <c r="K84" s="2"/>
      <c r="L84" s="7">
        <f t="shared" si="78"/>
        <v>-417</v>
      </c>
      <c r="M84" s="2"/>
      <c r="N84" s="6">
        <f t="shared" si="79"/>
        <v>-1</v>
      </c>
      <c r="O84" s="11"/>
      <c r="P84" s="7">
        <v>810.3</v>
      </c>
      <c r="Q84" s="2"/>
      <c r="R84" s="6">
        <f t="shared" si="80"/>
        <v>0</v>
      </c>
      <c r="S84" s="2"/>
      <c r="T84" s="7">
        <v>3919</v>
      </c>
      <c r="U84" s="2"/>
      <c r="V84" s="6">
        <f t="shared" si="81"/>
        <v>0</v>
      </c>
      <c r="W84" s="2"/>
      <c r="X84" s="7">
        <f t="shared" si="82"/>
        <v>-3108.7</v>
      </c>
      <c r="Y84" s="2"/>
      <c r="Z84" s="6">
        <f t="shared" si="83"/>
        <v>-0.79323807093646337</v>
      </c>
    </row>
    <row r="85" spans="1:26" s="24" customFormat="1" hidden="1" outlineLevel="2" x14ac:dyDescent="0.35">
      <c r="A85" s="29"/>
      <c r="B85" s="11" t="str">
        <f>CONCATENATE("          ", "6241", " - ", "OFFICE EXPENSE")</f>
        <v xml:space="preserve">          6241 - OFFICE EXPENSE</v>
      </c>
      <c r="C85" s="11"/>
      <c r="D85" s="7">
        <v>862.65</v>
      </c>
      <c r="E85" s="2"/>
      <c r="F85" s="6">
        <f t="shared" si="76"/>
        <v>0</v>
      </c>
      <c r="G85" s="2"/>
      <c r="H85" s="7">
        <v>2583</v>
      </c>
      <c r="I85" s="2"/>
      <c r="J85" s="6">
        <f t="shared" si="77"/>
        <v>0</v>
      </c>
      <c r="K85" s="2"/>
      <c r="L85" s="7">
        <f t="shared" si="78"/>
        <v>-1720.35</v>
      </c>
      <c r="M85" s="2"/>
      <c r="N85" s="6">
        <f t="shared" si="79"/>
        <v>-0.66602787456445989</v>
      </c>
      <c r="O85" s="11"/>
      <c r="P85" s="7">
        <v>-243.94</v>
      </c>
      <c r="Q85" s="2"/>
      <c r="R85" s="6">
        <f t="shared" si="80"/>
        <v>0</v>
      </c>
      <c r="S85" s="2"/>
      <c r="T85" s="7">
        <v>20581</v>
      </c>
      <c r="U85" s="2"/>
      <c r="V85" s="6">
        <f t="shared" si="81"/>
        <v>0</v>
      </c>
      <c r="W85" s="2"/>
      <c r="X85" s="7">
        <f t="shared" si="82"/>
        <v>-20824.939999999999</v>
      </c>
      <c r="Y85" s="2"/>
      <c r="Z85" s="6">
        <f t="shared" si="83"/>
        <v>-1.0118526796559932</v>
      </c>
    </row>
    <row r="86" spans="1:26" s="24" customFormat="1" hidden="1" outlineLevel="2" x14ac:dyDescent="0.35">
      <c r="A86" s="29"/>
      <c r="B86" s="11" t="str">
        <f>CONCATENATE("          ", "6244", " - ", "SAFETY SUPPLY EXPENSE")</f>
        <v xml:space="preserve">          6244 - SAFETY SUPPLY EXPENSE</v>
      </c>
      <c r="C86" s="11"/>
      <c r="D86" s="7"/>
      <c r="E86" s="2"/>
      <c r="F86" s="6">
        <f t="shared" si="76"/>
        <v>0</v>
      </c>
      <c r="G86" s="2"/>
      <c r="H86" s="7">
        <v>417</v>
      </c>
      <c r="I86" s="2"/>
      <c r="J86" s="6">
        <f t="shared" si="77"/>
        <v>0</v>
      </c>
      <c r="K86" s="2"/>
      <c r="L86" s="7">
        <f t="shared" si="78"/>
        <v>-417</v>
      </c>
      <c r="M86" s="2"/>
      <c r="N86" s="6">
        <f t="shared" si="79"/>
        <v>-1</v>
      </c>
      <c r="O86" s="11"/>
      <c r="P86" s="7">
        <v>222.71</v>
      </c>
      <c r="Q86" s="2"/>
      <c r="R86" s="6">
        <f t="shared" si="80"/>
        <v>0</v>
      </c>
      <c r="S86" s="2"/>
      <c r="T86" s="7">
        <v>2919</v>
      </c>
      <c r="U86" s="2"/>
      <c r="V86" s="6">
        <f t="shared" si="81"/>
        <v>0</v>
      </c>
      <c r="W86" s="2"/>
      <c r="X86" s="7">
        <f t="shared" si="82"/>
        <v>-2696.29</v>
      </c>
      <c r="Y86" s="2"/>
      <c r="Z86" s="6">
        <f t="shared" si="83"/>
        <v>-0.92370332305584102</v>
      </c>
    </row>
    <row r="87" spans="1:26" s="24" customFormat="1" hidden="1" outlineLevel="2" x14ac:dyDescent="0.35">
      <c r="A87" s="29"/>
      <c r="B87" s="11" t="str">
        <f>CONCATENATE("          ", "6247", " - ", "STORE SUPPLIES")</f>
        <v xml:space="preserve">          6247 - STORE SUPPLIES</v>
      </c>
      <c r="C87" s="11"/>
      <c r="D87" s="7"/>
      <c r="E87" s="2"/>
      <c r="F87" s="6">
        <f t="shared" si="76"/>
        <v>0</v>
      </c>
      <c r="G87" s="2"/>
      <c r="H87" s="7"/>
      <c r="I87" s="2"/>
      <c r="J87" s="6">
        <f t="shared" si="77"/>
        <v>0</v>
      </c>
      <c r="K87" s="2"/>
      <c r="L87" s="7">
        <f t="shared" si="78"/>
        <v>0</v>
      </c>
      <c r="M87" s="2"/>
      <c r="N87" s="6">
        <f t="shared" si="79"/>
        <v>0</v>
      </c>
      <c r="O87" s="11"/>
      <c r="P87" s="7"/>
      <c r="Q87" s="2"/>
      <c r="R87" s="6">
        <f t="shared" si="80"/>
        <v>0</v>
      </c>
      <c r="S87" s="2"/>
      <c r="T87" s="7">
        <v>5000</v>
      </c>
      <c r="U87" s="2"/>
      <c r="V87" s="6">
        <f t="shared" si="81"/>
        <v>0</v>
      </c>
      <c r="W87" s="2"/>
      <c r="X87" s="7">
        <f t="shared" si="82"/>
        <v>-5000</v>
      </c>
      <c r="Y87" s="2"/>
      <c r="Z87" s="6">
        <f t="shared" si="83"/>
        <v>-1</v>
      </c>
    </row>
    <row r="88" spans="1:26" s="28" customFormat="1" outlineLevel="1" collapsed="1" x14ac:dyDescent="0.35">
      <c r="A88" s="27"/>
      <c r="B88" s="14" t="str">
        <f>CONCATENATE("     ","Telephone/Data Lines                              ")</f>
        <v xml:space="preserve">     Telephone/Data Lines                              </v>
      </c>
      <c r="C88" s="14"/>
      <c r="D88" s="1">
        <f>SUM(OSRRefD22_17x_0)</f>
        <v>1483.32</v>
      </c>
      <c r="E88" s="1"/>
      <c r="F88" s="5">
        <f t="shared" ref="F88:F90" si="84">IF(D$12=0,0,D88/D$12)</f>
        <v>0</v>
      </c>
      <c r="G88" s="1"/>
      <c r="H88" s="1">
        <f>SUM(OSRRefH22_17x_0)</f>
        <v>1435</v>
      </c>
      <c r="I88" s="1"/>
      <c r="J88" s="5">
        <f t="shared" ref="J88:J90" si="85">IF(H$12=0,0,H88/H$12)</f>
        <v>0</v>
      </c>
      <c r="K88" s="1"/>
      <c r="L88" s="1">
        <f t="shared" ref="L88:L90" si="86">+D88-H88</f>
        <v>48.319999999999936</v>
      </c>
      <c r="M88" s="1"/>
      <c r="N88" s="5">
        <f t="shared" ref="N88:N90" si="87">IF(H88=0,0,L88/H88)</f>
        <v>3.3672473867595774E-2</v>
      </c>
      <c r="O88" s="14"/>
      <c r="P88" s="1">
        <f>SUM(OSRRefP22_17x_0)</f>
        <v>14669.14</v>
      </c>
      <c r="Q88" s="1"/>
      <c r="R88" s="5">
        <f t="shared" ref="R88:R90" si="88">IF(P$12=0,0,P88/P$12)</f>
        <v>0</v>
      </c>
      <c r="S88" s="1"/>
      <c r="T88" s="1">
        <f>SUM(OSRRefT22_17x_0)</f>
        <v>12145</v>
      </c>
      <c r="U88" s="1"/>
      <c r="V88" s="5">
        <f t="shared" ref="V88:V90" si="89">IF(T$12=0,0,T88/T$12)</f>
        <v>0</v>
      </c>
      <c r="W88" s="1"/>
      <c r="X88" s="1">
        <f t="shared" ref="X88:X90" si="90">+P88-T88</f>
        <v>2524.1399999999994</v>
      </c>
      <c r="Y88" s="1"/>
      <c r="Z88" s="5">
        <f t="shared" ref="Z88:Z90" si="91">IF(T88=0,0,X88/T88)</f>
        <v>0.20783367641004524</v>
      </c>
    </row>
    <row r="89" spans="1:26" s="24" customFormat="1" hidden="1" outlineLevel="2" x14ac:dyDescent="0.35">
      <c r="A89" s="29"/>
      <c r="B89" s="11" t="str">
        <f>CONCATENATE("          ", "6303", " - ", "DATA PHONE LINES")</f>
        <v xml:space="preserve">          6303 - DATA PHONE LINES</v>
      </c>
      <c r="C89" s="11"/>
      <c r="D89" s="7">
        <v>158.97999999999999</v>
      </c>
      <c r="E89" s="2"/>
      <c r="F89" s="6">
        <f t="shared" si="84"/>
        <v>0</v>
      </c>
      <c r="G89" s="2"/>
      <c r="H89" s="7">
        <v>335</v>
      </c>
      <c r="I89" s="2"/>
      <c r="J89" s="6">
        <f t="shared" si="85"/>
        <v>0</v>
      </c>
      <c r="K89" s="2"/>
      <c r="L89" s="7">
        <f t="shared" si="86"/>
        <v>-176.02</v>
      </c>
      <c r="M89" s="2"/>
      <c r="N89" s="6">
        <f t="shared" si="87"/>
        <v>-0.52543283582089551</v>
      </c>
      <c r="O89" s="11"/>
      <c r="P89" s="7">
        <v>923.88</v>
      </c>
      <c r="Q89" s="2"/>
      <c r="R89" s="6">
        <f t="shared" si="88"/>
        <v>0</v>
      </c>
      <c r="S89" s="2"/>
      <c r="T89" s="7">
        <v>4145</v>
      </c>
      <c r="U89" s="2"/>
      <c r="V89" s="6">
        <f t="shared" si="89"/>
        <v>0</v>
      </c>
      <c r="W89" s="2"/>
      <c r="X89" s="7">
        <f t="shared" si="90"/>
        <v>-3221.12</v>
      </c>
      <c r="Y89" s="2"/>
      <c r="Z89" s="6">
        <f t="shared" si="91"/>
        <v>-0.77710977080820265</v>
      </c>
    </row>
    <row r="90" spans="1:26" s="24" customFormat="1" hidden="1" outlineLevel="2" x14ac:dyDescent="0.35">
      <c r="A90" s="29"/>
      <c r="B90" s="11" t="str">
        <f>CONCATENATE("          ", "6309", " - ", "TELEPHONE")</f>
        <v xml:space="preserve">          6309 - TELEPHONE</v>
      </c>
      <c r="C90" s="11"/>
      <c r="D90" s="7">
        <v>1324.34</v>
      </c>
      <c r="E90" s="2"/>
      <c r="F90" s="6">
        <f t="shared" si="84"/>
        <v>0</v>
      </c>
      <c r="G90" s="2"/>
      <c r="H90" s="7">
        <v>1100</v>
      </c>
      <c r="I90" s="2"/>
      <c r="J90" s="6">
        <f t="shared" si="85"/>
        <v>0</v>
      </c>
      <c r="K90" s="2"/>
      <c r="L90" s="7">
        <f t="shared" si="86"/>
        <v>224.33999999999992</v>
      </c>
      <c r="M90" s="2"/>
      <c r="N90" s="6">
        <f t="shared" si="87"/>
        <v>0.20394545454545446</v>
      </c>
      <c r="O90" s="11"/>
      <c r="P90" s="7">
        <v>13745.26</v>
      </c>
      <c r="Q90" s="2"/>
      <c r="R90" s="6">
        <f t="shared" si="88"/>
        <v>0</v>
      </c>
      <c r="S90" s="2"/>
      <c r="T90" s="7">
        <v>8000</v>
      </c>
      <c r="U90" s="2"/>
      <c r="V90" s="6">
        <f t="shared" si="89"/>
        <v>0</v>
      </c>
      <c r="W90" s="2"/>
      <c r="X90" s="7">
        <f t="shared" si="90"/>
        <v>5745.26</v>
      </c>
      <c r="Y90" s="2"/>
      <c r="Z90" s="6">
        <f t="shared" si="91"/>
        <v>0.7181575</v>
      </c>
    </row>
    <row r="91" spans="1:26" s="28" customFormat="1" outlineLevel="1" collapsed="1" x14ac:dyDescent="0.35">
      <c r="A91" s="27"/>
      <c r="B91" s="14" t="str">
        <f>CONCATENATE("     ","Training                                          ")</f>
        <v xml:space="preserve">     Training                                          </v>
      </c>
      <c r="C91" s="14"/>
      <c r="D91" s="1">
        <f>SUM(OSRRefD22_18x_0)</f>
        <v>0</v>
      </c>
      <c r="E91" s="1"/>
      <c r="F91" s="5">
        <f t="shared" ref="F91:F95" si="92">IF(D$12=0,0,D91/D$12)</f>
        <v>0</v>
      </c>
      <c r="G91" s="1"/>
      <c r="H91" s="1">
        <f>SUM(OSRRefH22_18x_0)</f>
        <v>3196</v>
      </c>
      <c r="I91" s="1"/>
      <c r="J91" s="5">
        <f t="shared" ref="J91:J95" si="93">IF(H$12=0,0,H91/H$12)</f>
        <v>0</v>
      </c>
      <c r="K91" s="1"/>
      <c r="L91" s="1">
        <f t="shared" ref="L91:L95" si="94">+D91-H91</f>
        <v>-3196</v>
      </c>
      <c r="M91" s="1"/>
      <c r="N91" s="5">
        <f t="shared" ref="N91:N95" si="95">IF(H91=0,0,L91/H91)</f>
        <v>-1</v>
      </c>
      <c r="O91" s="14"/>
      <c r="P91" s="1">
        <f>SUM(OSRRefP22_18x_0)</f>
        <v>1676.5</v>
      </c>
      <c r="Q91" s="1"/>
      <c r="R91" s="5">
        <f t="shared" ref="R91:R95" si="96">IF(P$12=0,0,P91/P$12)</f>
        <v>0</v>
      </c>
      <c r="S91" s="1"/>
      <c r="T91" s="1">
        <f>SUM(OSRRefT22_18x_0)</f>
        <v>14522</v>
      </c>
      <c r="U91" s="1"/>
      <c r="V91" s="5">
        <f t="shared" ref="V91:V95" si="97">IF(T$12=0,0,T91/T$12)</f>
        <v>0</v>
      </c>
      <c r="W91" s="1"/>
      <c r="X91" s="1">
        <f t="shared" ref="X91:X95" si="98">+P91-T91</f>
        <v>-12845.5</v>
      </c>
      <c r="Y91" s="1"/>
      <c r="Z91" s="5">
        <f t="shared" ref="Z91:Z95" si="99">IF(T91=0,0,X91/T91)</f>
        <v>-0.88455446908139379</v>
      </c>
    </row>
    <row r="92" spans="1:26" s="24" customFormat="1" hidden="1" outlineLevel="2" x14ac:dyDescent="0.35">
      <c r="A92" s="29"/>
      <c r="B92" s="11" t="str">
        <f>CONCATENATE("          ", "6376", " - ", "TRAINING")</f>
        <v xml:space="preserve">          6376 - TRAINING</v>
      </c>
      <c r="C92" s="11"/>
      <c r="D92" s="7"/>
      <c r="E92" s="2"/>
      <c r="F92" s="6">
        <f t="shared" si="92"/>
        <v>0</v>
      </c>
      <c r="G92" s="2"/>
      <c r="H92" s="7">
        <v>3196</v>
      </c>
      <c r="I92" s="2"/>
      <c r="J92" s="6">
        <f t="shared" si="93"/>
        <v>0</v>
      </c>
      <c r="K92" s="2"/>
      <c r="L92" s="7">
        <f t="shared" si="94"/>
        <v>-3196</v>
      </c>
      <c r="M92" s="2"/>
      <c r="N92" s="6">
        <f t="shared" si="95"/>
        <v>-1</v>
      </c>
      <c r="O92" s="11"/>
      <c r="P92" s="7">
        <v>1676.5</v>
      </c>
      <c r="Q92" s="2"/>
      <c r="R92" s="6">
        <f t="shared" si="96"/>
        <v>0</v>
      </c>
      <c r="S92" s="2"/>
      <c r="T92" s="7">
        <v>14522</v>
      </c>
      <c r="U92" s="2"/>
      <c r="V92" s="6">
        <f t="shared" si="97"/>
        <v>0</v>
      </c>
      <c r="W92" s="2"/>
      <c r="X92" s="7">
        <f t="shared" si="98"/>
        <v>-12845.5</v>
      </c>
      <c r="Y92" s="2"/>
      <c r="Z92" s="6">
        <f t="shared" si="99"/>
        <v>-0.88455446908139379</v>
      </c>
    </row>
    <row r="93" spans="1:26" s="28" customFormat="1" outlineLevel="1" collapsed="1" x14ac:dyDescent="0.35">
      <c r="A93" s="27"/>
      <c r="B93" s="14" t="str">
        <f>CONCATENATE("     ","Travel                                            ")</f>
        <v xml:space="preserve">     Travel                                            </v>
      </c>
      <c r="C93" s="14"/>
      <c r="D93" s="1">
        <f>SUM(OSRRefD22_19x_0)</f>
        <v>21.2</v>
      </c>
      <c r="E93" s="1"/>
      <c r="F93" s="5">
        <f t="shared" si="92"/>
        <v>0</v>
      </c>
      <c r="G93" s="1"/>
      <c r="H93" s="1">
        <f>SUM(OSRRefH22_19x_0)</f>
        <v>625</v>
      </c>
      <c r="I93" s="1"/>
      <c r="J93" s="5">
        <f t="shared" si="93"/>
        <v>0</v>
      </c>
      <c r="K93" s="1"/>
      <c r="L93" s="1">
        <f t="shared" si="94"/>
        <v>-603.79999999999995</v>
      </c>
      <c r="M93" s="1"/>
      <c r="N93" s="5">
        <f t="shared" si="95"/>
        <v>-0.96607999999999994</v>
      </c>
      <c r="O93" s="14"/>
      <c r="P93" s="1">
        <f>SUM(OSRRefP22_19x_0)</f>
        <v>787.81999999999994</v>
      </c>
      <c r="Q93" s="1"/>
      <c r="R93" s="5">
        <f t="shared" si="96"/>
        <v>0</v>
      </c>
      <c r="S93" s="1"/>
      <c r="T93" s="1">
        <f>SUM(OSRRefT22_19x_0)</f>
        <v>4475</v>
      </c>
      <c r="U93" s="1"/>
      <c r="V93" s="5">
        <f t="shared" si="97"/>
        <v>0</v>
      </c>
      <c r="W93" s="1"/>
      <c r="X93" s="1">
        <f t="shared" si="98"/>
        <v>-3687.1800000000003</v>
      </c>
      <c r="Y93" s="1"/>
      <c r="Z93" s="5">
        <f t="shared" si="99"/>
        <v>-0.82395083798882685</v>
      </c>
    </row>
    <row r="94" spans="1:26" s="24" customFormat="1" hidden="1" outlineLevel="2" x14ac:dyDescent="0.35">
      <c r="A94" s="29"/>
      <c r="B94" s="11" t="str">
        <f>CONCATENATE("          ", "6292", " - ", "TRAVEL/CONFERENCE")</f>
        <v xml:space="preserve">          6292 - TRAVEL/CONFERENCE</v>
      </c>
      <c r="C94" s="11"/>
      <c r="D94" s="7"/>
      <c r="E94" s="2"/>
      <c r="F94" s="6">
        <f t="shared" si="92"/>
        <v>0</v>
      </c>
      <c r="G94" s="2"/>
      <c r="H94" s="7">
        <v>625</v>
      </c>
      <c r="I94" s="2"/>
      <c r="J94" s="6">
        <f t="shared" si="93"/>
        <v>0</v>
      </c>
      <c r="K94" s="2"/>
      <c r="L94" s="7">
        <f t="shared" si="94"/>
        <v>-625</v>
      </c>
      <c r="M94" s="2"/>
      <c r="N94" s="6">
        <f t="shared" si="95"/>
        <v>-1</v>
      </c>
      <c r="O94" s="11"/>
      <c r="P94" s="7">
        <v>720</v>
      </c>
      <c r="Q94" s="2"/>
      <c r="R94" s="6">
        <f t="shared" si="96"/>
        <v>0</v>
      </c>
      <c r="S94" s="2"/>
      <c r="T94" s="7">
        <v>4375</v>
      </c>
      <c r="U94" s="2"/>
      <c r="V94" s="6">
        <f t="shared" si="97"/>
        <v>0</v>
      </c>
      <c r="W94" s="2"/>
      <c r="X94" s="7">
        <f t="shared" si="98"/>
        <v>-3655</v>
      </c>
      <c r="Y94" s="2"/>
      <c r="Z94" s="6">
        <f t="shared" si="99"/>
        <v>-0.83542857142857141</v>
      </c>
    </row>
    <row r="95" spans="1:26" s="24" customFormat="1" hidden="1" outlineLevel="2" x14ac:dyDescent="0.35">
      <c r="A95" s="29"/>
      <c r="B95" s="11" t="str">
        <f>CONCATENATE("          ", "6294", " - ", "TRAVEL OPERATIONAL")</f>
        <v xml:space="preserve">          6294 - TRAVEL OPERATIONAL</v>
      </c>
      <c r="C95" s="11"/>
      <c r="D95" s="7">
        <v>21.2</v>
      </c>
      <c r="E95" s="2"/>
      <c r="F95" s="6">
        <f t="shared" si="92"/>
        <v>0</v>
      </c>
      <c r="G95" s="2"/>
      <c r="H95" s="7"/>
      <c r="I95" s="2"/>
      <c r="J95" s="6">
        <f t="shared" si="93"/>
        <v>0</v>
      </c>
      <c r="K95" s="2"/>
      <c r="L95" s="7">
        <f t="shared" si="94"/>
        <v>21.2</v>
      </c>
      <c r="M95" s="2"/>
      <c r="N95" s="6">
        <f t="shared" si="95"/>
        <v>0</v>
      </c>
      <c r="O95" s="11"/>
      <c r="P95" s="7">
        <v>67.819999999999993</v>
      </c>
      <c r="Q95" s="2"/>
      <c r="R95" s="6">
        <f t="shared" si="96"/>
        <v>0</v>
      </c>
      <c r="S95" s="2"/>
      <c r="T95" s="7">
        <v>100</v>
      </c>
      <c r="U95" s="2"/>
      <c r="V95" s="6">
        <f t="shared" si="97"/>
        <v>0</v>
      </c>
      <c r="W95" s="2"/>
      <c r="X95" s="7">
        <f t="shared" si="98"/>
        <v>-32.180000000000007</v>
      </c>
      <c r="Y95" s="2"/>
      <c r="Z95" s="6">
        <f t="shared" si="99"/>
        <v>-0.32180000000000009</v>
      </c>
    </row>
    <row r="96" spans="1:26" s="55" customFormat="1" x14ac:dyDescent="0.3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35">
      <c r="A97" s="10"/>
      <c r="B97" s="25" t="s">
        <v>0</v>
      </c>
      <c r="C97" s="10"/>
      <c r="D97" s="4">
        <f>SUM(OSRRefD25x_0)</f>
        <v>0</v>
      </c>
      <c r="E97" s="4"/>
      <c r="F97" s="12">
        <f t="shared" ref="F97:F100" si="100">IF(D$12=0,0,D97/D$12)</f>
        <v>0</v>
      </c>
      <c r="G97" s="4"/>
      <c r="H97" s="4">
        <f>SUM(OSRRefH25x_0)</f>
        <v>0</v>
      </c>
      <c r="I97" s="4"/>
      <c r="J97" s="12">
        <f t="shared" ref="J97:J100" si="101">IF(H$12=0,0,H97/H$12)</f>
        <v>0</v>
      </c>
      <c r="K97" s="4"/>
      <c r="L97" s="4">
        <f t="shared" ref="L97:L100" si="102">+D97-H97</f>
        <v>0</v>
      </c>
      <c r="M97" s="4"/>
      <c r="N97" s="12">
        <f t="shared" ref="N97:N100" si="103">IF(H97=0,0,L97/H97)</f>
        <v>0</v>
      </c>
      <c r="O97" s="10"/>
      <c r="P97" s="4">
        <f>SUM(OSRRefP25x_0)</f>
        <v>0</v>
      </c>
      <c r="Q97" s="4"/>
      <c r="R97" s="12">
        <f t="shared" ref="R97:R100" si="104">IF(P$12=0,0,P97/P$12)</f>
        <v>0</v>
      </c>
      <c r="S97" s="4"/>
      <c r="T97" s="4">
        <f>SUM(OSRRefT25x_0)</f>
        <v>0</v>
      </c>
      <c r="U97" s="4"/>
      <c r="V97" s="12">
        <f t="shared" ref="V97:V100" si="105">IF(T$12=0,0,T97/T$12)</f>
        <v>0</v>
      </c>
      <c r="W97" s="4"/>
      <c r="X97" s="4">
        <f t="shared" ref="X97:X100" si="106">+P97-T97</f>
        <v>0</v>
      </c>
      <c r="Y97" s="4"/>
      <c r="Z97" s="12">
        <f t="shared" ref="Z97:Z100" si="107">IF(T97=0,0,X97/T97)</f>
        <v>0</v>
      </c>
    </row>
    <row r="98" spans="1:26" s="24" customFormat="1" hidden="1" outlineLevel="1" x14ac:dyDescent="0.35">
      <c r="A98" s="51"/>
      <c r="B98" s="11" t="str">
        <f>CONCATENATE("          ", "9150", " - ", "MISC. INCOME")</f>
        <v xml:space="preserve">          9150 - MISC. INCOME</v>
      </c>
      <c r="C98" s="11"/>
      <c r="D98" s="2">
        <f t="shared" ref="D98:D100" si="108">0</f>
        <v>0</v>
      </c>
      <c r="E98" s="2"/>
      <c r="F98" s="22">
        <f t="shared" si="100"/>
        <v>0</v>
      </c>
      <c r="G98" s="2"/>
      <c r="H98" s="2"/>
      <c r="I98" s="2"/>
      <c r="J98" s="22">
        <f t="shared" si="101"/>
        <v>0</v>
      </c>
      <c r="K98" s="2"/>
      <c r="L98" s="2">
        <f t="shared" si="102"/>
        <v>0</v>
      </c>
      <c r="M98" s="2"/>
      <c r="N98" s="22">
        <f t="shared" si="103"/>
        <v>0</v>
      </c>
      <c r="O98" s="11"/>
      <c r="P98" s="2">
        <f t="shared" ref="P98:P100" si="109">0</f>
        <v>0</v>
      </c>
      <c r="Q98" s="2"/>
      <c r="R98" s="22">
        <f t="shared" si="104"/>
        <v>0</v>
      </c>
      <c r="S98" s="2"/>
      <c r="T98" s="2">
        <v>0</v>
      </c>
      <c r="U98" s="2"/>
      <c r="V98" s="22">
        <f t="shared" si="105"/>
        <v>0</v>
      </c>
      <c r="W98" s="2"/>
      <c r="X98" s="2">
        <f t="shared" si="106"/>
        <v>0</v>
      </c>
      <c r="Y98" s="2"/>
      <c r="Z98" s="22">
        <f t="shared" si="107"/>
        <v>0</v>
      </c>
    </row>
    <row r="99" spans="1:26" s="24" customFormat="1" hidden="1" outlineLevel="1" x14ac:dyDescent="0.35">
      <c r="A99" s="51"/>
      <c r="B99" s="11" t="str">
        <f>CONCATENATE("          ", "9151", " - ", "MISC. INCOME")</f>
        <v xml:space="preserve">          9151 - MISC. INCOME</v>
      </c>
      <c r="C99" s="11"/>
      <c r="D99" s="2">
        <f t="shared" si="108"/>
        <v>0</v>
      </c>
      <c r="E99" s="2"/>
      <c r="F99" s="22">
        <f t="shared" si="100"/>
        <v>0</v>
      </c>
      <c r="G99" s="2"/>
      <c r="H99" s="2"/>
      <c r="I99" s="2"/>
      <c r="J99" s="22">
        <f t="shared" si="101"/>
        <v>0</v>
      </c>
      <c r="K99" s="2"/>
      <c r="L99" s="2">
        <f t="shared" si="102"/>
        <v>0</v>
      </c>
      <c r="M99" s="2"/>
      <c r="N99" s="22">
        <f t="shared" si="103"/>
        <v>0</v>
      </c>
      <c r="O99" s="11"/>
      <c r="P99" s="2">
        <f t="shared" si="109"/>
        <v>0</v>
      </c>
      <c r="Q99" s="2"/>
      <c r="R99" s="22">
        <f t="shared" si="104"/>
        <v>0</v>
      </c>
      <c r="S99" s="2"/>
      <c r="T99" s="2">
        <v>0</v>
      </c>
      <c r="U99" s="2"/>
      <c r="V99" s="22">
        <f t="shared" si="105"/>
        <v>0</v>
      </c>
      <c r="W99" s="2"/>
      <c r="X99" s="2">
        <f t="shared" si="106"/>
        <v>0</v>
      </c>
      <c r="Y99" s="2"/>
      <c r="Z99" s="22">
        <f t="shared" si="107"/>
        <v>0</v>
      </c>
    </row>
    <row r="100" spans="1:26" s="24" customFormat="1" hidden="1" outlineLevel="1" x14ac:dyDescent="0.35">
      <c r="A100" s="51"/>
      <c r="B100" s="11" t="str">
        <f>CONCATENATE("          ", "9160", " - ", "MISC. INCOME")</f>
        <v xml:space="preserve">          9160 - MISC. INCOME</v>
      </c>
      <c r="C100" s="11"/>
      <c r="D100" s="2">
        <f t="shared" si="108"/>
        <v>0</v>
      </c>
      <c r="E100" s="2"/>
      <c r="F100" s="22">
        <f t="shared" si="100"/>
        <v>0</v>
      </c>
      <c r="G100" s="2"/>
      <c r="H100" s="2"/>
      <c r="I100" s="2"/>
      <c r="J100" s="22">
        <f t="shared" si="101"/>
        <v>0</v>
      </c>
      <c r="K100" s="2"/>
      <c r="L100" s="2">
        <f t="shared" si="102"/>
        <v>0</v>
      </c>
      <c r="M100" s="2"/>
      <c r="N100" s="22">
        <f t="shared" si="103"/>
        <v>0</v>
      </c>
      <c r="O100" s="11"/>
      <c r="P100" s="2">
        <f t="shared" si="109"/>
        <v>0</v>
      </c>
      <c r="Q100" s="2"/>
      <c r="R100" s="22">
        <f t="shared" si="104"/>
        <v>0</v>
      </c>
      <c r="S100" s="2"/>
      <c r="T100" s="2">
        <v>0</v>
      </c>
      <c r="U100" s="2"/>
      <c r="V100" s="22">
        <f t="shared" si="105"/>
        <v>0</v>
      </c>
      <c r="W100" s="2"/>
      <c r="X100" s="2">
        <f t="shared" si="106"/>
        <v>0</v>
      </c>
      <c r="Y100" s="2"/>
      <c r="Z100" s="22">
        <f t="shared" si="107"/>
        <v>0</v>
      </c>
    </row>
    <row r="101" spans="1:26" x14ac:dyDescent="0.3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35">
      <c r="A102" s="10"/>
      <c r="B102" s="26" t="s">
        <v>3</v>
      </c>
      <c r="C102" s="26"/>
      <c r="D102" s="19">
        <f>+D17-D19+D97</f>
        <v>-247477.45</v>
      </c>
      <c r="E102" s="13"/>
      <c r="F102" s="21">
        <f>IF(D$12=0,0,D102/D$12)</f>
        <v>0</v>
      </c>
      <c r="G102" s="13"/>
      <c r="H102" s="19">
        <f>+H17-H19+H97</f>
        <v>-294402.0391576924</v>
      </c>
      <c r="I102" s="13"/>
      <c r="J102" s="21">
        <f>IF(H$12=0,0,H102/H$12)</f>
        <v>0</v>
      </c>
      <c r="K102" s="16"/>
      <c r="L102" s="19">
        <f>+D102-H102</f>
        <v>46924.58915769239</v>
      </c>
      <c r="M102" s="16"/>
      <c r="N102" s="21">
        <f>IF(H102=0,0,L102/H102)</f>
        <v>-0.15938948416236301</v>
      </c>
      <c r="O102" s="25"/>
      <c r="P102" s="19">
        <f>+P17-P19+P97</f>
        <v>-1199028.6599999999</v>
      </c>
      <c r="Q102" s="13"/>
      <c r="R102" s="21">
        <f>IF(P$12=0,0,P102/P$12)</f>
        <v>0</v>
      </c>
      <c r="S102" s="13"/>
      <c r="T102" s="19">
        <f>+T17-T19+T97</f>
        <v>-1917399.4573038463</v>
      </c>
      <c r="U102" s="13"/>
      <c r="V102" s="21">
        <f>IF(T$12=0,0,T102/T$12)</f>
        <v>0</v>
      </c>
      <c r="W102" s="16"/>
      <c r="X102" s="19">
        <f>+P102-T102</f>
        <v>718370.79730384634</v>
      </c>
      <c r="Y102" s="16"/>
      <c r="Z102" s="21">
        <f>IF(T102=0,0,X102/T102)</f>
        <v>-0.37465891343996954</v>
      </c>
    </row>
    <row r="103" spans="1:26" x14ac:dyDescent="0.3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35">
      <c r="A104" s="52"/>
      <c r="B104" s="10" t="s">
        <v>14</v>
      </c>
      <c r="C104" s="10"/>
      <c r="D104" s="4"/>
      <c r="E104" s="4"/>
      <c r="F104" s="12">
        <f>IF(D$12=0,0,D104/D$12)</f>
        <v>0</v>
      </c>
      <c r="G104" s="4"/>
      <c r="H104" s="4"/>
      <c r="I104" s="4"/>
      <c r="J104" s="12">
        <f>IF(H$12=0,0,H104/H$12)</f>
        <v>0</v>
      </c>
      <c r="K104" s="4"/>
      <c r="L104" s="4">
        <f>+D104-H104</f>
        <v>0</v>
      </c>
      <c r="M104" s="4"/>
      <c r="N104" s="12">
        <f>IF(H104=0,0,L104/H104)</f>
        <v>0</v>
      </c>
      <c r="O104" s="10"/>
      <c r="P104" s="4"/>
      <c r="Q104" s="4"/>
      <c r="R104" s="12">
        <f>IF(P$12=0,0,P104/P$12)</f>
        <v>0</v>
      </c>
      <c r="S104" s="4"/>
      <c r="T104" s="4"/>
      <c r="U104" s="4"/>
      <c r="V104" s="12">
        <f>IF(T$12=0,0,T104/T$12)</f>
        <v>0</v>
      </c>
      <c r="W104" s="4"/>
      <c r="X104" s="4">
        <f>+P104-T104</f>
        <v>0</v>
      </c>
      <c r="Y104" s="4"/>
      <c r="Z104" s="12">
        <f>IF(T104=0,0,X104/T104)</f>
        <v>0</v>
      </c>
    </row>
    <row r="105" spans="1:26" x14ac:dyDescent="0.3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" thickBot="1" x14ac:dyDescent="0.4">
      <c r="A106" s="10"/>
      <c r="B106" s="26" t="s">
        <v>4</v>
      </c>
      <c r="C106" s="26"/>
      <c r="D106" s="33">
        <f>+D102-D104</f>
        <v>-247477.45</v>
      </c>
      <c r="E106" s="13"/>
      <c r="F106" s="31">
        <f>IF(D$12=0,0,D106/D$12)</f>
        <v>0</v>
      </c>
      <c r="G106" s="13"/>
      <c r="H106" s="33">
        <f>+H102-H104</f>
        <v>-294402.0391576924</v>
      </c>
      <c r="I106" s="13"/>
      <c r="J106" s="31">
        <f>IF(H$12=0,0,H106/H$12)</f>
        <v>0</v>
      </c>
      <c r="K106" s="16"/>
      <c r="L106" s="33">
        <f>D106-H106</f>
        <v>46924.58915769239</v>
      </c>
      <c r="M106" s="16"/>
      <c r="N106" s="31">
        <f>IF(H106=0,0,L106/H106)</f>
        <v>-0.15938948416236301</v>
      </c>
      <c r="O106" s="25"/>
      <c r="P106" s="33">
        <f>+P102-P104</f>
        <v>-1199028.6599999999</v>
      </c>
      <c r="Q106" s="13"/>
      <c r="R106" s="31">
        <f>IF(P$12=0,0,P106/P$12)</f>
        <v>0</v>
      </c>
      <c r="S106" s="13"/>
      <c r="T106" s="33">
        <f>+T102-T104</f>
        <v>-1917399.4573038463</v>
      </c>
      <c r="U106" s="13"/>
      <c r="V106" s="31">
        <f>IF(T$12=0,0,T106/T$12)</f>
        <v>0</v>
      </c>
      <c r="W106" s="16"/>
      <c r="X106" s="33">
        <f>P106-T106</f>
        <v>718370.79730384634</v>
      </c>
      <c r="Y106" s="16"/>
      <c r="Z106" s="31">
        <f>IF(T106=0,0,X106/T106)</f>
        <v>-0.37465891343996954</v>
      </c>
    </row>
    <row r="107" spans="1:26" ht="15" thickTop="1" x14ac:dyDescent="0.3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3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" thickBot="1" x14ac:dyDescent="0.4">
      <c r="A109" s="10"/>
      <c r="B109" s="26" t="s">
        <v>5</v>
      </c>
      <c r="C109" s="26"/>
      <c r="D109" s="34">
        <f>SUM(D106:D108)</f>
        <v>-247477.45</v>
      </c>
      <c r="E109" s="13"/>
      <c r="F109" s="32">
        <f>IF(D$12=0,0,D109/D$12)</f>
        <v>0</v>
      </c>
      <c r="G109" s="13"/>
      <c r="H109" s="34">
        <f>SUM(H106:H108)</f>
        <v>-294402.0391576924</v>
      </c>
      <c r="I109" s="13"/>
      <c r="J109" s="32">
        <f>IF(H$12=0,0,H109/H$12)</f>
        <v>0</v>
      </c>
      <c r="K109" s="16"/>
      <c r="L109" s="34">
        <f>+D109-H109</f>
        <v>46924.58915769239</v>
      </c>
      <c r="M109" s="16"/>
      <c r="N109" s="32">
        <f>IF(H109=0,0,L109/H109)</f>
        <v>-0.15938948416236301</v>
      </c>
      <c r="O109" s="25"/>
      <c r="P109" s="34">
        <f>SUM(P106:P108)</f>
        <v>-1199028.6599999999</v>
      </c>
      <c r="Q109" s="13"/>
      <c r="R109" s="32">
        <f>IF(P$12=0,0,P109/P$12)</f>
        <v>0</v>
      </c>
      <c r="S109" s="13"/>
      <c r="T109" s="34">
        <f>SUM(T106:T108)</f>
        <v>-1917399.4573038463</v>
      </c>
      <c r="U109" s="13"/>
      <c r="V109" s="32">
        <f>IF(T$12=0,0,T109/T$12)</f>
        <v>0</v>
      </c>
      <c r="W109" s="16"/>
      <c r="X109" s="34">
        <f>+P109-T109</f>
        <v>718370.79730384634</v>
      </c>
      <c r="Y109" s="16"/>
      <c r="Z109" s="32">
        <f>IF(T109=0,0,X109/T109)</f>
        <v>-0.37465891343996954</v>
      </c>
    </row>
    <row r="110" spans="1:26" ht="15" thickTop="1" x14ac:dyDescent="0.35">
      <c r="A110" s="9"/>
      <c r="C110" s="9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35">
      <c r="A111" s="9"/>
      <c r="B111" s="60">
        <v>44238.490033368056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35">
      <c r="A112" s="9"/>
      <c r="B112" s="59" t="s">
        <v>314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35">
      <c r="A113" s="9"/>
      <c r="B113" s="58"/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35"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","200", " - ", "Corporate Expense")</f>
        <v>Department 200 - Corporate Expense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6" t="s">
        <v>6</v>
      </c>
      <c r="C16" s="26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6"/>
      <c r="L16" s="19">
        <f>+D16-H16</f>
        <v>0</v>
      </c>
      <c r="M16" s="16"/>
      <c r="N16" s="21">
        <f>IF(H16=0,0,L16/H16)</f>
        <v>0</v>
      </c>
      <c r="O16" s="25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6"/>
      <c r="X16" s="19">
        <f>+P16-T16</f>
        <v>0</v>
      </c>
      <c r="Y16" s="16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5" t="s">
        <v>9</v>
      </c>
      <c r="C18" s="10"/>
      <c r="D18" s="20">
        <f>SUM(OSRRefD22x_0)</f>
        <v>43572.520000000004</v>
      </c>
      <c r="E18" s="20"/>
      <c r="F18" s="30">
        <f t="shared" ref="F18:F29" si="0">IF(D$12=0,0,D18/D$12)</f>
        <v>0</v>
      </c>
      <c r="G18" s="20"/>
      <c r="H18" s="20">
        <f>SUM(OSRRefH22x_0)</f>
        <v>67937</v>
      </c>
      <c r="I18" s="20"/>
      <c r="J18" s="30">
        <f t="shared" ref="J18:J29" si="1">IF(H$12=0,0,H18/H$12)</f>
        <v>0</v>
      </c>
      <c r="K18" s="4"/>
      <c r="L18" s="20">
        <f t="shared" ref="L18:L29" si="2">+D18-H18</f>
        <v>-24364.479999999996</v>
      </c>
      <c r="M18" s="4"/>
      <c r="N18" s="30">
        <f t="shared" ref="N18:N29" si="3">IF(H18=0,0,L18/H18)</f>
        <v>-0.35863343980452472</v>
      </c>
      <c r="O18" s="10"/>
      <c r="P18" s="20">
        <f>SUM(OSRRefP22x_0)</f>
        <v>-139627.69</v>
      </c>
      <c r="Q18" s="20"/>
      <c r="R18" s="30">
        <f t="shared" ref="R18:R29" si="4">IF(P$12=0,0,P18/P$12)</f>
        <v>0</v>
      </c>
      <c r="S18" s="20"/>
      <c r="T18" s="20">
        <f>SUM(OSRRefT22x_0)</f>
        <v>357459</v>
      </c>
      <c r="U18" s="20"/>
      <c r="V18" s="30">
        <f t="shared" ref="V18:V29" si="5">IF(T$12=0,0,T18/T$12)</f>
        <v>0</v>
      </c>
      <c r="W18" s="4"/>
      <c r="X18" s="20">
        <f t="shared" ref="X18:X29" si="6">+P18-T18</f>
        <v>-497086.69</v>
      </c>
      <c r="Y18" s="4"/>
      <c r="Z18" s="30">
        <f t="shared" ref="Z18:Z29" si="7">IF(T18=0,0,X18/T18)</f>
        <v>-1.3906117624678636</v>
      </c>
    </row>
    <row r="19" spans="1:26" s="28" customFormat="1" outlineLevel="1" collapsed="1" x14ac:dyDescent="0.3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28145.68</v>
      </c>
      <c r="E19" s="1"/>
      <c r="F19" s="5">
        <f t="shared" si="0"/>
        <v>0</v>
      </c>
      <c r="G19" s="1"/>
      <c r="H19" s="1">
        <f>SUM(OSRRefH22_0x_0)</f>
        <v>32000</v>
      </c>
      <c r="I19" s="1"/>
      <c r="J19" s="5">
        <f t="shared" si="1"/>
        <v>0</v>
      </c>
      <c r="K19" s="1"/>
      <c r="L19" s="1">
        <f t="shared" si="2"/>
        <v>-3854.3199999999997</v>
      </c>
      <c r="M19" s="1"/>
      <c r="N19" s="5">
        <f t="shared" si="3"/>
        <v>-0.12044749999999999</v>
      </c>
      <c r="O19" s="14"/>
      <c r="P19" s="1">
        <f>SUM(OSRRefP22_0x_0)</f>
        <v>-189192.6</v>
      </c>
      <c r="Q19" s="1"/>
      <c r="R19" s="5">
        <f t="shared" si="4"/>
        <v>0</v>
      </c>
      <c r="S19" s="1"/>
      <c r="T19" s="1">
        <f>SUM(OSRRefT22_0x_0)</f>
        <v>224000</v>
      </c>
      <c r="U19" s="1"/>
      <c r="V19" s="5">
        <f t="shared" si="5"/>
        <v>0</v>
      </c>
      <c r="W19" s="1"/>
      <c r="X19" s="1">
        <f t="shared" si="6"/>
        <v>-413192.6</v>
      </c>
      <c r="Y19" s="1"/>
      <c r="Z19" s="5">
        <f t="shared" si="7"/>
        <v>-1.8446098214285713</v>
      </c>
    </row>
    <row r="20" spans="1:26" s="24" customFormat="1" hidden="1" outlineLevel="2" x14ac:dyDescent="0.35">
      <c r="A20" s="29"/>
      <c r="B20" s="11" t="str">
        <f>CONCATENATE("          ", "6120", " - ", "RETIREES HEALTH INSURANCE")</f>
        <v xml:space="preserve">          6120 - RETIREES HEALTH INSURANCE</v>
      </c>
      <c r="C20" s="11"/>
      <c r="D20" s="7">
        <v>28145.68</v>
      </c>
      <c r="E20" s="2"/>
      <c r="F20" s="6">
        <f t="shared" si="0"/>
        <v>0</v>
      </c>
      <c r="G20" s="2"/>
      <c r="H20" s="7">
        <v>32000</v>
      </c>
      <c r="I20" s="2"/>
      <c r="J20" s="6">
        <f t="shared" si="1"/>
        <v>0</v>
      </c>
      <c r="K20" s="2"/>
      <c r="L20" s="7">
        <f t="shared" si="2"/>
        <v>-3854.3199999999997</v>
      </c>
      <c r="M20" s="2"/>
      <c r="N20" s="6">
        <f t="shared" si="3"/>
        <v>-0.12044749999999999</v>
      </c>
      <c r="O20" s="11"/>
      <c r="P20" s="7">
        <v>-189192.6</v>
      </c>
      <c r="Q20" s="2"/>
      <c r="R20" s="6">
        <f t="shared" si="4"/>
        <v>0</v>
      </c>
      <c r="S20" s="2"/>
      <c r="T20" s="7">
        <v>224000</v>
      </c>
      <c r="U20" s="2"/>
      <c r="V20" s="6">
        <f t="shared" si="5"/>
        <v>0</v>
      </c>
      <c r="W20" s="2"/>
      <c r="X20" s="7">
        <f t="shared" si="6"/>
        <v>-413192.6</v>
      </c>
      <c r="Y20" s="2"/>
      <c r="Z20" s="6">
        <f t="shared" si="7"/>
        <v>-1.8446098214285713</v>
      </c>
    </row>
    <row r="21" spans="1:26" s="28" customFormat="1" outlineLevel="1" collapsed="1" x14ac:dyDescent="0.35">
      <c r="A21" s="27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2078.09</v>
      </c>
      <c r="E21" s="1"/>
      <c r="F21" s="5">
        <f t="shared" si="0"/>
        <v>0</v>
      </c>
      <c r="G21" s="1"/>
      <c r="H21" s="1">
        <f>SUM(OSRRefH22_1x_0)</f>
        <v>15000</v>
      </c>
      <c r="I21" s="1"/>
      <c r="J21" s="5">
        <f t="shared" si="1"/>
        <v>0</v>
      </c>
      <c r="K21" s="1"/>
      <c r="L21" s="1">
        <f t="shared" si="2"/>
        <v>-12921.91</v>
      </c>
      <c r="M21" s="1"/>
      <c r="N21" s="5">
        <f t="shared" si="3"/>
        <v>-0.86146066666666665</v>
      </c>
      <c r="O21" s="14"/>
      <c r="P21" s="1">
        <f>SUM(OSRRefP22_1x_0)</f>
        <v>4982.67</v>
      </c>
      <c r="Q21" s="1"/>
      <c r="R21" s="5">
        <f t="shared" si="4"/>
        <v>0</v>
      </c>
      <c r="S21" s="1"/>
      <c r="T21" s="1">
        <f>SUM(OSRRefT22_1x_0)</f>
        <v>51000</v>
      </c>
      <c r="U21" s="1"/>
      <c r="V21" s="5">
        <f t="shared" si="5"/>
        <v>0</v>
      </c>
      <c r="W21" s="1"/>
      <c r="X21" s="1">
        <f t="shared" si="6"/>
        <v>-46017.33</v>
      </c>
      <c r="Y21" s="1"/>
      <c r="Z21" s="5">
        <f t="shared" si="7"/>
        <v>-0.90230058823529413</v>
      </c>
    </row>
    <row r="22" spans="1:26" s="24" customFormat="1" hidden="1" outlineLevel="2" x14ac:dyDescent="0.35">
      <c r="A22" s="29"/>
      <c r="B22" s="11" t="str">
        <f>CONCATENATE("          ", "6381", " - ", "BANK/CREDIT CARD FEES")</f>
        <v xml:space="preserve">          6381 - BANK/CREDIT CARD FEES</v>
      </c>
      <c r="C22" s="11"/>
      <c r="D22" s="7">
        <v>2078.09</v>
      </c>
      <c r="E22" s="2"/>
      <c r="F22" s="6">
        <f t="shared" si="0"/>
        <v>0</v>
      </c>
      <c r="G22" s="2"/>
      <c r="H22" s="7">
        <v>15000</v>
      </c>
      <c r="I22" s="2"/>
      <c r="J22" s="6">
        <f t="shared" si="1"/>
        <v>0</v>
      </c>
      <c r="K22" s="2"/>
      <c r="L22" s="7">
        <f t="shared" si="2"/>
        <v>-12921.91</v>
      </c>
      <c r="M22" s="2"/>
      <c r="N22" s="6">
        <f t="shared" si="3"/>
        <v>-0.86146066666666665</v>
      </c>
      <c r="O22" s="11"/>
      <c r="P22" s="7">
        <v>4982.67</v>
      </c>
      <c r="Q22" s="2"/>
      <c r="R22" s="6">
        <f t="shared" si="4"/>
        <v>0</v>
      </c>
      <c r="S22" s="2"/>
      <c r="T22" s="7">
        <v>51000</v>
      </c>
      <c r="U22" s="2"/>
      <c r="V22" s="6">
        <f t="shared" si="5"/>
        <v>0</v>
      </c>
      <c r="W22" s="2"/>
      <c r="X22" s="7">
        <f t="shared" si="6"/>
        <v>-46017.33</v>
      </c>
      <c r="Y22" s="2"/>
      <c r="Z22" s="6">
        <f t="shared" si="7"/>
        <v>-0.90230058823529413</v>
      </c>
    </row>
    <row r="23" spans="1:26" s="28" customFormat="1" outlineLevel="1" collapsed="1" x14ac:dyDescent="0.35">
      <c r="A23" s="27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1763</v>
      </c>
      <c r="E23" s="1"/>
      <c r="F23" s="5">
        <f t="shared" si="0"/>
        <v>0</v>
      </c>
      <c r="G23" s="1"/>
      <c r="H23" s="1">
        <f>SUM(OSRRefH22_2x_0)</f>
        <v>2437</v>
      </c>
      <c r="I23" s="1"/>
      <c r="J23" s="5">
        <f t="shared" si="1"/>
        <v>0</v>
      </c>
      <c r="K23" s="1"/>
      <c r="L23" s="1">
        <f t="shared" si="2"/>
        <v>-674</v>
      </c>
      <c r="M23" s="1"/>
      <c r="N23" s="5">
        <f t="shared" si="3"/>
        <v>-0.27656955272876488</v>
      </c>
      <c r="O23" s="14"/>
      <c r="P23" s="1">
        <f>SUM(OSRRefP22_2x_0)</f>
        <v>9599.99</v>
      </c>
      <c r="Q23" s="1"/>
      <c r="R23" s="5">
        <f t="shared" si="4"/>
        <v>0</v>
      </c>
      <c r="S23" s="1"/>
      <c r="T23" s="1">
        <f>SUM(OSRRefT22_2x_0)</f>
        <v>18959</v>
      </c>
      <c r="U23" s="1"/>
      <c r="V23" s="5">
        <f t="shared" si="5"/>
        <v>0</v>
      </c>
      <c r="W23" s="1"/>
      <c r="X23" s="1">
        <f t="shared" si="6"/>
        <v>-9359.01</v>
      </c>
      <c r="Y23" s="1"/>
      <c r="Z23" s="5">
        <f t="shared" si="7"/>
        <v>-0.49364470699931434</v>
      </c>
    </row>
    <row r="24" spans="1:26" s="24" customFormat="1" hidden="1" outlineLevel="2" x14ac:dyDescent="0.35">
      <c r="A24" s="29"/>
      <c r="B24" s="11" t="str">
        <f>CONCATENATE("          ", "6397", " - ", "BOARD EXPENSES")</f>
        <v xml:space="preserve">          6397 - BOARD EXPENSES</v>
      </c>
      <c r="C24" s="11"/>
      <c r="D24" s="7">
        <v>1763</v>
      </c>
      <c r="E24" s="2"/>
      <c r="F24" s="6">
        <f t="shared" si="0"/>
        <v>0</v>
      </c>
      <c r="G24" s="2"/>
      <c r="H24" s="7">
        <v>2437</v>
      </c>
      <c r="I24" s="2"/>
      <c r="J24" s="6">
        <f t="shared" si="1"/>
        <v>0</v>
      </c>
      <c r="K24" s="2"/>
      <c r="L24" s="7">
        <f t="shared" si="2"/>
        <v>-674</v>
      </c>
      <c r="M24" s="2"/>
      <c r="N24" s="6">
        <f t="shared" si="3"/>
        <v>-0.27656955272876488</v>
      </c>
      <c r="O24" s="11"/>
      <c r="P24" s="7">
        <v>9599.99</v>
      </c>
      <c r="Q24" s="2"/>
      <c r="R24" s="6">
        <f t="shared" si="4"/>
        <v>0</v>
      </c>
      <c r="S24" s="2"/>
      <c r="T24" s="7">
        <v>18959</v>
      </c>
      <c r="U24" s="2"/>
      <c r="V24" s="6">
        <f t="shared" si="5"/>
        <v>0</v>
      </c>
      <c r="W24" s="2"/>
      <c r="X24" s="7">
        <f t="shared" si="6"/>
        <v>-9359.01</v>
      </c>
      <c r="Y24" s="2"/>
      <c r="Z24" s="6">
        <f t="shared" si="7"/>
        <v>-0.49364470699931434</v>
      </c>
    </row>
    <row r="25" spans="1:26" s="28" customFormat="1" outlineLevel="1" collapsed="1" x14ac:dyDescent="0.35">
      <c r="A25" s="27"/>
      <c r="B25" s="14" t="str">
        <f>CONCATENATE("     ","Donations                                         ")</f>
        <v xml:space="preserve">     Donations            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5000</v>
      </c>
      <c r="I25" s="1"/>
      <c r="J25" s="5">
        <f t="shared" si="1"/>
        <v>0</v>
      </c>
      <c r="K25" s="1"/>
      <c r="L25" s="1">
        <f t="shared" si="2"/>
        <v>-5000</v>
      </c>
      <c r="M25" s="1"/>
      <c r="N25" s="5">
        <f t="shared" si="3"/>
        <v>-1</v>
      </c>
      <c r="O25" s="14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5000</v>
      </c>
      <c r="U25" s="1"/>
      <c r="V25" s="5">
        <f t="shared" si="5"/>
        <v>0</v>
      </c>
      <c r="W25" s="1"/>
      <c r="X25" s="1">
        <f t="shared" si="6"/>
        <v>-5000</v>
      </c>
      <c r="Y25" s="1"/>
      <c r="Z25" s="5">
        <f t="shared" si="7"/>
        <v>-1</v>
      </c>
    </row>
    <row r="26" spans="1:26" s="24" customFormat="1" hidden="1" outlineLevel="2" x14ac:dyDescent="0.35">
      <c r="A26" s="29"/>
      <c r="B26" s="11" t="str">
        <f>CONCATENATE("          ", "6399", " - ", "DONATION-ON CAMPUS")</f>
        <v xml:space="preserve">          6399 - DONATION-ON CAMPUS</v>
      </c>
      <c r="C26" s="11"/>
      <c r="D26" s="7"/>
      <c r="E26" s="2"/>
      <c r="F26" s="6">
        <f t="shared" si="0"/>
        <v>0</v>
      </c>
      <c r="G26" s="2"/>
      <c r="H26" s="7">
        <v>5000</v>
      </c>
      <c r="I26" s="2"/>
      <c r="J26" s="6">
        <f t="shared" si="1"/>
        <v>0</v>
      </c>
      <c r="K26" s="2"/>
      <c r="L26" s="7">
        <f t="shared" si="2"/>
        <v>-5000</v>
      </c>
      <c r="M26" s="2"/>
      <c r="N26" s="6">
        <f t="shared" si="3"/>
        <v>-1</v>
      </c>
      <c r="O26" s="11"/>
      <c r="P26" s="7"/>
      <c r="Q26" s="2"/>
      <c r="R26" s="6">
        <f t="shared" si="4"/>
        <v>0</v>
      </c>
      <c r="S26" s="2"/>
      <c r="T26" s="7">
        <v>5000</v>
      </c>
      <c r="U26" s="2"/>
      <c r="V26" s="6">
        <f t="shared" si="5"/>
        <v>0</v>
      </c>
      <c r="W26" s="2"/>
      <c r="X26" s="7">
        <f t="shared" si="6"/>
        <v>-5000</v>
      </c>
      <c r="Y26" s="2"/>
      <c r="Z26" s="6">
        <f t="shared" si="7"/>
        <v>-1</v>
      </c>
    </row>
    <row r="27" spans="1:26" s="28" customFormat="1" outlineLevel="1" collapsed="1" x14ac:dyDescent="0.35">
      <c r="A27" s="27"/>
      <c r="B27" s="14" t="str">
        <f>CONCATENATE("     ","Professional Services                             ")</f>
        <v xml:space="preserve">     Professional Services                             </v>
      </c>
      <c r="C27" s="14"/>
      <c r="D27" s="1">
        <f>SUM(OSRRefD22_4x_0)</f>
        <v>11585.75</v>
      </c>
      <c r="E27" s="1"/>
      <c r="F27" s="5">
        <f t="shared" si="0"/>
        <v>0</v>
      </c>
      <c r="G27" s="1"/>
      <c r="H27" s="1">
        <f>SUM(OSRRefH22_4x_0)</f>
        <v>13500</v>
      </c>
      <c r="I27" s="1"/>
      <c r="J27" s="5">
        <f t="shared" si="1"/>
        <v>0</v>
      </c>
      <c r="K27" s="1"/>
      <c r="L27" s="1">
        <f t="shared" si="2"/>
        <v>-1914.25</v>
      </c>
      <c r="M27" s="1"/>
      <c r="N27" s="5">
        <f t="shared" si="3"/>
        <v>-0.14179629629629631</v>
      </c>
      <c r="O27" s="14"/>
      <c r="P27" s="1">
        <f>SUM(OSRRefP22_4x_0)</f>
        <v>34982.25</v>
      </c>
      <c r="Q27" s="1"/>
      <c r="R27" s="5">
        <f t="shared" si="4"/>
        <v>0</v>
      </c>
      <c r="S27" s="1"/>
      <c r="T27" s="1">
        <f>SUM(OSRRefT22_4x_0)</f>
        <v>58500</v>
      </c>
      <c r="U27" s="1"/>
      <c r="V27" s="5">
        <f t="shared" si="5"/>
        <v>0</v>
      </c>
      <c r="W27" s="1"/>
      <c r="X27" s="1">
        <f t="shared" si="6"/>
        <v>-23517.75</v>
      </c>
      <c r="Y27" s="1"/>
      <c r="Z27" s="5">
        <f t="shared" si="7"/>
        <v>-0.4020128205128205</v>
      </c>
    </row>
    <row r="28" spans="1:26" s="24" customFormat="1" hidden="1" outlineLevel="2" x14ac:dyDescent="0.35">
      <c r="A28" s="29"/>
      <c r="B28" s="11" t="str">
        <f>CONCATENATE("          ", "6331", " - ", "INDIRECT COSTS-AUXILIARY ORGAN")</f>
        <v xml:space="preserve">          6331 - INDIRECT COSTS-AUXILIARY ORGAN</v>
      </c>
      <c r="C28" s="11"/>
      <c r="D28" s="7">
        <v>11585.75</v>
      </c>
      <c r="E28" s="2"/>
      <c r="F28" s="6">
        <f t="shared" si="0"/>
        <v>0</v>
      </c>
      <c r="G28" s="2"/>
      <c r="H28" s="7">
        <v>13500</v>
      </c>
      <c r="I28" s="2"/>
      <c r="J28" s="6">
        <f t="shared" si="1"/>
        <v>0</v>
      </c>
      <c r="K28" s="2"/>
      <c r="L28" s="7">
        <f t="shared" si="2"/>
        <v>-1914.25</v>
      </c>
      <c r="M28" s="2"/>
      <c r="N28" s="6">
        <f t="shared" si="3"/>
        <v>-0.14179629629629631</v>
      </c>
      <c r="O28" s="11"/>
      <c r="P28" s="7">
        <v>34982.25</v>
      </c>
      <c r="Q28" s="2"/>
      <c r="R28" s="6">
        <f t="shared" si="4"/>
        <v>0</v>
      </c>
      <c r="S28" s="2"/>
      <c r="T28" s="7">
        <v>40500</v>
      </c>
      <c r="U28" s="2"/>
      <c r="V28" s="6">
        <f t="shared" si="5"/>
        <v>0</v>
      </c>
      <c r="W28" s="2"/>
      <c r="X28" s="7">
        <f t="shared" si="6"/>
        <v>-5517.75</v>
      </c>
      <c r="Y28" s="2"/>
      <c r="Z28" s="6">
        <f t="shared" si="7"/>
        <v>-0.13624074074074075</v>
      </c>
    </row>
    <row r="29" spans="1:26" s="24" customFormat="1" hidden="1" outlineLevel="2" x14ac:dyDescent="0.35">
      <c r="A29" s="29"/>
      <c r="B29" s="11" t="str">
        <f>CONCATENATE("          ", "6332", " - ", "CONSULTANT FEES")</f>
        <v xml:space="preserve">          6332 - CONSULTANT FEES</v>
      </c>
      <c r="C29" s="11"/>
      <c r="D29" s="7"/>
      <c r="E29" s="2"/>
      <c r="F29" s="6">
        <f t="shared" si="0"/>
        <v>0</v>
      </c>
      <c r="G29" s="2"/>
      <c r="H29" s="7">
        <v>0</v>
      </c>
      <c r="I29" s="2"/>
      <c r="J29" s="6">
        <f t="shared" si="1"/>
        <v>0</v>
      </c>
      <c r="K29" s="2"/>
      <c r="L29" s="7">
        <f t="shared" si="2"/>
        <v>0</v>
      </c>
      <c r="M29" s="2"/>
      <c r="N29" s="6">
        <f t="shared" si="3"/>
        <v>0</v>
      </c>
      <c r="O29" s="11"/>
      <c r="P29" s="7"/>
      <c r="Q29" s="2"/>
      <c r="R29" s="6">
        <f t="shared" si="4"/>
        <v>0</v>
      </c>
      <c r="S29" s="2"/>
      <c r="T29" s="7">
        <v>18000</v>
      </c>
      <c r="U29" s="2"/>
      <c r="V29" s="6">
        <f t="shared" si="5"/>
        <v>0</v>
      </c>
      <c r="W29" s="2"/>
      <c r="X29" s="7">
        <f t="shared" si="6"/>
        <v>-18000</v>
      </c>
      <c r="Y29" s="2"/>
      <c r="Z29" s="6">
        <f t="shared" si="7"/>
        <v>-1</v>
      </c>
    </row>
    <row r="30" spans="1:26" s="55" customFormat="1" x14ac:dyDescent="0.35">
      <c r="A30" s="36"/>
      <c r="B30" s="36"/>
      <c r="C30" s="36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35">
      <c r="A31" s="10"/>
      <c r="B31" s="25" t="s">
        <v>0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3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10"/>
      <c r="B33" s="26" t="s">
        <v>3</v>
      </c>
      <c r="C33" s="26"/>
      <c r="D33" s="19">
        <f>+D16-D18+D31</f>
        <v>-43572.520000000004</v>
      </c>
      <c r="E33" s="13"/>
      <c r="F33" s="21">
        <f>IF(D$12=0,0,D33/D$12)</f>
        <v>0</v>
      </c>
      <c r="G33" s="13"/>
      <c r="H33" s="19">
        <f>+H16-H18+H31</f>
        <v>-67937</v>
      </c>
      <c r="I33" s="13"/>
      <c r="J33" s="21">
        <f>IF(H$12=0,0,H33/H$12)</f>
        <v>0</v>
      </c>
      <c r="K33" s="16"/>
      <c r="L33" s="19">
        <f>+D33-H33</f>
        <v>24364.479999999996</v>
      </c>
      <c r="M33" s="16"/>
      <c r="N33" s="21">
        <f>IF(H33=0,0,L33/H33)</f>
        <v>-0.35863343980452472</v>
      </c>
      <c r="O33" s="25"/>
      <c r="P33" s="19">
        <f>+P16-P18+P31</f>
        <v>139627.69</v>
      </c>
      <c r="Q33" s="13"/>
      <c r="R33" s="21">
        <f>IF(P$12=0,0,P33/P$12)</f>
        <v>0</v>
      </c>
      <c r="S33" s="13"/>
      <c r="T33" s="19">
        <f>+T16-T18+T31</f>
        <v>-357459</v>
      </c>
      <c r="U33" s="13"/>
      <c r="V33" s="21">
        <f>IF(T$12=0,0,T33/T$12)</f>
        <v>0</v>
      </c>
      <c r="W33" s="16"/>
      <c r="X33" s="19">
        <f>+P33-T33</f>
        <v>497086.69</v>
      </c>
      <c r="Y33" s="16"/>
      <c r="Z33" s="21">
        <f>IF(T33=0,0,X33/T33)</f>
        <v>-1.3906117624678636</v>
      </c>
    </row>
    <row r="34" spans="1:26" x14ac:dyDescent="0.3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35">
      <c r="A35" s="52"/>
      <c r="B35" s="10" t="s">
        <v>14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3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" thickBot="1" x14ac:dyDescent="0.4">
      <c r="A37" s="10"/>
      <c r="B37" s="26" t="s">
        <v>4</v>
      </c>
      <c r="C37" s="26"/>
      <c r="D37" s="33">
        <f>+D33-D35</f>
        <v>-43572.520000000004</v>
      </c>
      <c r="E37" s="13"/>
      <c r="F37" s="31">
        <f>IF(D$12=0,0,D37/D$12)</f>
        <v>0</v>
      </c>
      <c r="G37" s="13"/>
      <c r="H37" s="33">
        <f>+H33-H35</f>
        <v>-67937</v>
      </c>
      <c r="I37" s="13"/>
      <c r="J37" s="31">
        <f>IF(H$12=0,0,H37/H$12)</f>
        <v>0</v>
      </c>
      <c r="K37" s="16"/>
      <c r="L37" s="33">
        <f>D37-H37</f>
        <v>24364.479999999996</v>
      </c>
      <c r="M37" s="16"/>
      <c r="N37" s="31">
        <f>IF(H37=0,0,L37/H37)</f>
        <v>-0.35863343980452472</v>
      </c>
      <c r="O37" s="25"/>
      <c r="P37" s="33">
        <f>+P33-P35</f>
        <v>139627.69</v>
      </c>
      <c r="Q37" s="13"/>
      <c r="R37" s="31">
        <f>IF(P$12=0,0,P37/P$12)</f>
        <v>0</v>
      </c>
      <c r="S37" s="13"/>
      <c r="T37" s="33">
        <f>+T33-T35</f>
        <v>-357459</v>
      </c>
      <c r="U37" s="13"/>
      <c r="V37" s="31">
        <f>IF(T$12=0,0,T37/T$12)</f>
        <v>0</v>
      </c>
      <c r="W37" s="16"/>
      <c r="X37" s="33">
        <f>P37-T37</f>
        <v>497086.69</v>
      </c>
      <c r="Y37" s="16"/>
      <c r="Z37" s="31">
        <f>IF(T37=0,0,X37/T37)</f>
        <v>-1.3906117624678636</v>
      </c>
    </row>
    <row r="38" spans="1:26" ht="15" thickTop="1" x14ac:dyDescent="0.3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3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" thickBot="1" x14ac:dyDescent="0.4">
      <c r="A40" s="10"/>
      <c r="B40" s="26" t="s">
        <v>5</v>
      </c>
      <c r="C40" s="26"/>
      <c r="D40" s="34">
        <f>SUM(D37:D39)</f>
        <v>-43572.520000000004</v>
      </c>
      <c r="E40" s="13"/>
      <c r="F40" s="32">
        <f>IF(D$12=0,0,D40/D$12)</f>
        <v>0</v>
      </c>
      <c r="G40" s="13"/>
      <c r="H40" s="34">
        <f>SUM(H37:H39)</f>
        <v>-67937</v>
      </c>
      <c r="I40" s="13"/>
      <c r="J40" s="32">
        <f>IF(H$12=0,0,H40/H$12)</f>
        <v>0</v>
      </c>
      <c r="K40" s="16"/>
      <c r="L40" s="34">
        <f>+D40-H40</f>
        <v>24364.479999999996</v>
      </c>
      <c r="M40" s="16"/>
      <c r="N40" s="32">
        <f>IF(H40=0,0,L40/H40)</f>
        <v>-0.35863343980452472</v>
      </c>
      <c r="O40" s="25"/>
      <c r="P40" s="34">
        <f>SUM(P37:P39)</f>
        <v>139627.69</v>
      </c>
      <c r="Q40" s="13"/>
      <c r="R40" s="32">
        <f>IF(P$12=0,0,P40/P$12)</f>
        <v>0</v>
      </c>
      <c r="S40" s="13"/>
      <c r="T40" s="34">
        <f>SUM(T37:T39)</f>
        <v>-357459</v>
      </c>
      <c r="U40" s="13"/>
      <c r="V40" s="32">
        <f>IF(T$12=0,0,T40/T$12)</f>
        <v>0</v>
      </c>
      <c r="W40" s="16"/>
      <c r="X40" s="34">
        <f>+P40-T40</f>
        <v>497086.69</v>
      </c>
      <c r="Y40" s="16"/>
      <c r="Z40" s="32">
        <f>IF(T40=0,0,X40/T40)</f>
        <v>-1.3906117624678636</v>
      </c>
    </row>
    <row r="41" spans="1:26" ht="15" thickTop="1" x14ac:dyDescent="0.35">
      <c r="A41" s="9"/>
      <c r="C41" s="9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35">
      <c r="A42" s="9"/>
      <c r="B42" s="60">
        <v>44238.490259259263</v>
      </c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35">
      <c r="A43" s="9"/>
      <c r="B43" s="59" t="s">
        <v>314</v>
      </c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35">
      <c r="A44" s="9"/>
      <c r="B44" s="58"/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  <row r="45" spans="1:26" x14ac:dyDescent="0.35"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","201", " - ", "General Manager")</f>
        <v>Department 201 - General Manager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5">
      <c r="A17" s="10"/>
      <c r="B17" s="26" t="s">
        <v>6</v>
      </c>
      <c r="C17" s="26"/>
      <c r="D17" s="19">
        <f>D12-D15</f>
        <v>0</v>
      </c>
      <c r="E17" s="13"/>
      <c r="F17" s="21">
        <f>IF(D$12=0,0,D17/D$12)</f>
        <v>0</v>
      </c>
      <c r="G17" s="13"/>
      <c r="H17" s="19">
        <f>H12-H15</f>
        <v>0</v>
      </c>
      <c r="I17" s="13"/>
      <c r="J17" s="21">
        <f>IF(H$12=0,0,H17/H$12)</f>
        <v>0</v>
      </c>
      <c r="K17" s="16"/>
      <c r="L17" s="19">
        <f>+D17-H17</f>
        <v>0</v>
      </c>
      <c r="M17" s="16"/>
      <c r="N17" s="21">
        <f>IF(H17=0,0,L17/H17)</f>
        <v>0</v>
      </c>
      <c r="O17" s="25"/>
      <c r="P17" s="19">
        <f>P12-P15</f>
        <v>0</v>
      </c>
      <c r="Q17" s="13"/>
      <c r="R17" s="21">
        <f>IF(P$12=0,0,P17/P$12)</f>
        <v>0</v>
      </c>
      <c r="S17" s="13"/>
      <c r="T17" s="19">
        <f>T12-T15</f>
        <v>0</v>
      </c>
      <c r="U17" s="13"/>
      <c r="V17" s="21">
        <f>IF(T$12=0,0,T17/T$12)</f>
        <v>0</v>
      </c>
      <c r="W17" s="16"/>
      <c r="X17" s="19">
        <f>+P17-T17</f>
        <v>0</v>
      </c>
      <c r="Y17" s="16"/>
      <c r="Z17" s="21">
        <f>IF(T17=0,0,X17/T17)</f>
        <v>0</v>
      </c>
    </row>
    <row r="18" spans="1:26" x14ac:dyDescent="0.3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5">
      <c r="A19" s="10"/>
      <c r="B19" s="25" t="s">
        <v>9</v>
      </c>
      <c r="C19" s="10"/>
      <c r="D19" s="20">
        <f>SUM(OSRRefD22x_0)</f>
        <v>36488.950000000004</v>
      </c>
      <c r="E19" s="20"/>
      <c r="F19" s="30">
        <f t="shared" ref="F19:F29" si="4">IF(D$12=0,0,D19/D$12)</f>
        <v>0</v>
      </c>
      <c r="G19" s="20"/>
      <c r="H19" s="20">
        <f>SUM(OSRRefH22x_0)</f>
        <v>40461.947384615363</v>
      </c>
      <c r="I19" s="20"/>
      <c r="J19" s="30">
        <f t="shared" ref="J19:J29" si="5">IF(H$12=0,0,H19/H$12)</f>
        <v>0</v>
      </c>
      <c r="K19" s="4"/>
      <c r="L19" s="20">
        <f t="shared" ref="L19:L29" si="6">+D19-H19</f>
        <v>-3972.9973846153589</v>
      </c>
      <c r="M19" s="4"/>
      <c r="N19" s="30">
        <f t="shared" ref="N19:N29" si="7">IF(H19=0,0,L19/H19)</f>
        <v>-9.8190958206969325E-2</v>
      </c>
      <c r="O19" s="10"/>
      <c r="P19" s="20">
        <f>SUM(OSRRefP22x_0)</f>
        <v>268227.72000000003</v>
      </c>
      <c r="Q19" s="20"/>
      <c r="R19" s="30">
        <f t="shared" ref="R19:R29" si="8">IF(P$12=0,0,P19/P$12)</f>
        <v>0</v>
      </c>
      <c r="S19" s="20"/>
      <c r="T19" s="20">
        <f>SUM(OSRRefT22x_0)</f>
        <v>340730.15258461516</v>
      </c>
      <c r="U19" s="20"/>
      <c r="V19" s="30">
        <f t="shared" ref="V19:V29" si="9">IF(T$12=0,0,T19/T$12)</f>
        <v>0</v>
      </c>
      <c r="W19" s="4"/>
      <c r="X19" s="20">
        <f t="shared" ref="X19:X29" si="10">+P19-T19</f>
        <v>-72502.432584615133</v>
      </c>
      <c r="Y19" s="4"/>
      <c r="Z19" s="30">
        <f t="shared" ref="Z19:Z29" si="11">IF(T19=0,0,X19/T19)</f>
        <v>-0.21278549032026231</v>
      </c>
    </row>
    <row r="20" spans="1:26" s="28" customFormat="1" outlineLevel="1" collapsed="1" x14ac:dyDescent="0.3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10738.44</v>
      </c>
      <c r="E20" s="1"/>
      <c r="F20" s="5">
        <f t="shared" si="4"/>
        <v>0</v>
      </c>
      <c r="G20" s="1"/>
      <c r="H20" s="1">
        <f>SUM(OSRRefH22_0x_0)</f>
        <v>9871.3320000000022</v>
      </c>
      <c r="I20" s="1"/>
      <c r="J20" s="5">
        <f t="shared" si="5"/>
        <v>0</v>
      </c>
      <c r="K20" s="1"/>
      <c r="L20" s="1">
        <f t="shared" si="6"/>
        <v>867.10799999999836</v>
      </c>
      <c r="M20" s="1"/>
      <c r="N20" s="5">
        <f t="shared" si="7"/>
        <v>8.7841033003448588E-2</v>
      </c>
      <c r="O20" s="14"/>
      <c r="P20" s="1">
        <f>SUM(OSRRefP22_0x_0)</f>
        <v>76202.000000000015</v>
      </c>
      <c r="Q20" s="1"/>
      <c r="R20" s="5">
        <f t="shared" si="8"/>
        <v>0</v>
      </c>
      <c r="S20" s="1"/>
      <c r="T20" s="1">
        <f>SUM(OSRRefT22_0x_0)</f>
        <v>62903.537200000006</v>
      </c>
      <c r="U20" s="1"/>
      <c r="V20" s="5">
        <f t="shared" si="9"/>
        <v>0</v>
      </c>
      <c r="W20" s="1"/>
      <c r="X20" s="1">
        <f t="shared" si="10"/>
        <v>13298.462800000008</v>
      </c>
      <c r="Y20" s="1"/>
      <c r="Z20" s="5">
        <f t="shared" si="11"/>
        <v>0.21141041333999905</v>
      </c>
    </row>
    <row r="21" spans="1:26" s="24" customFormat="1" hidden="1" outlineLevel="2" x14ac:dyDescent="0.35">
      <c r="A21" s="29"/>
      <c r="B21" s="11" t="str">
        <f>CONCATENATE("          ", "6111", " - ", "F.I.C.A.")</f>
        <v xml:space="preserve">          6111 - F.I.C.A.</v>
      </c>
      <c r="C21" s="11"/>
      <c r="D21" s="7">
        <v>1363.33</v>
      </c>
      <c r="E21" s="2"/>
      <c r="F21" s="6">
        <f t="shared" si="4"/>
        <v>0</v>
      </c>
      <c r="G21" s="2"/>
      <c r="H21" s="7">
        <v>1902.6535384615399</v>
      </c>
      <c r="I21" s="2"/>
      <c r="J21" s="6">
        <f t="shared" si="5"/>
        <v>0</v>
      </c>
      <c r="K21" s="2"/>
      <c r="L21" s="7">
        <f t="shared" si="6"/>
        <v>-539.32353846154001</v>
      </c>
      <c r="M21" s="2"/>
      <c r="N21" s="6">
        <f t="shared" si="7"/>
        <v>-0.28345861585374593</v>
      </c>
      <c r="O21" s="11"/>
      <c r="P21" s="7">
        <v>8288.11</v>
      </c>
      <c r="Q21" s="2"/>
      <c r="R21" s="6">
        <f t="shared" si="8"/>
        <v>0</v>
      </c>
      <c r="S21" s="2"/>
      <c r="T21" s="7">
        <v>11517.88273846154</v>
      </c>
      <c r="U21" s="2"/>
      <c r="V21" s="6">
        <f t="shared" si="9"/>
        <v>0</v>
      </c>
      <c r="W21" s="2"/>
      <c r="X21" s="7">
        <f t="shared" si="10"/>
        <v>-3229.7727384615391</v>
      </c>
      <c r="Y21" s="2"/>
      <c r="Z21" s="6">
        <f t="shared" si="11"/>
        <v>-0.28041375414219094</v>
      </c>
    </row>
    <row r="22" spans="1:26" s="24" customFormat="1" hidden="1" outlineLevel="2" x14ac:dyDescent="0.35">
      <c r="A22" s="29"/>
      <c r="B22" s="11" t="str">
        <f>CONCATENATE("          ", "6112", " - ", "COMPENSATION INSURANCE")</f>
        <v xml:space="preserve">          6112 - COMPENSATION INSURANCE</v>
      </c>
      <c r="C22" s="11"/>
      <c r="D22" s="7">
        <v>-68.12</v>
      </c>
      <c r="E22" s="2"/>
      <c r="F22" s="6">
        <f t="shared" si="4"/>
        <v>0</v>
      </c>
      <c r="G22" s="2"/>
      <c r="H22" s="7">
        <v>77.423076923076906</v>
      </c>
      <c r="I22" s="2"/>
      <c r="J22" s="6">
        <f t="shared" si="5"/>
        <v>0</v>
      </c>
      <c r="K22" s="2"/>
      <c r="L22" s="7">
        <f t="shared" si="6"/>
        <v>-145.54307692307691</v>
      </c>
      <c r="M22" s="2"/>
      <c r="N22" s="6">
        <f t="shared" si="7"/>
        <v>-1.8798410332836566</v>
      </c>
      <c r="O22" s="11"/>
      <c r="P22" s="7">
        <v>568.59</v>
      </c>
      <c r="Q22" s="2"/>
      <c r="R22" s="6">
        <f t="shared" si="8"/>
        <v>0</v>
      </c>
      <c r="S22" s="2"/>
      <c r="T22" s="7">
        <v>480.0230769230771</v>
      </c>
      <c r="U22" s="2"/>
      <c r="V22" s="6">
        <f t="shared" si="9"/>
        <v>0</v>
      </c>
      <c r="W22" s="2"/>
      <c r="X22" s="7">
        <f t="shared" si="10"/>
        <v>88.566923076922933</v>
      </c>
      <c r="Y22" s="2"/>
      <c r="Z22" s="6">
        <f t="shared" si="11"/>
        <v>0.18450555261766224</v>
      </c>
    </row>
    <row r="23" spans="1:26" s="24" customFormat="1" hidden="1" outlineLevel="2" x14ac:dyDescent="0.35">
      <c r="A23" s="29"/>
      <c r="B23" s="11" t="str">
        <f>CONCATENATE("          ", "6113", " - ", "GROUP INSURANCE")</f>
        <v xml:space="preserve">          6113 - GROUP INSURANCE</v>
      </c>
      <c r="C23" s="11"/>
      <c r="D23" s="7">
        <v>3917.15</v>
      </c>
      <c r="E23" s="2"/>
      <c r="F23" s="6">
        <f t="shared" si="4"/>
        <v>0</v>
      </c>
      <c r="G23" s="2"/>
      <c r="H23" s="7">
        <v>3365</v>
      </c>
      <c r="I23" s="2"/>
      <c r="J23" s="6">
        <f t="shared" si="5"/>
        <v>0</v>
      </c>
      <c r="K23" s="2"/>
      <c r="L23" s="7">
        <f t="shared" si="6"/>
        <v>552.15000000000009</v>
      </c>
      <c r="M23" s="2"/>
      <c r="N23" s="6">
        <f t="shared" si="7"/>
        <v>0.16408618127786034</v>
      </c>
      <c r="O23" s="11"/>
      <c r="P23" s="7">
        <v>28131.070000000003</v>
      </c>
      <c r="Q23" s="2"/>
      <c r="R23" s="6">
        <f t="shared" si="8"/>
        <v>0</v>
      </c>
      <c r="S23" s="2"/>
      <c r="T23" s="7">
        <v>23555</v>
      </c>
      <c r="U23" s="2"/>
      <c r="V23" s="6">
        <f t="shared" si="9"/>
        <v>0</v>
      </c>
      <c r="W23" s="2"/>
      <c r="X23" s="7">
        <f t="shared" si="10"/>
        <v>4576.0700000000033</v>
      </c>
      <c r="Y23" s="2"/>
      <c r="Z23" s="6">
        <f t="shared" si="11"/>
        <v>0.19427170452133319</v>
      </c>
    </row>
    <row r="24" spans="1:26" s="24" customFormat="1" hidden="1" outlineLevel="2" x14ac:dyDescent="0.3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7">
        <v>98.77</v>
      </c>
      <c r="E24" s="2"/>
      <c r="F24" s="6">
        <f t="shared" si="4"/>
        <v>0</v>
      </c>
      <c r="G24" s="2"/>
      <c r="H24" s="7">
        <v>64.64</v>
      </c>
      <c r="I24" s="2"/>
      <c r="J24" s="6">
        <f t="shared" si="5"/>
        <v>0</v>
      </c>
      <c r="K24" s="2"/>
      <c r="L24" s="7">
        <f t="shared" si="6"/>
        <v>34.129999999999995</v>
      </c>
      <c r="M24" s="2"/>
      <c r="N24" s="6">
        <f t="shared" si="7"/>
        <v>0.52800123762376228</v>
      </c>
      <c r="O24" s="11"/>
      <c r="P24" s="7">
        <v>447.99</v>
      </c>
      <c r="Q24" s="2"/>
      <c r="R24" s="6">
        <f t="shared" si="8"/>
        <v>0</v>
      </c>
      <c r="S24" s="2"/>
      <c r="T24" s="7">
        <v>394.21600000000001</v>
      </c>
      <c r="U24" s="2"/>
      <c r="V24" s="6">
        <f t="shared" si="9"/>
        <v>0</v>
      </c>
      <c r="W24" s="2"/>
      <c r="X24" s="7">
        <f t="shared" si="10"/>
        <v>53.774000000000001</v>
      </c>
      <c r="Y24" s="2"/>
      <c r="Z24" s="6">
        <f t="shared" si="11"/>
        <v>0.13640745175233882</v>
      </c>
    </row>
    <row r="25" spans="1:26" s="24" customFormat="1" hidden="1" outlineLevel="2" x14ac:dyDescent="0.35">
      <c r="A25" s="29"/>
      <c r="B25" s="11" t="str">
        <f>CONCATENATE("          ", "6115", " - ", "P.E.R.S.")</f>
        <v xml:space="preserve">          6115 - P.E.R.S.</v>
      </c>
      <c r="C25" s="11"/>
      <c r="D25" s="7">
        <v>2911.53</v>
      </c>
      <c r="E25" s="2"/>
      <c r="F25" s="6">
        <f t="shared" si="4"/>
        <v>0</v>
      </c>
      <c r="G25" s="2"/>
      <c r="H25" s="7">
        <v>2017.6923076923101</v>
      </c>
      <c r="I25" s="2"/>
      <c r="J25" s="6">
        <f t="shared" si="5"/>
        <v>0</v>
      </c>
      <c r="K25" s="2"/>
      <c r="L25" s="7">
        <f t="shared" si="6"/>
        <v>893.83769230769008</v>
      </c>
      <c r="M25" s="2"/>
      <c r="N25" s="6">
        <f t="shared" si="7"/>
        <v>0.44299999999999834</v>
      </c>
      <c r="O25" s="11"/>
      <c r="P25" s="7">
        <v>19567.560000000001</v>
      </c>
      <c r="Q25" s="2"/>
      <c r="R25" s="6">
        <f t="shared" si="8"/>
        <v>0</v>
      </c>
      <c r="S25" s="2"/>
      <c r="T25" s="7">
        <v>12509.692307692329</v>
      </c>
      <c r="U25" s="2"/>
      <c r="V25" s="6">
        <f t="shared" si="9"/>
        <v>0</v>
      </c>
      <c r="W25" s="2"/>
      <c r="X25" s="7">
        <f t="shared" si="10"/>
        <v>7057.8676923076728</v>
      </c>
      <c r="Y25" s="2"/>
      <c r="Z25" s="6">
        <f t="shared" si="11"/>
        <v>0.56419194962674846</v>
      </c>
    </row>
    <row r="26" spans="1:26" s="24" customFormat="1" hidden="1" outlineLevel="2" x14ac:dyDescent="0.35">
      <c r="A26" s="29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35">
      <c r="A27" s="29"/>
      <c r="B27" s="11" t="str">
        <f>CONCATENATE("          ", "6118", " - ", "VACATION")</f>
        <v xml:space="preserve">          6118 - VACATION</v>
      </c>
      <c r="C27" s="11"/>
      <c r="D27" s="7">
        <v>1658.98</v>
      </c>
      <c r="E27" s="2"/>
      <c r="F27" s="6">
        <f t="shared" si="4"/>
        <v>0</v>
      </c>
      <c r="G27" s="2"/>
      <c r="H27" s="7">
        <v>1173.0769230769201</v>
      </c>
      <c r="I27" s="2"/>
      <c r="J27" s="6">
        <f t="shared" si="5"/>
        <v>0</v>
      </c>
      <c r="K27" s="2"/>
      <c r="L27" s="7">
        <f t="shared" si="6"/>
        <v>485.90307692307988</v>
      </c>
      <c r="M27" s="2"/>
      <c r="N27" s="6">
        <f t="shared" si="7"/>
        <v>0.41421245901639703</v>
      </c>
      <c r="O27" s="11"/>
      <c r="P27" s="7">
        <v>12442.35</v>
      </c>
      <c r="Q27" s="2"/>
      <c r="R27" s="6">
        <f t="shared" si="8"/>
        <v>0</v>
      </c>
      <c r="S27" s="2"/>
      <c r="T27" s="7">
        <v>7273.0769230769156</v>
      </c>
      <c r="U27" s="2"/>
      <c r="V27" s="6">
        <f t="shared" si="9"/>
        <v>0</v>
      </c>
      <c r="W27" s="2"/>
      <c r="X27" s="7">
        <f t="shared" si="10"/>
        <v>5169.2730769230848</v>
      </c>
      <c r="Y27" s="2"/>
      <c r="Z27" s="6">
        <f t="shared" si="11"/>
        <v>0.71074087784241324</v>
      </c>
    </row>
    <row r="28" spans="1:26" s="24" customFormat="1" hidden="1" outlineLevel="2" x14ac:dyDescent="0.35">
      <c r="A28" s="29"/>
      <c r="B28" s="11" t="str">
        <f>CONCATENATE("          ", "6119", " - ", "SICK LEAVE")</f>
        <v xml:space="preserve">          6119 - SICK LEAVE</v>
      </c>
      <c r="C28" s="11"/>
      <c r="D28" s="7">
        <v>856.8</v>
      </c>
      <c r="E28" s="2"/>
      <c r="F28" s="6">
        <f t="shared" si="4"/>
        <v>0</v>
      </c>
      <c r="G28" s="2"/>
      <c r="H28" s="7">
        <v>745.84615384615404</v>
      </c>
      <c r="I28" s="2"/>
      <c r="J28" s="6">
        <f t="shared" si="5"/>
        <v>0</v>
      </c>
      <c r="K28" s="2"/>
      <c r="L28" s="7">
        <f t="shared" si="6"/>
        <v>110.95384615384592</v>
      </c>
      <c r="M28" s="2"/>
      <c r="N28" s="6">
        <f t="shared" si="7"/>
        <v>0.14876237623762339</v>
      </c>
      <c r="O28" s="11"/>
      <c r="P28" s="7">
        <v>6426</v>
      </c>
      <c r="Q28" s="2"/>
      <c r="R28" s="6">
        <f t="shared" si="8"/>
        <v>0</v>
      </c>
      <c r="S28" s="2"/>
      <c r="T28" s="7">
        <v>4548.6461538461544</v>
      </c>
      <c r="U28" s="2"/>
      <c r="V28" s="6">
        <f t="shared" si="9"/>
        <v>0</v>
      </c>
      <c r="W28" s="2"/>
      <c r="X28" s="7">
        <f t="shared" si="10"/>
        <v>1877.3538461538456</v>
      </c>
      <c r="Y28" s="2"/>
      <c r="Z28" s="6">
        <f t="shared" si="11"/>
        <v>0.41272804756783066</v>
      </c>
    </row>
    <row r="29" spans="1:26" s="24" customFormat="1" hidden="1" outlineLevel="2" x14ac:dyDescent="0.35">
      <c r="A29" s="29"/>
      <c r="B29" s="11" t="str">
        <f>CONCATENATE("          ", "6156", " - ", "EMPLOYEE MEALS")</f>
        <v xml:space="preserve">          6156 - EMPLOYEE MEALS</v>
      </c>
      <c r="C29" s="11"/>
      <c r="D29" s="7"/>
      <c r="E29" s="2"/>
      <c r="F29" s="6">
        <f t="shared" si="4"/>
        <v>0</v>
      </c>
      <c r="G29" s="2"/>
      <c r="H29" s="7">
        <v>525</v>
      </c>
      <c r="I29" s="2"/>
      <c r="J29" s="6">
        <f t="shared" si="5"/>
        <v>0</v>
      </c>
      <c r="K29" s="2"/>
      <c r="L29" s="7">
        <f t="shared" si="6"/>
        <v>-525</v>
      </c>
      <c r="M29" s="2"/>
      <c r="N29" s="6">
        <f t="shared" si="7"/>
        <v>-1</v>
      </c>
      <c r="O29" s="11"/>
      <c r="P29" s="7">
        <v>330.33</v>
      </c>
      <c r="Q29" s="2"/>
      <c r="R29" s="6">
        <f t="shared" si="8"/>
        <v>0</v>
      </c>
      <c r="S29" s="2"/>
      <c r="T29" s="7">
        <v>2625</v>
      </c>
      <c r="U29" s="2"/>
      <c r="V29" s="6">
        <f t="shared" si="9"/>
        <v>0</v>
      </c>
      <c r="W29" s="2"/>
      <c r="X29" s="7">
        <f t="shared" si="10"/>
        <v>-2294.67</v>
      </c>
      <c r="Y29" s="2"/>
      <c r="Z29" s="6">
        <f t="shared" si="11"/>
        <v>-0.87416000000000005</v>
      </c>
    </row>
    <row r="30" spans="1:26" s="28" customFormat="1" outlineLevel="1" collapsed="1" x14ac:dyDescent="0.3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22286.959999999999</v>
      </c>
      <c r="E30" s="1"/>
      <c r="F30" s="5">
        <f t="shared" ref="F30:F40" si="12">IF(D$12=0,0,D30/D$12)</f>
        <v>0</v>
      </c>
      <c r="G30" s="1"/>
      <c r="H30" s="1">
        <f>SUM(OSRRefH22_1x_0)</f>
        <v>22984.615384615361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-697.65538461536198</v>
      </c>
      <c r="M30" s="1"/>
      <c r="N30" s="5">
        <f t="shared" ref="N30:N40" si="15">IF(H30=0,0,L30/H30)</f>
        <v>-3.0353145917000383E-2</v>
      </c>
      <c r="O30" s="14"/>
      <c r="P30" s="1">
        <f>SUM(OSRRefP22_1x_0)</f>
        <v>90986.709999999992</v>
      </c>
      <c r="Q30" s="1"/>
      <c r="R30" s="5">
        <f t="shared" ref="R30:R40" si="16">IF(P$12=0,0,P30/P$12)</f>
        <v>0</v>
      </c>
      <c r="S30" s="1"/>
      <c r="T30" s="1">
        <f>SUM(OSRRefT22_1x_0)</f>
        <v>139984.61538461517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-48997.90538461518</v>
      </c>
      <c r="Y30" s="1"/>
      <c r="Z30" s="5">
        <f t="shared" ref="Z30:Z40" si="19">IF(T30=0,0,X30/T30)</f>
        <v>-0.35002350258270049</v>
      </c>
    </row>
    <row r="31" spans="1:26" s="24" customFormat="1" hidden="1" outlineLevel="2" x14ac:dyDescent="0.3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>
        <v>17635.28</v>
      </c>
      <c r="E31" s="2"/>
      <c r="F31" s="6">
        <f t="shared" si="12"/>
        <v>0</v>
      </c>
      <c r="G31" s="2"/>
      <c r="H31" s="7">
        <v>15923.0769230769</v>
      </c>
      <c r="I31" s="2"/>
      <c r="J31" s="6">
        <f t="shared" si="13"/>
        <v>0</v>
      </c>
      <c r="K31" s="2"/>
      <c r="L31" s="7">
        <f t="shared" si="14"/>
        <v>1712.2030769230987</v>
      </c>
      <c r="M31" s="2"/>
      <c r="N31" s="6">
        <f t="shared" si="15"/>
        <v>0.10752966183575031</v>
      </c>
      <c r="O31" s="11"/>
      <c r="P31" s="7">
        <v>104759.53</v>
      </c>
      <c r="Q31" s="2"/>
      <c r="R31" s="6">
        <f t="shared" si="16"/>
        <v>0</v>
      </c>
      <c r="S31" s="2"/>
      <c r="T31" s="7">
        <v>98723.076923076704</v>
      </c>
      <c r="U31" s="2"/>
      <c r="V31" s="6">
        <f t="shared" si="17"/>
        <v>0</v>
      </c>
      <c r="W31" s="2"/>
      <c r="X31" s="7">
        <f t="shared" si="18"/>
        <v>6036.4530769232952</v>
      </c>
      <c r="Y31" s="2"/>
      <c r="Z31" s="6">
        <f t="shared" si="19"/>
        <v>6.1145309334582371E-2</v>
      </c>
    </row>
    <row r="32" spans="1:26" s="24" customFormat="1" hidden="1" outlineLevel="2" x14ac:dyDescent="0.35">
      <c r="A32" s="29"/>
      <c r="B32" s="11" t="str">
        <f>CONCATENATE("          ", "6002", " - ", "STAFF SALARIES")</f>
        <v xml:space="preserve">          6002 - STAFF SALARIES</v>
      </c>
      <c r="C32" s="11"/>
      <c r="D32" s="7">
        <v>4651.68</v>
      </c>
      <c r="E32" s="2"/>
      <c r="F32" s="6">
        <f t="shared" si="12"/>
        <v>0</v>
      </c>
      <c r="G32" s="2"/>
      <c r="H32" s="7">
        <v>5661.5384615384601</v>
      </c>
      <c r="I32" s="2"/>
      <c r="J32" s="6">
        <f t="shared" si="13"/>
        <v>0</v>
      </c>
      <c r="K32" s="2"/>
      <c r="L32" s="7">
        <f t="shared" si="14"/>
        <v>-1009.8584615384598</v>
      </c>
      <c r="M32" s="2"/>
      <c r="N32" s="6">
        <f t="shared" si="15"/>
        <v>-0.17837173913043453</v>
      </c>
      <c r="O32" s="11"/>
      <c r="P32" s="7">
        <v>31184.47</v>
      </c>
      <c r="Q32" s="2"/>
      <c r="R32" s="6">
        <f t="shared" si="16"/>
        <v>0</v>
      </c>
      <c r="S32" s="2"/>
      <c r="T32" s="7">
        <v>35101.538461538461</v>
      </c>
      <c r="U32" s="2"/>
      <c r="V32" s="6">
        <f t="shared" si="17"/>
        <v>0</v>
      </c>
      <c r="W32" s="2"/>
      <c r="X32" s="7">
        <f t="shared" si="18"/>
        <v>-3917.0684615384598</v>
      </c>
      <c r="Y32" s="2"/>
      <c r="Z32" s="6">
        <f t="shared" si="19"/>
        <v>-0.11159250087657779</v>
      </c>
    </row>
    <row r="33" spans="1:26" s="24" customFormat="1" hidden="1" outlineLevel="2" x14ac:dyDescent="0.3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35">
      <c r="A34" s="29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3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/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0</v>
      </c>
      <c r="Y35" s="2"/>
      <c r="Z35" s="6">
        <f t="shared" si="19"/>
        <v>0</v>
      </c>
    </row>
    <row r="36" spans="1:26" s="24" customFormat="1" hidden="1" outlineLevel="2" x14ac:dyDescent="0.35">
      <c r="A36" s="29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35">
      <c r="A37" s="29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12"/>
        <v>0</v>
      </c>
      <c r="G37" s="2"/>
      <c r="H37" s="7">
        <v>1400</v>
      </c>
      <c r="I37" s="2"/>
      <c r="J37" s="6">
        <f t="shared" si="13"/>
        <v>0</v>
      </c>
      <c r="K37" s="2"/>
      <c r="L37" s="7">
        <f t="shared" si="14"/>
        <v>-1400</v>
      </c>
      <c r="M37" s="2"/>
      <c r="N37" s="6">
        <f t="shared" si="15"/>
        <v>-1</v>
      </c>
      <c r="O37" s="11"/>
      <c r="P37" s="7">
        <v>-44957.29</v>
      </c>
      <c r="Q37" s="2"/>
      <c r="R37" s="6">
        <f t="shared" si="16"/>
        <v>0</v>
      </c>
      <c r="S37" s="2"/>
      <c r="T37" s="7">
        <v>5040</v>
      </c>
      <c r="U37" s="2"/>
      <c r="V37" s="6">
        <f t="shared" si="17"/>
        <v>0</v>
      </c>
      <c r="W37" s="2"/>
      <c r="X37" s="7">
        <f t="shared" si="18"/>
        <v>-49997.29</v>
      </c>
      <c r="Y37" s="2"/>
      <c r="Z37" s="6">
        <f t="shared" si="19"/>
        <v>-9.920097222222223</v>
      </c>
    </row>
    <row r="38" spans="1:26" s="24" customFormat="1" hidden="1" outlineLevel="2" x14ac:dyDescent="0.3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/>
      <c r="Q38" s="2"/>
      <c r="R38" s="6">
        <f t="shared" si="16"/>
        <v>0</v>
      </c>
      <c r="S38" s="2"/>
      <c r="T38" s="7">
        <v>1120</v>
      </c>
      <c r="U38" s="2"/>
      <c r="V38" s="6">
        <f t="shared" si="17"/>
        <v>0</v>
      </c>
      <c r="W38" s="2"/>
      <c r="X38" s="7">
        <f t="shared" si="18"/>
        <v>-1120</v>
      </c>
      <c r="Y38" s="2"/>
      <c r="Z38" s="6">
        <f t="shared" si="19"/>
        <v>-1</v>
      </c>
    </row>
    <row r="39" spans="1:26" s="24" customFormat="1" hidden="1" outlineLevel="2" x14ac:dyDescent="0.3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3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8" customFormat="1" outlineLevel="1" collapsed="1" x14ac:dyDescent="0.3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60" si="20">IF(D$12=0,0,D41/D$12)</f>
        <v>0</v>
      </c>
      <c r="G41" s="1"/>
      <c r="H41" s="1">
        <f>SUM(OSRRefH22_2x_0)</f>
        <v>500</v>
      </c>
      <c r="I41" s="1"/>
      <c r="J41" s="5">
        <f t="shared" ref="J41:J60" si="21">IF(H$12=0,0,H41/H$12)</f>
        <v>0</v>
      </c>
      <c r="K41" s="1"/>
      <c r="L41" s="1">
        <f t="shared" ref="L41:L60" si="22">+D41-H41</f>
        <v>-500</v>
      </c>
      <c r="M41" s="1"/>
      <c r="N41" s="5">
        <f t="shared" ref="N41:N60" si="23">IF(H41=0,0,L41/H41)</f>
        <v>-1</v>
      </c>
      <c r="O41" s="14"/>
      <c r="P41" s="1">
        <f>SUM(OSRRefP22_2x_0)</f>
        <v>66.8</v>
      </c>
      <c r="Q41" s="1"/>
      <c r="R41" s="5">
        <f t="shared" ref="R41:R60" si="24">IF(P$12=0,0,P41/P$12)</f>
        <v>0</v>
      </c>
      <c r="S41" s="1"/>
      <c r="T41" s="1">
        <f>SUM(OSRRefT22_2x_0)</f>
        <v>3500</v>
      </c>
      <c r="U41" s="1"/>
      <c r="V41" s="5">
        <f t="shared" ref="V41:V60" si="25">IF(T$12=0,0,T41/T$12)</f>
        <v>0</v>
      </c>
      <c r="W41" s="1"/>
      <c r="X41" s="1">
        <f t="shared" ref="X41:X60" si="26">+P41-T41</f>
        <v>-3433.2</v>
      </c>
      <c r="Y41" s="1"/>
      <c r="Z41" s="5">
        <f t="shared" ref="Z41:Z60" si="27">IF(T41=0,0,X41/T41)</f>
        <v>-0.98091428571428563</v>
      </c>
    </row>
    <row r="42" spans="1:26" s="24" customFormat="1" hidden="1" outlineLevel="2" x14ac:dyDescent="0.35">
      <c r="A42" s="29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0"/>
        <v>0</v>
      </c>
      <c r="G42" s="2"/>
      <c r="H42" s="7">
        <v>500</v>
      </c>
      <c r="I42" s="2"/>
      <c r="J42" s="6">
        <f t="shared" si="21"/>
        <v>0</v>
      </c>
      <c r="K42" s="2"/>
      <c r="L42" s="7">
        <f t="shared" si="22"/>
        <v>-500</v>
      </c>
      <c r="M42" s="2"/>
      <c r="N42" s="6">
        <f t="shared" si="23"/>
        <v>-1</v>
      </c>
      <c r="O42" s="11"/>
      <c r="P42" s="7">
        <v>66.8</v>
      </c>
      <c r="Q42" s="2"/>
      <c r="R42" s="6">
        <f t="shared" si="24"/>
        <v>0</v>
      </c>
      <c r="S42" s="2"/>
      <c r="T42" s="7">
        <v>3500</v>
      </c>
      <c r="U42" s="2"/>
      <c r="V42" s="6">
        <f t="shared" si="25"/>
        <v>0</v>
      </c>
      <c r="W42" s="2"/>
      <c r="X42" s="7">
        <f t="shared" si="26"/>
        <v>-3433.2</v>
      </c>
      <c r="Y42" s="2"/>
      <c r="Z42" s="6">
        <f t="shared" si="27"/>
        <v>-0.98091428571428563</v>
      </c>
    </row>
    <row r="43" spans="1:26" s="28" customFormat="1" outlineLevel="1" collapsed="1" x14ac:dyDescent="0.35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SUM(OSRRefD22_3x_0)</f>
        <v>314.87</v>
      </c>
      <c r="E43" s="1"/>
      <c r="F43" s="5">
        <f t="shared" si="20"/>
        <v>0</v>
      </c>
      <c r="G43" s="1"/>
      <c r="H43" s="1">
        <f>SUM(OSRRefH22_3x_0)</f>
        <v>315</v>
      </c>
      <c r="I43" s="1"/>
      <c r="J43" s="5">
        <f t="shared" si="21"/>
        <v>0</v>
      </c>
      <c r="K43" s="1"/>
      <c r="L43" s="1">
        <f t="shared" si="22"/>
        <v>-0.12999999999999545</v>
      </c>
      <c r="M43" s="1"/>
      <c r="N43" s="5">
        <f t="shared" si="23"/>
        <v>-4.1269841269839827E-4</v>
      </c>
      <c r="O43" s="14"/>
      <c r="P43" s="1">
        <f>SUM(OSRRefP22_3x_0)</f>
        <v>2204.09</v>
      </c>
      <c r="Q43" s="1"/>
      <c r="R43" s="5">
        <f t="shared" si="24"/>
        <v>0</v>
      </c>
      <c r="S43" s="1"/>
      <c r="T43" s="1">
        <f>SUM(OSRRefT22_3x_0)</f>
        <v>2205</v>
      </c>
      <c r="U43" s="1"/>
      <c r="V43" s="5">
        <f t="shared" si="25"/>
        <v>0</v>
      </c>
      <c r="W43" s="1"/>
      <c r="X43" s="1">
        <f t="shared" si="26"/>
        <v>-0.90999999999985448</v>
      </c>
      <c r="Y43" s="1"/>
      <c r="Z43" s="5">
        <f t="shared" si="27"/>
        <v>-4.1269841269834671E-4</v>
      </c>
    </row>
    <row r="44" spans="1:26" s="24" customFormat="1" hidden="1" outlineLevel="2" x14ac:dyDescent="0.35">
      <c r="A44" s="29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314.87</v>
      </c>
      <c r="E44" s="2"/>
      <c r="F44" s="6">
        <f t="shared" si="20"/>
        <v>0</v>
      </c>
      <c r="G44" s="2"/>
      <c r="H44" s="7">
        <v>315</v>
      </c>
      <c r="I44" s="2"/>
      <c r="J44" s="6">
        <f t="shared" si="21"/>
        <v>0</v>
      </c>
      <c r="K44" s="2"/>
      <c r="L44" s="7">
        <f t="shared" si="22"/>
        <v>-0.12999999999999545</v>
      </c>
      <c r="M44" s="2"/>
      <c r="N44" s="6">
        <f t="shared" si="23"/>
        <v>-4.1269841269839827E-4</v>
      </c>
      <c r="O44" s="11"/>
      <c r="P44" s="7">
        <v>2204.09</v>
      </c>
      <c r="Q44" s="2"/>
      <c r="R44" s="6">
        <f t="shared" si="24"/>
        <v>0</v>
      </c>
      <c r="S44" s="2"/>
      <c r="T44" s="7">
        <v>2205</v>
      </c>
      <c r="U44" s="2"/>
      <c r="V44" s="6">
        <f t="shared" si="25"/>
        <v>0</v>
      </c>
      <c r="W44" s="2"/>
      <c r="X44" s="7">
        <f t="shared" si="26"/>
        <v>-0.90999999999985448</v>
      </c>
      <c r="Y44" s="2"/>
      <c r="Z44" s="6">
        <f t="shared" si="27"/>
        <v>-4.1269841269834671E-4</v>
      </c>
    </row>
    <row r="45" spans="1:26" s="28" customFormat="1" outlineLevel="1" collapsed="1" x14ac:dyDescent="0.35">
      <c r="A45" s="27"/>
      <c r="B45" s="14" t="str">
        <f>CONCATENATE("     ","Donations                                         ")</f>
        <v xml:space="preserve">     Donations                                         </v>
      </c>
      <c r="C45" s="14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1000</v>
      </c>
      <c r="I45" s="1"/>
      <c r="J45" s="5">
        <f t="shared" si="21"/>
        <v>0</v>
      </c>
      <c r="K45" s="1"/>
      <c r="L45" s="1">
        <f t="shared" si="22"/>
        <v>-1000</v>
      </c>
      <c r="M45" s="1"/>
      <c r="N45" s="5">
        <f t="shared" si="23"/>
        <v>-1</v>
      </c>
      <c r="O45" s="14"/>
      <c r="P45" s="1">
        <f>SUM(OSRRefP22_4x_0)</f>
        <v>25000</v>
      </c>
      <c r="Q45" s="1"/>
      <c r="R45" s="5">
        <f t="shared" si="24"/>
        <v>0</v>
      </c>
      <c r="S45" s="1"/>
      <c r="T45" s="1">
        <f>SUM(OSRRefT22_4x_0)</f>
        <v>35250</v>
      </c>
      <c r="U45" s="1"/>
      <c r="V45" s="5">
        <f t="shared" si="25"/>
        <v>0</v>
      </c>
      <c r="W45" s="1"/>
      <c r="X45" s="1">
        <f t="shared" si="26"/>
        <v>-10250</v>
      </c>
      <c r="Y45" s="1"/>
      <c r="Z45" s="5">
        <f t="shared" si="27"/>
        <v>-0.29078014184397161</v>
      </c>
    </row>
    <row r="46" spans="1:26" s="24" customFormat="1" hidden="1" outlineLevel="2" x14ac:dyDescent="0.35">
      <c r="A46" s="29"/>
      <c r="B46" s="11" t="str">
        <f>CONCATENATE("          ", "6399", " - ", "DONATION-ON CAMPUS")</f>
        <v xml:space="preserve">          6399 - DONATION-ON CAMPUS</v>
      </c>
      <c r="C46" s="11"/>
      <c r="D46" s="7"/>
      <c r="E46" s="2"/>
      <c r="F46" s="6">
        <f t="shared" si="20"/>
        <v>0</v>
      </c>
      <c r="G46" s="2"/>
      <c r="H46" s="7">
        <v>1000</v>
      </c>
      <c r="I46" s="2"/>
      <c r="J46" s="6">
        <f t="shared" si="21"/>
        <v>0</v>
      </c>
      <c r="K46" s="2"/>
      <c r="L46" s="7">
        <f t="shared" si="22"/>
        <v>-1000</v>
      </c>
      <c r="M46" s="2"/>
      <c r="N46" s="6">
        <f t="shared" si="23"/>
        <v>-1</v>
      </c>
      <c r="O46" s="11"/>
      <c r="P46" s="7">
        <v>25000</v>
      </c>
      <c r="Q46" s="2"/>
      <c r="R46" s="6">
        <f t="shared" si="24"/>
        <v>0</v>
      </c>
      <c r="S46" s="2"/>
      <c r="T46" s="7">
        <v>35250</v>
      </c>
      <c r="U46" s="2"/>
      <c r="V46" s="6">
        <f t="shared" si="25"/>
        <v>0</v>
      </c>
      <c r="W46" s="2"/>
      <c r="X46" s="7">
        <f t="shared" si="26"/>
        <v>-10250</v>
      </c>
      <c r="Y46" s="2"/>
      <c r="Z46" s="6">
        <f t="shared" si="27"/>
        <v>-0.29078014184397161</v>
      </c>
    </row>
    <row r="47" spans="1:26" s="28" customFormat="1" outlineLevel="1" collapsed="1" x14ac:dyDescent="0.35">
      <c r="A47" s="27"/>
      <c r="B47" s="14" t="str">
        <f>CONCATENATE("     ","Employees' Appreciation                           ")</f>
        <v xml:space="preserve">     Employees' Appreciation                           </v>
      </c>
      <c r="C47" s="14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0</v>
      </c>
      <c r="I47" s="1"/>
      <c r="J47" s="5">
        <f t="shared" si="21"/>
        <v>0</v>
      </c>
      <c r="K47" s="1"/>
      <c r="L47" s="1">
        <f t="shared" si="22"/>
        <v>0</v>
      </c>
      <c r="M47" s="1"/>
      <c r="N47" s="5">
        <f t="shared" si="23"/>
        <v>0</v>
      </c>
      <c r="O47" s="14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3000</v>
      </c>
      <c r="U47" s="1"/>
      <c r="V47" s="5">
        <f t="shared" si="25"/>
        <v>0</v>
      </c>
      <c r="W47" s="1"/>
      <c r="X47" s="1">
        <f t="shared" si="26"/>
        <v>-3000</v>
      </c>
      <c r="Y47" s="1"/>
      <c r="Z47" s="5">
        <f t="shared" si="27"/>
        <v>-1</v>
      </c>
    </row>
    <row r="48" spans="1:26" s="24" customFormat="1" hidden="1" outlineLevel="2" x14ac:dyDescent="0.35">
      <c r="A48" s="29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20"/>
        <v>0</v>
      </c>
      <c r="G48" s="2"/>
      <c r="H48" s="7"/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3000</v>
      </c>
      <c r="U48" s="2"/>
      <c r="V48" s="6">
        <f t="shared" si="25"/>
        <v>0</v>
      </c>
      <c r="W48" s="2"/>
      <c r="X48" s="7">
        <f t="shared" si="26"/>
        <v>-3000</v>
      </c>
      <c r="Y48" s="2"/>
      <c r="Z48" s="6">
        <f t="shared" si="27"/>
        <v>-1</v>
      </c>
    </row>
    <row r="49" spans="1:26" s="28" customFormat="1" outlineLevel="1" collapsed="1" x14ac:dyDescent="0.35">
      <c r="A49" s="27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SUM(OSRRefD22_6x_0)</f>
        <v>117.71</v>
      </c>
      <c r="E49" s="1"/>
      <c r="F49" s="5">
        <f t="shared" si="20"/>
        <v>0</v>
      </c>
      <c r="G49" s="1"/>
      <c r="H49" s="1">
        <f>SUM(OSRRefH22_6x_0)</f>
        <v>118</v>
      </c>
      <c r="I49" s="1"/>
      <c r="J49" s="5">
        <f t="shared" si="21"/>
        <v>0</v>
      </c>
      <c r="K49" s="1"/>
      <c r="L49" s="1">
        <f t="shared" si="22"/>
        <v>-0.29000000000000625</v>
      </c>
      <c r="M49" s="1"/>
      <c r="N49" s="5">
        <f t="shared" si="23"/>
        <v>-2.457627118644121E-3</v>
      </c>
      <c r="O49" s="14"/>
      <c r="P49" s="1">
        <f>SUM(OSRRefP22_6x_0)</f>
        <v>823.97</v>
      </c>
      <c r="Q49" s="1"/>
      <c r="R49" s="5">
        <f t="shared" si="24"/>
        <v>0</v>
      </c>
      <c r="S49" s="1"/>
      <c r="T49" s="1">
        <f>SUM(OSRRefT22_6x_0)</f>
        <v>826</v>
      </c>
      <c r="U49" s="1"/>
      <c r="V49" s="5">
        <f t="shared" si="25"/>
        <v>0</v>
      </c>
      <c r="W49" s="1"/>
      <c r="X49" s="1">
        <f t="shared" si="26"/>
        <v>-2.0299999999999727</v>
      </c>
      <c r="Y49" s="1"/>
      <c r="Z49" s="5">
        <f t="shared" si="27"/>
        <v>-2.4576271186440347E-3</v>
      </c>
    </row>
    <row r="50" spans="1:26" s="24" customFormat="1" hidden="1" outlineLevel="2" x14ac:dyDescent="0.35">
      <c r="A50" s="29"/>
      <c r="B50" s="11" t="str">
        <f>CONCATENATE("          ", "6351", " - ", "EQUIPMENT RENTAL")</f>
        <v xml:space="preserve">          6351 - EQUIPMENT RENTAL</v>
      </c>
      <c r="C50" s="11"/>
      <c r="D50" s="7">
        <v>117.71</v>
      </c>
      <c r="E50" s="2"/>
      <c r="F50" s="6">
        <f t="shared" si="20"/>
        <v>0</v>
      </c>
      <c r="G50" s="2"/>
      <c r="H50" s="7">
        <v>118</v>
      </c>
      <c r="I50" s="2"/>
      <c r="J50" s="6">
        <f t="shared" si="21"/>
        <v>0</v>
      </c>
      <c r="K50" s="2"/>
      <c r="L50" s="7">
        <f t="shared" si="22"/>
        <v>-0.29000000000000625</v>
      </c>
      <c r="M50" s="2"/>
      <c r="N50" s="6">
        <f t="shared" si="23"/>
        <v>-2.457627118644121E-3</v>
      </c>
      <c r="O50" s="11"/>
      <c r="P50" s="7">
        <v>823.97</v>
      </c>
      <c r="Q50" s="2"/>
      <c r="R50" s="6">
        <f t="shared" si="24"/>
        <v>0</v>
      </c>
      <c r="S50" s="2"/>
      <c r="T50" s="7">
        <v>826</v>
      </c>
      <c r="U50" s="2"/>
      <c r="V50" s="6">
        <f t="shared" si="25"/>
        <v>0</v>
      </c>
      <c r="W50" s="2"/>
      <c r="X50" s="7">
        <f t="shared" si="26"/>
        <v>-2.0299999999999727</v>
      </c>
      <c r="Y50" s="2"/>
      <c r="Z50" s="6">
        <f t="shared" si="27"/>
        <v>-2.4576271186440347E-3</v>
      </c>
    </row>
    <row r="51" spans="1:26" s="28" customFormat="1" outlineLevel="1" collapsed="1" x14ac:dyDescent="0.35">
      <c r="A51" s="27"/>
      <c r="B51" s="14" t="str">
        <f>CONCATENATE("     ","Freight out/Postage                               ")</f>
        <v xml:space="preserve">     Freight out/Postage                               </v>
      </c>
      <c r="C51" s="14"/>
      <c r="D51" s="1">
        <f>SUM(OSRRefD22_7x_0)</f>
        <v>0</v>
      </c>
      <c r="E51" s="1"/>
      <c r="F51" s="5">
        <f t="shared" si="20"/>
        <v>0</v>
      </c>
      <c r="G51" s="1"/>
      <c r="H51" s="1">
        <f>SUM(OSRRefH22_7x_0)</f>
        <v>15</v>
      </c>
      <c r="I51" s="1"/>
      <c r="J51" s="5">
        <f t="shared" si="21"/>
        <v>0</v>
      </c>
      <c r="K51" s="1"/>
      <c r="L51" s="1">
        <f t="shared" si="22"/>
        <v>-15</v>
      </c>
      <c r="M51" s="1"/>
      <c r="N51" s="5">
        <f t="shared" si="23"/>
        <v>-1</v>
      </c>
      <c r="O51" s="14"/>
      <c r="P51" s="1">
        <f>SUM(OSRRefP22_7x_0)</f>
        <v>65.06</v>
      </c>
      <c r="Q51" s="1"/>
      <c r="R51" s="5">
        <f t="shared" si="24"/>
        <v>0</v>
      </c>
      <c r="S51" s="1"/>
      <c r="T51" s="1">
        <f>SUM(OSRRefT22_7x_0)</f>
        <v>105</v>
      </c>
      <c r="U51" s="1"/>
      <c r="V51" s="5">
        <f t="shared" si="25"/>
        <v>0</v>
      </c>
      <c r="W51" s="1"/>
      <c r="X51" s="1">
        <f t="shared" si="26"/>
        <v>-39.94</v>
      </c>
      <c r="Y51" s="1"/>
      <c r="Z51" s="5">
        <f t="shared" si="27"/>
        <v>-0.38038095238095238</v>
      </c>
    </row>
    <row r="52" spans="1:26" s="24" customFormat="1" hidden="1" outlineLevel="2" x14ac:dyDescent="0.35">
      <c r="A52" s="29"/>
      <c r="B52" s="11" t="str">
        <f>CONCATENATE("          ", "6307", " - ", "POSTAGE")</f>
        <v xml:space="preserve">          6307 - POSTAGE</v>
      </c>
      <c r="C52" s="11"/>
      <c r="D52" s="7"/>
      <c r="E52" s="2"/>
      <c r="F52" s="6">
        <f t="shared" si="20"/>
        <v>0</v>
      </c>
      <c r="G52" s="2"/>
      <c r="H52" s="7">
        <v>15</v>
      </c>
      <c r="I52" s="2"/>
      <c r="J52" s="6">
        <f t="shared" si="21"/>
        <v>0</v>
      </c>
      <c r="K52" s="2"/>
      <c r="L52" s="7">
        <f t="shared" si="22"/>
        <v>-15</v>
      </c>
      <c r="M52" s="2"/>
      <c r="N52" s="6">
        <f t="shared" si="23"/>
        <v>-1</v>
      </c>
      <c r="O52" s="11"/>
      <c r="P52" s="7">
        <v>65.06</v>
      </c>
      <c r="Q52" s="2"/>
      <c r="R52" s="6">
        <f t="shared" si="24"/>
        <v>0</v>
      </c>
      <c r="S52" s="2"/>
      <c r="T52" s="7">
        <v>105</v>
      </c>
      <c r="U52" s="2"/>
      <c r="V52" s="6">
        <f t="shared" si="25"/>
        <v>0</v>
      </c>
      <c r="W52" s="2"/>
      <c r="X52" s="7">
        <f t="shared" si="26"/>
        <v>-39.94</v>
      </c>
      <c r="Y52" s="2"/>
      <c r="Z52" s="6">
        <f t="shared" si="27"/>
        <v>-0.38038095238095238</v>
      </c>
    </row>
    <row r="53" spans="1:26" s="28" customFormat="1" outlineLevel="1" collapsed="1" x14ac:dyDescent="0.35">
      <c r="A53" s="27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0</v>
      </c>
      <c r="I53" s="1"/>
      <c r="J53" s="5">
        <f t="shared" si="21"/>
        <v>0</v>
      </c>
      <c r="K53" s="1"/>
      <c r="L53" s="1">
        <f t="shared" si="22"/>
        <v>0</v>
      </c>
      <c r="M53" s="1"/>
      <c r="N53" s="5">
        <f t="shared" si="23"/>
        <v>0</v>
      </c>
      <c r="O53" s="14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1500</v>
      </c>
      <c r="U53" s="1"/>
      <c r="V53" s="5">
        <f t="shared" si="25"/>
        <v>0</v>
      </c>
      <c r="W53" s="1"/>
      <c r="X53" s="1">
        <f t="shared" si="26"/>
        <v>-1500</v>
      </c>
      <c r="Y53" s="1"/>
      <c r="Z53" s="5">
        <f t="shared" si="27"/>
        <v>-1</v>
      </c>
    </row>
    <row r="54" spans="1:26" s="24" customFormat="1" hidden="1" outlineLevel="2" x14ac:dyDescent="0.35">
      <c r="A54" s="29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20"/>
        <v>0</v>
      </c>
      <c r="G54" s="2"/>
      <c r="H54" s="7"/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1500</v>
      </c>
      <c r="U54" s="2"/>
      <c r="V54" s="6">
        <f t="shared" si="25"/>
        <v>0</v>
      </c>
      <c r="W54" s="2"/>
      <c r="X54" s="7">
        <f t="shared" si="26"/>
        <v>-1500</v>
      </c>
      <c r="Y54" s="2"/>
      <c r="Z54" s="6">
        <f t="shared" si="27"/>
        <v>-1</v>
      </c>
    </row>
    <row r="55" spans="1:26" s="28" customFormat="1" outlineLevel="1" collapsed="1" x14ac:dyDescent="0.35">
      <c r="A55" s="27"/>
      <c r="B55" s="14" t="str">
        <f>CONCATENATE("     ","Insurance                                         ")</f>
        <v xml:space="preserve">     Insurance                                         </v>
      </c>
      <c r="C55" s="14"/>
      <c r="D55" s="1">
        <f>SUM(OSRRefD22_9x_0)</f>
        <v>115.13</v>
      </c>
      <c r="E55" s="1"/>
      <c r="F55" s="5">
        <f t="shared" si="20"/>
        <v>0</v>
      </c>
      <c r="G55" s="1"/>
      <c r="H55" s="1">
        <f>SUM(OSRRefH22_9x_0)</f>
        <v>126</v>
      </c>
      <c r="I55" s="1"/>
      <c r="J55" s="5">
        <f t="shared" si="21"/>
        <v>0</v>
      </c>
      <c r="K55" s="1"/>
      <c r="L55" s="1">
        <f t="shared" si="22"/>
        <v>-10.870000000000005</v>
      </c>
      <c r="M55" s="1"/>
      <c r="N55" s="5">
        <f t="shared" si="23"/>
        <v>-8.6269841269841302E-2</v>
      </c>
      <c r="O55" s="14"/>
      <c r="P55" s="1">
        <f>SUM(OSRRefP22_9x_0)</f>
        <v>805.91</v>
      </c>
      <c r="Q55" s="1"/>
      <c r="R55" s="5">
        <f t="shared" si="24"/>
        <v>0</v>
      </c>
      <c r="S55" s="1"/>
      <c r="T55" s="1">
        <f>SUM(OSRRefT22_9x_0)</f>
        <v>882</v>
      </c>
      <c r="U55" s="1"/>
      <c r="V55" s="5">
        <f t="shared" si="25"/>
        <v>0</v>
      </c>
      <c r="W55" s="1"/>
      <c r="X55" s="1">
        <f t="shared" si="26"/>
        <v>-76.090000000000032</v>
      </c>
      <c r="Y55" s="1"/>
      <c r="Z55" s="5">
        <f t="shared" si="27"/>
        <v>-8.6269841269841302E-2</v>
      </c>
    </row>
    <row r="56" spans="1:26" s="24" customFormat="1" hidden="1" outlineLevel="2" x14ac:dyDescent="0.35">
      <c r="A56" s="29"/>
      <c r="B56" s="11" t="str">
        <f>CONCATENATE("          ", "6314", " - ", "LIABILITY INSURANCE")</f>
        <v xml:space="preserve">          6314 - LIABILITY INSURANCE</v>
      </c>
      <c r="C56" s="11"/>
      <c r="D56" s="7">
        <v>115.13</v>
      </c>
      <c r="E56" s="2"/>
      <c r="F56" s="6">
        <f t="shared" si="20"/>
        <v>0</v>
      </c>
      <c r="G56" s="2"/>
      <c r="H56" s="7">
        <v>126</v>
      </c>
      <c r="I56" s="2"/>
      <c r="J56" s="6">
        <f t="shared" si="21"/>
        <v>0</v>
      </c>
      <c r="K56" s="2"/>
      <c r="L56" s="7">
        <f t="shared" si="22"/>
        <v>-10.870000000000005</v>
      </c>
      <c r="M56" s="2"/>
      <c r="N56" s="6">
        <f t="shared" si="23"/>
        <v>-8.6269841269841302E-2</v>
      </c>
      <c r="O56" s="11"/>
      <c r="P56" s="7">
        <v>805.91</v>
      </c>
      <c r="Q56" s="2"/>
      <c r="R56" s="6">
        <f t="shared" si="24"/>
        <v>0</v>
      </c>
      <c r="S56" s="2"/>
      <c r="T56" s="7">
        <v>882</v>
      </c>
      <c r="U56" s="2"/>
      <c r="V56" s="6">
        <f t="shared" si="25"/>
        <v>0</v>
      </c>
      <c r="W56" s="2"/>
      <c r="X56" s="7">
        <f t="shared" si="26"/>
        <v>-76.090000000000032</v>
      </c>
      <c r="Y56" s="2"/>
      <c r="Z56" s="6">
        <f t="shared" si="27"/>
        <v>-8.6269841269841302E-2</v>
      </c>
    </row>
    <row r="57" spans="1:26" s="28" customFormat="1" outlineLevel="1" collapsed="1" x14ac:dyDescent="0.35">
      <c r="A57" s="27"/>
      <c r="B57" s="14" t="str">
        <f>CONCATENATE("     ","Professional Services                             ")</f>
        <v xml:space="preserve">     Professional Services                             </v>
      </c>
      <c r="C57" s="14"/>
      <c r="D57" s="1">
        <f>SUM(OSRRefD22_10x_0)</f>
        <v>0</v>
      </c>
      <c r="E57" s="1"/>
      <c r="F57" s="5">
        <f t="shared" si="20"/>
        <v>0</v>
      </c>
      <c r="G57" s="1"/>
      <c r="H57" s="1">
        <f>SUM(OSRRefH22_10x_0)</f>
        <v>0</v>
      </c>
      <c r="I57" s="1"/>
      <c r="J57" s="5">
        <f t="shared" si="21"/>
        <v>0</v>
      </c>
      <c r="K57" s="1"/>
      <c r="L57" s="1">
        <f t="shared" si="22"/>
        <v>0</v>
      </c>
      <c r="M57" s="1"/>
      <c r="N57" s="5">
        <f t="shared" si="23"/>
        <v>0</v>
      </c>
      <c r="O57" s="14"/>
      <c r="P57" s="1">
        <f>SUM(OSRRefP22_10x_0)</f>
        <v>49654.239999999998</v>
      </c>
      <c r="Q57" s="1"/>
      <c r="R57" s="5">
        <f t="shared" si="24"/>
        <v>0</v>
      </c>
      <c r="S57" s="1"/>
      <c r="T57" s="1">
        <f>SUM(OSRRefT22_10x_0)</f>
        <v>57000</v>
      </c>
      <c r="U57" s="1"/>
      <c r="V57" s="5">
        <f t="shared" si="25"/>
        <v>0</v>
      </c>
      <c r="W57" s="1"/>
      <c r="X57" s="1">
        <f t="shared" si="26"/>
        <v>-7345.760000000002</v>
      </c>
      <c r="Y57" s="1"/>
      <c r="Z57" s="5">
        <f t="shared" si="27"/>
        <v>-0.1288729824561404</v>
      </c>
    </row>
    <row r="58" spans="1:26" s="24" customFormat="1" hidden="1" outlineLevel="2" x14ac:dyDescent="0.35">
      <c r="A58" s="29"/>
      <c r="B58" s="11" t="str">
        <f>CONCATENATE("          ", "6331", " - ", "INDIRECT COSTS-AUXILIARY ORGAN")</f>
        <v xml:space="preserve">          6331 - INDIRECT COSTS-AUXILIARY ORGAN</v>
      </c>
      <c r="C58" s="11"/>
      <c r="D58" s="7"/>
      <c r="E58" s="2"/>
      <c r="F58" s="6">
        <f t="shared" si="20"/>
        <v>0</v>
      </c>
      <c r="G58" s="2"/>
      <c r="H58" s="7"/>
      <c r="I58" s="2"/>
      <c r="J58" s="6">
        <f t="shared" si="21"/>
        <v>0</v>
      </c>
      <c r="K58" s="2"/>
      <c r="L58" s="7">
        <f t="shared" si="22"/>
        <v>0</v>
      </c>
      <c r="M58" s="2"/>
      <c r="N58" s="6">
        <f t="shared" si="23"/>
        <v>0</v>
      </c>
      <c r="O58" s="11"/>
      <c r="P58" s="7">
        <v>45850</v>
      </c>
      <c r="Q58" s="2"/>
      <c r="R58" s="6">
        <f t="shared" si="24"/>
        <v>0</v>
      </c>
      <c r="S58" s="2"/>
      <c r="T58" s="7">
        <v>49000</v>
      </c>
      <c r="U58" s="2"/>
      <c r="V58" s="6">
        <f t="shared" si="25"/>
        <v>0</v>
      </c>
      <c r="W58" s="2"/>
      <c r="X58" s="7">
        <f t="shared" si="26"/>
        <v>-3150</v>
      </c>
      <c r="Y58" s="2"/>
      <c r="Z58" s="6">
        <f t="shared" si="27"/>
        <v>-6.4285714285714279E-2</v>
      </c>
    </row>
    <row r="59" spans="1:26" s="24" customFormat="1" hidden="1" outlineLevel="2" x14ac:dyDescent="0.35">
      <c r="A59" s="29"/>
      <c r="B59" s="11" t="str">
        <f>CONCATENATE("          ", "6334", " - ", "LEGAL COUNCIL EXPENSE")</f>
        <v xml:space="preserve">          6334 - LEGAL COUNCIL EXPENSE</v>
      </c>
      <c r="C59" s="11"/>
      <c r="D59" s="7"/>
      <c r="E59" s="2"/>
      <c r="F59" s="6">
        <f t="shared" si="20"/>
        <v>0</v>
      </c>
      <c r="G59" s="2"/>
      <c r="H59" s="7"/>
      <c r="I59" s="2"/>
      <c r="J59" s="6">
        <f t="shared" si="21"/>
        <v>0</v>
      </c>
      <c r="K59" s="2"/>
      <c r="L59" s="7">
        <f t="shared" si="22"/>
        <v>0</v>
      </c>
      <c r="M59" s="2"/>
      <c r="N59" s="6">
        <f t="shared" si="23"/>
        <v>0</v>
      </c>
      <c r="O59" s="11"/>
      <c r="P59" s="7">
        <v>3804.24</v>
      </c>
      <c r="Q59" s="2"/>
      <c r="R59" s="6">
        <f t="shared" si="24"/>
        <v>0</v>
      </c>
      <c r="S59" s="2"/>
      <c r="T59" s="7">
        <v>3000</v>
      </c>
      <c r="U59" s="2"/>
      <c r="V59" s="6">
        <f t="shared" si="25"/>
        <v>0</v>
      </c>
      <c r="W59" s="2"/>
      <c r="X59" s="7">
        <f t="shared" si="26"/>
        <v>804.23999999999978</v>
      </c>
      <c r="Y59" s="2"/>
      <c r="Z59" s="6">
        <f t="shared" si="27"/>
        <v>0.26807999999999993</v>
      </c>
    </row>
    <row r="60" spans="1:26" s="24" customFormat="1" hidden="1" outlineLevel="2" x14ac:dyDescent="0.35">
      <c r="A60" s="29"/>
      <c r="B60" s="11" t="str">
        <f>CONCATENATE("          ", "6336", " - ", "PROFESSIONAL SERVICES")</f>
        <v xml:space="preserve">          6336 - PROFESSIONAL SERVICES</v>
      </c>
      <c r="C60" s="11"/>
      <c r="D60" s="7"/>
      <c r="E60" s="2"/>
      <c r="F60" s="6">
        <f t="shared" si="20"/>
        <v>0</v>
      </c>
      <c r="G60" s="2"/>
      <c r="H60" s="7"/>
      <c r="I60" s="2"/>
      <c r="J60" s="6">
        <f t="shared" si="21"/>
        <v>0</v>
      </c>
      <c r="K60" s="2"/>
      <c r="L60" s="7">
        <f t="shared" si="22"/>
        <v>0</v>
      </c>
      <c r="M60" s="2"/>
      <c r="N60" s="6">
        <f t="shared" si="23"/>
        <v>0</v>
      </c>
      <c r="O60" s="11"/>
      <c r="P60" s="7"/>
      <c r="Q60" s="2"/>
      <c r="R60" s="6">
        <f t="shared" si="24"/>
        <v>0</v>
      </c>
      <c r="S60" s="2"/>
      <c r="T60" s="7">
        <v>5000</v>
      </c>
      <c r="U60" s="2"/>
      <c r="V60" s="6">
        <f t="shared" si="25"/>
        <v>0</v>
      </c>
      <c r="W60" s="2"/>
      <c r="X60" s="7">
        <f t="shared" si="26"/>
        <v>-5000</v>
      </c>
      <c r="Y60" s="2"/>
      <c r="Z60" s="6">
        <f t="shared" si="27"/>
        <v>-1</v>
      </c>
    </row>
    <row r="61" spans="1:26" s="28" customFormat="1" outlineLevel="1" collapsed="1" x14ac:dyDescent="0.35">
      <c r="A61" s="27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SUM(OSRRefD22_11x_0)</f>
        <v>2591.4699999999998</v>
      </c>
      <c r="E61" s="1"/>
      <c r="F61" s="5">
        <f t="shared" ref="F61:F68" si="28">IF(D$12=0,0,D61/D$12)</f>
        <v>0</v>
      </c>
      <c r="G61" s="1"/>
      <c r="H61" s="1">
        <f>SUM(OSRRefH22_11x_0)</f>
        <v>2182</v>
      </c>
      <c r="I61" s="1"/>
      <c r="J61" s="5">
        <f t="shared" ref="J61:J68" si="29">IF(H$12=0,0,H61/H$12)</f>
        <v>0</v>
      </c>
      <c r="K61" s="1"/>
      <c r="L61" s="1">
        <f t="shared" ref="L61:L68" si="30">+D61-H61</f>
        <v>409.4699999999998</v>
      </c>
      <c r="M61" s="1"/>
      <c r="N61" s="5">
        <f t="shared" ref="N61:N68" si="31">IF(H61=0,0,L61/H61)</f>
        <v>0.18765811182401457</v>
      </c>
      <c r="O61" s="14"/>
      <c r="P61" s="1">
        <f>SUM(OSRRefP22_11x_0)</f>
        <v>15852.470000000001</v>
      </c>
      <c r="Q61" s="1"/>
      <c r="R61" s="5">
        <f t="shared" ref="R61:R68" si="32">IF(P$12=0,0,P61/P$12)</f>
        <v>0</v>
      </c>
      <c r="S61" s="1"/>
      <c r="T61" s="1">
        <f>SUM(OSRRefT22_11x_0)</f>
        <v>15274</v>
      </c>
      <c r="U61" s="1"/>
      <c r="V61" s="5">
        <f t="shared" ref="V61:V68" si="33">IF(T$12=0,0,T61/T$12)</f>
        <v>0</v>
      </c>
      <c r="W61" s="1"/>
      <c r="X61" s="1">
        <f t="shared" ref="X61:X68" si="34">+P61-T61</f>
        <v>578.47000000000116</v>
      </c>
      <c r="Y61" s="1"/>
      <c r="Z61" s="5">
        <f t="shared" ref="Z61:Z68" si="35">IF(T61=0,0,X61/T61)</f>
        <v>3.7872855833442527E-2</v>
      </c>
    </row>
    <row r="62" spans="1:26" s="24" customFormat="1" hidden="1" outlineLevel="2" x14ac:dyDescent="0.35">
      <c r="A62" s="29"/>
      <c r="B62" s="11" t="str">
        <f>CONCATENATE("          ", "6373", " - ", "MAINTENANCE CONTRACTS")</f>
        <v xml:space="preserve">          6373 - MAINTENANCE CONTRACTS</v>
      </c>
      <c r="C62" s="11"/>
      <c r="D62" s="7">
        <v>2591.4699999999998</v>
      </c>
      <c r="E62" s="2"/>
      <c r="F62" s="6">
        <f t="shared" si="28"/>
        <v>0</v>
      </c>
      <c r="G62" s="2"/>
      <c r="H62" s="7">
        <v>2182</v>
      </c>
      <c r="I62" s="2"/>
      <c r="J62" s="6">
        <f t="shared" si="29"/>
        <v>0</v>
      </c>
      <c r="K62" s="2"/>
      <c r="L62" s="7">
        <f t="shared" si="30"/>
        <v>409.4699999999998</v>
      </c>
      <c r="M62" s="2"/>
      <c r="N62" s="6">
        <f t="shared" si="31"/>
        <v>0.18765811182401457</v>
      </c>
      <c r="O62" s="11"/>
      <c r="P62" s="7">
        <v>15852.470000000001</v>
      </c>
      <c r="Q62" s="2"/>
      <c r="R62" s="6">
        <f t="shared" si="32"/>
        <v>0</v>
      </c>
      <c r="S62" s="2"/>
      <c r="T62" s="7">
        <v>15274</v>
      </c>
      <c r="U62" s="2"/>
      <c r="V62" s="6">
        <f t="shared" si="33"/>
        <v>0</v>
      </c>
      <c r="W62" s="2"/>
      <c r="X62" s="7">
        <f t="shared" si="34"/>
        <v>578.47000000000116</v>
      </c>
      <c r="Y62" s="2"/>
      <c r="Z62" s="6">
        <f t="shared" si="35"/>
        <v>3.7872855833442527E-2</v>
      </c>
    </row>
    <row r="63" spans="1:26" s="28" customFormat="1" outlineLevel="1" collapsed="1" x14ac:dyDescent="0.35">
      <c r="A63" s="27"/>
      <c r="B63" s="14" t="str">
        <f>CONCATENATE("     ","Subscriptions &amp; Dues                              ")</f>
        <v xml:space="preserve">     Subscriptions &amp; Dues                              </v>
      </c>
      <c r="C63" s="14"/>
      <c r="D63" s="1">
        <f>SUM(OSRRefD22_12x_0)</f>
        <v>0</v>
      </c>
      <c r="E63" s="1"/>
      <c r="F63" s="5">
        <f t="shared" si="28"/>
        <v>0</v>
      </c>
      <c r="G63" s="1"/>
      <c r="H63" s="1">
        <f>SUM(OSRRefH22_12x_0)</f>
        <v>0</v>
      </c>
      <c r="I63" s="1"/>
      <c r="J63" s="5">
        <f t="shared" si="29"/>
        <v>0</v>
      </c>
      <c r="K63" s="1"/>
      <c r="L63" s="1">
        <f t="shared" si="30"/>
        <v>0</v>
      </c>
      <c r="M63" s="1"/>
      <c r="N63" s="5">
        <f t="shared" si="31"/>
        <v>0</v>
      </c>
      <c r="O63" s="14"/>
      <c r="P63" s="1">
        <f>SUM(OSRRefP22_12x_0)</f>
        <v>1725</v>
      </c>
      <c r="Q63" s="1"/>
      <c r="R63" s="5">
        <f t="shared" si="32"/>
        <v>0</v>
      </c>
      <c r="S63" s="1"/>
      <c r="T63" s="1">
        <f>SUM(OSRRefT22_12x_0)</f>
        <v>1250</v>
      </c>
      <c r="U63" s="1"/>
      <c r="V63" s="5">
        <f t="shared" si="33"/>
        <v>0</v>
      </c>
      <c r="W63" s="1"/>
      <c r="X63" s="1">
        <f t="shared" si="34"/>
        <v>475</v>
      </c>
      <c r="Y63" s="1"/>
      <c r="Z63" s="5">
        <f t="shared" si="35"/>
        <v>0.38</v>
      </c>
    </row>
    <row r="64" spans="1:26" s="24" customFormat="1" hidden="1" outlineLevel="2" x14ac:dyDescent="0.35">
      <c r="A64" s="29"/>
      <c r="B64" s="11" t="str">
        <f>CONCATENATE("          ", "6258", " - ", "MEMBERSHIP DUES")</f>
        <v xml:space="preserve">          6258 - MEMBERSHIP DUES</v>
      </c>
      <c r="C64" s="11"/>
      <c r="D64" s="7"/>
      <c r="E64" s="2"/>
      <c r="F64" s="6">
        <f t="shared" si="28"/>
        <v>0</v>
      </c>
      <c r="G64" s="2"/>
      <c r="H64" s="7"/>
      <c r="I64" s="2"/>
      <c r="J64" s="6">
        <f t="shared" si="29"/>
        <v>0</v>
      </c>
      <c r="K64" s="2"/>
      <c r="L64" s="7">
        <f t="shared" si="30"/>
        <v>0</v>
      </c>
      <c r="M64" s="2"/>
      <c r="N64" s="6">
        <f t="shared" si="31"/>
        <v>0</v>
      </c>
      <c r="O64" s="11"/>
      <c r="P64" s="7">
        <v>1725</v>
      </c>
      <c r="Q64" s="2"/>
      <c r="R64" s="6">
        <f t="shared" si="32"/>
        <v>0</v>
      </c>
      <c r="S64" s="2"/>
      <c r="T64" s="7">
        <v>1250</v>
      </c>
      <c r="U64" s="2"/>
      <c r="V64" s="6">
        <f t="shared" si="33"/>
        <v>0</v>
      </c>
      <c r="W64" s="2"/>
      <c r="X64" s="7">
        <f t="shared" si="34"/>
        <v>475</v>
      </c>
      <c r="Y64" s="2"/>
      <c r="Z64" s="6">
        <f t="shared" si="35"/>
        <v>0.38</v>
      </c>
    </row>
    <row r="65" spans="1:26" s="28" customFormat="1" outlineLevel="1" collapsed="1" x14ac:dyDescent="0.35">
      <c r="A65" s="27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SUM(OSRRefD22_13x_0)</f>
        <v>0</v>
      </c>
      <c r="E65" s="1"/>
      <c r="F65" s="5">
        <f t="shared" si="28"/>
        <v>0</v>
      </c>
      <c r="G65" s="1"/>
      <c r="H65" s="1">
        <f>SUM(OSRRefH22_13x_0)</f>
        <v>1000</v>
      </c>
      <c r="I65" s="1"/>
      <c r="J65" s="5">
        <f t="shared" si="29"/>
        <v>0</v>
      </c>
      <c r="K65" s="1"/>
      <c r="L65" s="1">
        <f t="shared" si="30"/>
        <v>-1000</v>
      </c>
      <c r="M65" s="1"/>
      <c r="N65" s="5">
        <f t="shared" si="31"/>
        <v>-1</v>
      </c>
      <c r="O65" s="14"/>
      <c r="P65" s="1">
        <f>SUM(OSRRefP22_13x_0)</f>
        <v>550.81999999999994</v>
      </c>
      <c r="Q65" s="1"/>
      <c r="R65" s="5">
        <f t="shared" si="32"/>
        <v>0</v>
      </c>
      <c r="S65" s="1"/>
      <c r="T65" s="1">
        <f>SUM(OSRRefT22_13x_0)</f>
        <v>10500</v>
      </c>
      <c r="U65" s="1"/>
      <c r="V65" s="5">
        <f t="shared" si="33"/>
        <v>0</v>
      </c>
      <c r="W65" s="1"/>
      <c r="X65" s="1">
        <f t="shared" si="34"/>
        <v>-9949.18</v>
      </c>
      <c r="Y65" s="1"/>
      <c r="Z65" s="5">
        <f t="shared" si="35"/>
        <v>-0.94754095238095237</v>
      </c>
    </row>
    <row r="66" spans="1:26" s="24" customFormat="1" hidden="1" outlineLevel="2" x14ac:dyDescent="0.35">
      <c r="A66" s="29"/>
      <c r="B66" s="11" t="str">
        <f>CONCATENATE("          ", "6234", " - ", "EXPENDABLE SUPPLIES &amp; EQUIPMEN")</f>
        <v xml:space="preserve">          6234 - EXPENDABLE SUPPLIES &amp; EQUIPMEN</v>
      </c>
      <c r="C66" s="11"/>
      <c r="D66" s="7"/>
      <c r="E66" s="2"/>
      <c r="F66" s="6">
        <f t="shared" si="28"/>
        <v>0</v>
      </c>
      <c r="G66" s="2"/>
      <c r="H66" s="7">
        <v>1000</v>
      </c>
      <c r="I66" s="2"/>
      <c r="J66" s="6">
        <f t="shared" si="29"/>
        <v>0</v>
      </c>
      <c r="K66" s="2"/>
      <c r="L66" s="7">
        <f t="shared" si="30"/>
        <v>-1000</v>
      </c>
      <c r="M66" s="2"/>
      <c r="N66" s="6">
        <f t="shared" si="31"/>
        <v>-1</v>
      </c>
      <c r="O66" s="11"/>
      <c r="P66" s="7"/>
      <c r="Q66" s="2"/>
      <c r="R66" s="6">
        <f t="shared" si="32"/>
        <v>0</v>
      </c>
      <c r="S66" s="2"/>
      <c r="T66" s="7">
        <v>7000</v>
      </c>
      <c r="U66" s="2"/>
      <c r="V66" s="6">
        <f t="shared" si="33"/>
        <v>0</v>
      </c>
      <c r="W66" s="2"/>
      <c r="X66" s="7">
        <f t="shared" si="34"/>
        <v>-7000</v>
      </c>
      <c r="Y66" s="2"/>
      <c r="Z66" s="6">
        <f t="shared" si="35"/>
        <v>-1</v>
      </c>
    </row>
    <row r="67" spans="1:26" s="24" customFormat="1" hidden="1" outlineLevel="2" x14ac:dyDescent="0.35">
      <c r="A67" s="29"/>
      <c r="B67" s="11" t="str">
        <f>CONCATENATE("          ", "6235", " - ", "COVID-19 EXPENSES")</f>
        <v xml:space="preserve">          6235 - COVID-19 EXPENSES</v>
      </c>
      <c r="C67" s="11"/>
      <c r="D67" s="7"/>
      <c r="E67" s="2"/>
      <c r="F67" s="6">
        <f t="shared" si="28"/>
        <v>0</v>
      </c>
      <c r="G67" s="2"/>
      <c r="H67" s="7"/>
      <c r="I67" s="2"/>
      <c r="J67" s="6">
        <f t="shared" si="29"/>
        <v>0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>
        <v>106.94</v>
      </c>
      <c r="Q67" s="2"/>
      <c r="R67" s="6">
        <f t="shared" si="32"/>
        <v>0</v>
      </c>
      <c r="S67" s="2"/>
      <c r="T67" s="7">
        <v>1000</v>
      </c>
      <c r="U67" s="2"/>
      <c r="V67" s="6">
        <f t="shared" si="33"/>
        <v>0</v>
      </c>
      <c r="W67" s="2"/>
      <c r="X67" s="7">
        <f t="shared" si="34"/>
        <v>-893.06</v>
      </c>
      <c r="Y67" s="2"/>
      <c r="Z67" s="6">
        <f t="shared" si="35"/>
        <v>-0.89305999999999996</v>
      </c>
    </row>
    <row r="68" spans="1:26" s="24" customFormat="1" hidden="1" outlineLevel="2" x14ac:dyDescent="0.35">
      <c r="A68" s="29"/>
      <c r="B68" s="11" t="str">
        <f>CONCATENATE("          ", "6241", " - ", "OFFICE EXPENSE")</f>
        <v xml:space="preserve">          6241 - OFFICE EXPENSE</v>
      </c>
      <c r="C68" s="11"/>
      <c r="D68" s="7"/>
      <c r="E68" s="2"/>
      <c r="F68" s="6">
        <f t="shared" si="28"/>
        <v>0</v>
      </c>
      <c r="G68" s="2"/>
      <c r="H68" s="7"/>
      <c r="I68" s="2"/>
      <c r="J68" s="6">
        <f t="shared" si="29"/>
        <v>0</v>
      </c>
      <c r="K68" s="2"/>
      <c r="L68" s="7">
        <f t="shared" si="30"/>
        <v>0</v>
      </c>
      <c r="M68" s="2"/>
      <c r="N68" s="6">
        <f t="shared" si="31"/>
        <v>0</v>
      </c>
      <c r="O68" s="11"/>
      <c r="P68" s="7">
        <v>443.88</v>
      </c>
      <c r="Q68" s="2"/>
      <c r="R68" s="6">
        <f t="shared" si="32"/>
        <v>0</v>
      </c>
      <c r="S68" s="2"/>
      <c r="T68" s="7">
        <v>2500</v>
      </c>
      <c r="U68" s="2"/>
      <c r="V68" s="6">
        <f t="shared" si="33"/>
        <v>0</v>
      </c>
      <c r="W68" s="2"/>
      <c r="X68" s="7">
        <f t="shared" si="34"/>
        <v>-2056.12</v>
      </c>
      <c r="Y68" s="2"/>
      <c r="Z68" s="6">
        <f t="shared" si="35"/>
        <v>-0.82244799999999996</v>
      </c>
    </row>
    <row r="69" spans="1:26" s="28" customFormat="1" outlineLevel="1" collapsed="1" x14ac:dyDescent="0.35">
      <c r="A69" s="27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SUM(OSRRefD22_14x_0)</f>
        <v>324.37</v>
      </c>
      <c r="E69" s="1"/>
      <c r="F69" s="5">
        <f t="shared" ref="F69:F74" si="36">IF(D$12=0,0,D69/D$12)</f>
        <v>0</v>
      </c>
      <c r="G69" s="1"/>
      <c r="H69" s="1">
        <f>SUM(OSRRefH22_14x_0)</f>
        <v>350</v>
      </c>
      <c r="I69" s="1"/>
      <c r="J69" s="5">
        <f t="shared" ref="J69:J74" si="37">IF(H$12=0,0,H69/H$12)</f>
        <v>0</v>
      </c>
      <c r="K69" s="1"/>
      <c r="L69" s="1">
        <f t="shared" ref="L69:L74" si="38">+D69-H69</f>
        <v>-25.629999999999995</v>
      </c>
      <c r="M69" s="1"/>
      <c r="N69" s="5">
        <f t="shared" ref="N69:N74" si="39">IF(H69=0,0,L69/H69)</f>
        <v>-7.3228571428571421E-2</v>
      </c>
      <c r="O69" s="14"/>
      <c r="P69" s="1">
        <f>SUM(OSRRefP22_14x_0)</f>
        <v>3164.15</v>
      </c>
      <c r="Q69" s="1"/>
      <c r="R69" s="5">
        <f t="shared" ref="R69:R74" si="40">IF(P$12=0,0,P69/P$12)</f>
        <v>0</v>
      </c>
      <c r="S69" s="1"/>
      <c r="T69" s="1">
        <f>SUM(OSRRefT22_14x_0)</f>
        <v>2450</v>
      </c>
      <c r="U69" s="1"/>
      <c r="V69" s="5">
        <f t="shared" ref="V69:V74" si="41">IF(T$12=0,0,T69/T$12)</f>
        <v>0</v>
      </c>
      <c r="W69" s="1"/>
      <c r="X69" s="1">
        <f t="shared" ref="X69:X74" si="42">+P69-T69</f>
        <v>714.15000000000009</v>
      </c>
      <c r="Y69" s="1"/>
      <c r="Z69" s="5">
        <f t="shared" ref="Z69:Z74" si="43">IF(T69=0,0,X69/T69)</f>
        <v>0.29148979591836738</v>
      </c>
    </row>
    <row r="70" spans="1:26" s="24" customFormat="1" hidden="1" outlineLevel="2" x14ac:dyDescent="0.35">
      <c r="A70" s="29"/>
      <c r="B70" s="11" t="str">
        <f>CONCATENATE("          ", "6309", " - ", "TELEPHONE")</f>
        <v xml:space="preserve">          6309 - TELEPHONE</v>
      </c>
      <c r="C70" s="11"/>
      <c r="D70" s="7">
        <v>324.37</v>
      </c>
      <c r="E70" s="2"/>
      <c r="F70" s="6">
        <f t="shared" si="36"/>
        <v>0</v>
      </c>
      <c r="G70" s="2"/>
      <c r="H70" s="7">
        <v>350</v>
      </c>
      <c r="I70" s="2"/>
      <c r="J70" s="6">
        <f t="shared" si="37"/>
        <v>0</v>
      </c>
      <c r="K70" s="2"/>
      <c r="L70" s="7">
        <f t="shared" si="38"/>
        <v>-25.629999999999995</v>
      </c>
      <c r="M70" s="2"/>
      <c r="N70" s="6">
        <f t="shared" si="39"/>
        <v>-7.3228571428571421E-2</v>
      </c>
      <c r="O70" s="11"/>
      <c r="P70" s="7">
        <v>3164.15</v>
      </c>
      <c r="Q70" s="2"/>
      <c r="R70" s="6">
        <f t="shared" si="40"/>
        <v>0</v>
      </c>
      <c r="S70" s="2"/>
      <c r="T70" s="7">
        <v>2450</v>
      </c>
      <c r="U70" s="2"/>
      <c r="V70" s="6">
        <f t="shared" si="41"/>
        <v>0</v>
      </c>
      <c r="W70" s="2"/>
      <c r="X70" s="7">
        <f t="shared" si="42"/>
        <v>714.15000000000009</v>
      </c>
      <c r="Y70" s="2"/>
      <c r="Z70" s="6">
        <f t="shared" si="43"/>
        <v>0.29148979591836738</v>
      </c>
    </row>
    <row r="71" spans="1:26" s="28" customFormat="1" outlineLevel="1" collapsed="1" x14ac:dyDescent="0.35">
      <c r="A71" s="27"/>
      <c r="B71" s="14" t="str">
        <f>CONCATENATE("     ","Training                                          ")</f>
        <v xml:space="preserve">     Training                                          </v>
      </c>
      <c r="C71" s="14"/>
      <c r="D71" s="1">
        <f>SUM(OSRRefD22_15x_0)</f>
        <v>0</v>
      </c>
      <c r="E71" s="1"/>
      <c r="F71" s="5">
        <f t="shared" si="36"/>
        <v>0</v>
      </c>
      <c r="G71" s="1"/>
      <c r="H71" s="1">
        <f>SUM(OSRRefH22_15x_0)</f>
        <v>2000</v>
      </c>
      <c r="I71" s="1"/>
      <c r="J71" s="5">
        <f t="shared" si="37"/>
        <v>0</v>
      </c>
      <c r="K71" s="1"/>
      <c r="L71" s="1">
        <f t="shared" si="38"/>
        <v>-2000</v>
      </c>
      <c r="M71" s="1"/>
      <c r="N71" s="5">
        <f t="shared" si="39"/>
        <v>-1</v>
      </c>
      <c r="O71" s="14"/>
      <c r="P71" s="1">
        <f>SUM(OSRRefP22_15x_0)</f>
        <v>1126.5</v>
      </c>
      <c r="Q71" s="1"/>
      <c r="R71" s="5">
        <f t="shared" si="40"/>
        <v>0</v>
      </c>
      <c r="S71" s="1"/>
      <c r="T71" s="1">
        <f>SUM(OSRRefT22_15x_0)</f>
        <v>4000</v>
      </c>
      <c r="U71" s="1"/>
      <c r="V71" s="5">
        <f t="shared" si="41"/>
        <v>0</v>
      </c>
      <c r="W71" s="1"/>
      <c r="X71" s="1">
        <f t="shared" si="42"/>
        <v>-2873.5</v>
      </c>
      <c r="Y71" s="1"/>
      <c r="Z71" s="5">
        <f t="shared" si="43"/>
        <v>-0.71837499999999999</v>
      </c>
    </row>
    <row r="72" spans="1:26" s="24" customFormat="1" hidden="1" outlineLevel="2" x14ac:dyDescent="0.35">
      <c r="A72" s="29"/>
      <c r="B72" s="11" t="str">
        <f>CONCATENATE("          ", "6376", " - ", "TRAINING")</f>
        <v xml:space="preserve">          6376 - TRAINING</v>
      </c>
      <c r="C72" s="11"/>
      <c r="D72" s="7"/>
      <c r="E72" s="2"/>
      <c r="F72" s="6">
        <f t="shared" si="36"/>
        <v>0</v>
      </c>
      <c r="G72" s="2"/>
      <c r="H72" s="7">
        <v>2000</v>
      </c>
      <c r="I72" s="2"/>
      <c r="J72" s="6">
        <f t="shared" si="37"/>
        <v>0</v>
      </c>
      <c r="K72" s="2"/>
      <c r="L72" s="7">
        <f t="shared" si="38"/>
        <v>-2000</v>
      </c>
      <c r="M72" s="2"/>
      <c r="N72" s="6">
        <f t="shared" si="39"/>
        <v>-1</v>
      </c>
      <c r="O72" s="11"/>
      <c r="P72" s="7">
        <v>1126.5</v>
      </c>
      <c r="Q72" s="2"/>
      <c r="R72" s="6">
        <f t="shared" si="40"/>
        <v>0</v>
      </c>
      <c r="S72" s="2"/>
      <c r="T72" s="7">
        <v>4000</v>
      </c>
      <c r="U72" s="2"/>
      <c r="V72" s="6">
        <f t="shared" si="41"/>
        <v>0</v>
      </c>
      <c r="W72" s="2"/>
      <c r="X72" s="7">
        <f t="shared" si="42"/>
        <v>-2873.5</v>
      </c>
      <c r="Y72" s="2"/>
      <c r="Z72" s="6">
        <f t="shared" si="43"/>
        <v>-0.71837499999999999</v>
      </c>
    </row>
    <row r="73" spans="1:26" s="28" customFormat="1" outlineLevel="1" collapsed="1" x14ac:dyDescent="0.35">
      <c r="A73" s="27"/>
      <c r="B73" s="14" t="str">
        <f>CONCATENATE("     ","Travel                                            ")</f>
        <v xml:space="preserve">     Travel                                            </v>
      </c>
      <c r="C73" s="14"/>
      <c r="D73" s="1">
        <f>SUM(OSRRefD22_16x_0)</f>
        <v>0</v>
      </c>
      <c r="E73" s="1"/>
      <c r="F73" s="5">
        <f t="shared" si="36"/>
        <v>0</v>
      </c>
      <c r="G73" s="1"/>
      <c r="H73" s="1">
        <f>SUM(OSRRefH22_16x_0)</f>
        <v>0</v>
      </c>
      <c r="I73" s="1"/>
      <c r="J73" s="5">
        <f t="shared" si="37"/>
        <v>0</v>
      </c>
      <c r="K73" s="1"/>
      <c r="L73" s="1">
        <f t="shared" si="38"/>
        <v>0</v>
      </c>
      <c r="M73" s="1"/>
      <c r="N73" s="5">
        <f t="shared" si="39"/>
        <v>0</v>
      </c>
      <c r="O73" s="14"/>
      <c r="P73" s="1">
        <f>SUM(OSRRefP22_16x_0)</f>
        <v>0</v>
      </c>
      <c r="Q73" s="1"/>
      <c r="R73" s="5">
        <f t="shared" si="40"/>
        <v>0</v>
      </c>
      <c r="S73" s="1"/>
      <c r="T73" s="1">
        <f>SUM(OSRRefT22_16x_0)</f>
        <v>100</v>
      </c>
      <c r="U73" s="1"/>
      <c r="V73" s="5">
        <f t="shared" si="41"/>
        <v>0</v>
      </c>
      <c r="W73" s="1"/>
      <c r="X73" s="1">
        <f t="shared" si="42"/>
        <v>-100</v>
      </c>
      <c r="Y73" s="1"/>
      <c r="Z73" s="5">
        <f t="shared" si="43"/>
        <v>-1</v>
      </c>
    </row>
    <row r="74" spans="1:26" s="24" customFormat="1" hidden="1" outlineLevel="2" x14ac:dyDescent="0.35">
      <c r="A74" s="29"/>
      <c r="B74" s="11" t="str">
        <f>CONCATENATE("          ", "6294", " - ", "TRAVEL OPERATIONAL")</f>
        <v xml:space="preserve">          6294 - TRAVEL OPERATIONAL</v>
      </c>
      <c r="C74" s="11"/>
      <c r="D74" s="7"/>
      <c r="E74" s="2"/>
      <c r="F74" s="6">
        <f t="shared" si="36"/>
        <v>0</v>
      </c>
      <c r="G74" s="2"/>
      <c r="H74" s="7"/>
      <c r="I74" s="2"/>
      <c r="J74" s="6">
        <f t="shared" si="37"/>
        <v>0</v>
      </c>
      <c r="K74" s="2"/>
      <c r="L74" s="7">
        <f t="shared" si="38"/>
        <v>0</v>
      </c>
      <c r="M74" s="2"/>
      <c r="N74" s="6">
        <f t="shared" si="39"/>
        <v>0</v>
      </c>
      <c r="O74" s="11"/>
      <c r="P74" s="7"/>
      <c r="Q74" s="2"/>
      <c r="R74" s="6">
        <f t="shared" si="40"/>
        <v>0</v>
      </c>
      <c r="S74" s="2"/>
      <c r="T74" s="7">
        <v>100</v>
      </c>
      <c r="U74" s="2"/>
      <c r="V74" s="6">
        <f t="shared" si="41"/>
        <v>0</v>
      </c>
      <c r="W74" s="2"/>
      <c r="X74" s="7">
        <f t="shared" si="42"/>
        <v>-100</v>
      </c>
      <c r="Y74" s="2"/>
      <c r="Z74" s="6">
        <f t="shared" si="43"/>
        <v>-1</v>
      </c>
    </row>
    <row r="75" spans="1:26" s="55" customFormat="1" x14ac:dyDescent="0.3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35">
      <c r="A76" s="10"/>
      <c r="B76" s="25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3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35">
      <c r="A78" s="10"/>
      <c r="B78" s="26" t="s">
        <v>3</v>
      </c>
      <c r="C78" s="26"/>
      <c r="D78" s="19">
        <f>+D17-D19+D76</f>
        <v>-36488.950000000004</v>
      </c>
      <c r="E78" s="13"/>
      <c r="F78" s="21">
        <f>IF(D$12=0,0,D78/D$12)</f>
        <v>0</v>
      </c>
      <c r="G78" s="13"/>
      <c r="H78" s="19">
        <f>+H17-H19+H76</f>
        <v>-40461.947384615363</v>
      </c>
      <c r="I78" s="13"/>
      <c r="J78" s="21">
        <f>IF(H$12=0,0,H78/H$12)</f>
        <v>0</v>
      </c>
      <c r="K78" s="16"/>
      <c r="L78" s="19">
        <f>+D78-H78</f>
        <v>3972.9973846153589</v>
      </c>
      <c r="M78" s="16"/>
      <c r="N78" s="21">
        <f>IF(H78=0,0,L78/H78)</f>
        <v>-9.8190958206969325E-2</v>
      </c>
      <c r="O78" s="25"/>
      <c r="P78" s="19">
        <f>+P17-P19+P76</f>
        <v>-268227.72000000003</v>
      </c>
      <c r="Q78" s="13"/>
      <c r="R78" s="21">
        <f>IF(P$12=0,0,P78/P$12)</f>
        <v>0</v>
      </c>
      <c r="S78" s="13"/>
      <c r="T78" s="19">
        <f>+T17-T19+T76</f>
        <v>-340730.15258461516</v>
      </c>
      <c r="U78" s="13"/>
      <c r="V78" s="21">
        <f>IF(T$12=0,0,T78/T$12)</f>
        <v>0</v>
      </c>
      <c r="W78" s="16"/>
      <c r="X78" s="19">
        <f>+P78-T78</f>
        <v>72502.432584615133</v>
      </c>
      <c r="Y78" s="16"/>
      <c r="Z78" s="21">
        <f>IF(T78=0,0,X78/T78)</f>
        <v>-0.21278549032026231</v>
      </c>
    </row>
    <row r="79" spans="1:26" x14ac:dyDescent="0.3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35">
      <c r="A80" s="52"/>
      <c r="B80" s="10" t="s">
        <v>14</v>
      </c>
      <c r="C80" s="10"/>
      <c r="D80" s="4"/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/>
      <c r="Q80" s="4"/>
      <c r="R80" s="12">
        <f>IF(P$12=0,0,P80/P$12)</f>
        <v>0</v>
      </c>
      <c r="S80" s="4"/>
      <c r="T80" s="4"/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3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4">
      <c r="A82" s="10"/>
      <c r="B82" s="26" t="s">
        <v>4</v>
      </c>
      <c r="C82" s="26"/>
      <c r="D82" s="33">
        <f>+D78-D80</f>
        <v>-36488.950000000004</v>
      </c>
      <c r="E82" s="13"/>
      <c r="F82" s="31">
        <f>IF(D$12=0,0,D82/D$12)</f>
        <v>0</v>
      </c>
      <c r="G82" s="13"/>
      <c r="H82" s="33">
        <f>+H78-H80</f>
        <v>-40461.947384615363</v>
      </c>
      <c r="I82" s="13"/>
      <c r="J82" s="31">
        <f>IF(H$12=0,0,H82/H$12)</f>
        <v>0</v>
      </c>
      <c r="K82" s="16"/>
      <c r="L82" s="33">
        <f>D82-H82</f>
        <v>3972.9973846153589</v>
      </c>
      <c r="M82" s="16"/>
      <c r="N82" s="31">
        <f>IF(H82=0,0,L82/H82)</f>
        <v>-9.8190958206969325E-2</v>
      </c>
      <c r="O82" s="25"/>
      <c r="P82" s="33">
        <f>+P78-P80</f>
        <v>-268227.72000000003</v>
      </c>
      <c r="Q82" s="13"/>
      <c r="R82" s="31">
        <f>IF(P$12=0,0,P82/P$12)</f>
        <v>0</v>
      </c>
      <c r="S82" s="13"/>
      <c r="T82" s="33">
        <f>+T78-T80</f>
        <v>-340730.15258461516</v>
      </c>
      <c r="U82" s="13"/>
      <c r="V82" s="31">
        <f>IF(T$12=0,0,T82/T$12)</f>
        <v>0</v>
      </c>
      <c r="W82" s="16"/>
      <c r="X82" s="33">
        <f>P82-T82</f>
        <v>72502.432584615133</v>
      </c>
      <c r="Y82" s="16"/>
      <c r="Z82" s="31">
        <f>IF(T82=0,0,X82/T82)</f>
        <v>-0.21278549032026231</v>
      </c>
    </row>
    <row r="83" spans="1:26" ht="15" thickTop="1" x14ac:dyDescent="0.3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3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" thickBot="1" x14ac:dyDescent="0.4">
      <c r="A85" s="10"/>
      <c r="B85" s="26" t="s">
        <v>5</v>
      </c>
      <c r="C85" s="26"/>
      <c r="D85" s="34">
        <f>SUM(D82:D84)</f>
        <v>-36488.950000000004</v>
      </c>
      <c r="E85" s="13"/>
      <c r="F85" s="32">
        <f>IF(D$12=0,0,D85/D$12)</f>
        <v>0</v>
      </c>
      <c r="G85" s="13"/>
      <c r="H85" s="34">
        <f>SUM(H82:H84)</f>
        <v>-40461.947384615363</v>
      </c>
      <c r="I85" s="13"/>
      <c r="J85" s="32">
        <f>IF(H$12=0,0,H85/H$12)</f>
        <v>0</v>
      </c>
      <c r="K85" s="16"/>
      <c r="L85" s="34">
        <f>+D85-H85</f>
        <v>3972.9973846153589</v>
      </c>
      <c r="M85" s="16"/>
      <c r="N85" s="32">
        <f>IF(H85=0,0,L85/H85)</f>
        <v>-9.8190958206969325E-2</v>
      </c>
      <c r="O85" s="25"/>
      <c r="P85" s="34">
        <f>SUM(P82:P84)</f>
        <v>-268227.72000000003</v>
      </c>
      <c r="Q85" s="13"/>
      <c r="R85" s="32">
        <f>IF(P$12=0,0,P85/P$12)</f>
        <v>0</v>
      </c>
      <c r="S85" s="13"/>
      <c r="T85" s="34">
        <f>SUM(T82:T84)</f>
        <v>-340730.15258461516</v>
      </c>
      <c r="U85" s="13"/>
      <c r="V85" s="32">
        <f>IF(T$12=0,0,T85/T$12)</f>
        <v>0</v>
      </c>
      <c r="W85" s="16"/>
      <c r="X85" s="34">
        <f>+P85-T85</f>
        <v>72502.432584615133</v>
      </c>
      <c r="Y85" s="16"/>
      <c r="Z85" s="32">
        <f>IF(T85=0,0,X85/T85)</f>
        <v>-0.21278549032026231</v>
      </c>
    </row>
    <row r="86" spans="1:26" ht="15" thickTop="1" x14ac:dyDescent="0.3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35">
      <c r="A87" s="9"/>
      <c r="B87" s="60">
        <v>44238.490271064817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35">
      <c r="A88" s="9"/>
      <c r="B88" s="59" t="s">
        <v>314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35">
      <c r="A89" s="9"/>
      <c r="B89" s="58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3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","202", " - ", "Accounting")</f>
        <v>Department 202 - Accounting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5">
      <c r="A17" s="10"/>
      <c r="B17" s="26" t="s">
        <v>6</v>
      </c>
      <c r="C17" s="26"/>
      <c r="D17" s="19">
        <f>D12-D15</f>
        <v>0</v>
      </c>
      <c r="E17" s="13"/>
      <c r="F17" s="21">
        <f>IF(D$12=0,0,D17/D$12)</f>
        <v>0</v>
      </c>
      <c r="G17" s="13"/>
      <c r="H17" s="19">
        <f>H12-H15</f>
        <v>0</v>
      </c>
      <c r="I17" s="13"/>
      <c r="J17" s="21">
        <f>IF(H$12=0,0,H17/H$12)</f>
        <v>0</v>
      </c>
      <c r="K17" s="16"/>
      <c r="L17" s="19">
        <f>+D17-H17</f>
        <v>0</v>
      </c>
      <c r="M17" s="16"/>
      <c r="N17" s="21">
        <f>IF(H17=0,0,L17/H17)</f>
        <v>0</v>
      </c>
      <c r="O17" s="25"/>
      <c r="P17" s="19">
        <f>P12-P15</f>
        <v>0</v>
      </c>
      <c r="Q17" s="13"/>
      <c r="R17" s="21">
        <f>IF(P$12=0,0,P17/P$12)</f>
        <v>0</v>
      </c>
      <c r="S17" s="13"/>
      <c r="T17" s="19">
        <f>T12-T15</f>
        <v>0</v>
      </c>
      <c r="U17" s="13"/>
      <c r="V17" s="21">
        <f>IF(T$12=0,0,T17/T$12)</f>
        <v>0</v>
      </c>
      <c r="W17" s="16"/>
      <c r="X17" s="19">
        <f>+P17-T17</f>
        <v>0</v>
      </c>
      <c r="Y17" s="16"/>
      <c r="Z17" s="21">
        <f>IF(T17=0,0,X17/T17)</f>
        <v>0</v>
      </c>
    </row>
    <row r="18" spans="1:26" x14ac:dyDescent="0.3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5">
      <c r="A19" s="10"/>
      <c r="B19" s="25" t="s">
        <v>9</v>
      </c>
      <c r="C19" s="10"/>
      <c r="D19" s="20">
        <f>SUM(OSRRefD22x_0)</f>
        <v>46973.339999999989</v>
      </c>
      <c r="E19" s="20"/>
      <c r="F19" s="30">
        <f t="shared" ref="F19:F29" si="4">IF(D$12=0,0,D19/D$12)</f>
        <v>0</v>
      </c>
      <c r="G19" s="20"/>
      <c r="H19" s="20">
        <f>SUM(OSRRefH22x_0)</f>
        <v>42076.853119230786</v>
      </c>
      <c r="I19" s="20"/>
      <c r="J19" s="30">
        <f t="shared" ref="J19:J29" si="5">IF(H$12=0,0,H19/H$12)</f>
        <v>0</v>
      </c>
      <c r="K19" s="4"/>
      <c r="L19" s="20">
        <f t="shared" ref="L19:L29" si="6">+D19-H19</f>
        <v>4896.4868807692037</v>
      </c>
      <c r="M19" s="4"/>
      <c r="N19" s="30">
        <f t="shared" ref="N19:N29" si="7">IF(H19=0,0,L19/H19)</f>
        <v>0.11637008278385999</v>
      </c>
      <c r="O19" s="10"/>
      <c r="P19" s="20">
        <f>SUM(OSRRefP22x_0)</f>
        <v>271970.69</v>
      </c>
      <c r="Q19" s="20"/>
      <c r="R19" s="30">
        <f t="shared" ref="R19:R29" si="8">IF(P$12=0,0,P19/P$12)</f>
        <v>0</v>
      </c>
      <c r="S19" s="20"/>
      <c r="T19" s="20">
        <f>SUM(OSRRefT22x_0)</f>
        <v>279444.82861923106</v>
      </c>
      <c r="U19" s="20"/>
      <c r="V19" s="30">
        <f t="shared" ref="V19:V29" si="9">IF(T$12=0,0,T19/T$12)</f>
        <v>0</v>
      </c>
      <c r="W19" s="4"/>
      <c r="X19" s="20">
        <f t="shared" ref="X19:X29" si="10">+P19-T19</f>
        <v>-7474.1386192310601</v>
      </c>
      <c r="Y19" s="4"/>
      <c r="Z19" s="30">
        <f t="shared" ref="Z19:Z29" si="11">IF(T19=0,0,X19/T19)</f>
        <v>-2.6746383735786545E-2</v>
      </c>
    </row>
    <row r="20" spans="1:26" s="28" customFormat="1" outlineLevel="1" collapsed="1" x14ac:dyDescent="0.3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13584.88</v>
      </c>
      <c r="E20" s="1"/>
      <c r="F20" s="5">
        <f t="shared" si="4"/>
        <v>0</v>
      </c>
      <c r="G20" s="1"/>
      <c r="H20" s="1">
        <f>SUM(OSRRefH22_0x_0)</f>
        <v>13249.583888461551</v>
      </c>
      <c r="I20" s="1"/>
      <c r="J20" s="5">
        <f t="shared" si="5"/>
        <v>0</v>
      </c>
      <c r="K20" s="1"/>
      <c r="L20" s="1">
        <f t="shared" si="6"/>
        <v>335.2961115384478</v>
      </c>
      <c r="M20" s="1"/>
      <c r="N20" s="5">
        <f t="shared" si="7"/>
        <v>2.5306161639569801E-2</v>
      </c>
      <c r="O20" s="14"/>
      <c r="P20" s="1">
        <f>SUM(OSRRefP22_0x_0)</f>
        <v>93498.680000000008</v>
      </c>
      <c r="Q20" s="1"/>
      <c r="R20" s="5">
        <f t="shared" si="8"/>
        <v>0</v>
      </c>
      <c r="S20" s="1"/>
      <c r="T20" s="1">
        <f>SUM(OSRRefT22_0x_0)</f>
        <v>85948.559388461596</v>
      </c>
      <c r="U20" s="1"/>
      <c r="V20" s="5">
        <f t="shared" si="9"/>
        <v>0</v>
      </c>
      <c r="W20" s="1"/>
      <c r="X20" s="1">
        <f t="shared" si="10"/>
        <v>7550.120611538412</v>
      </c>
      <c r="Y20" s="1"/>
      <c r="Z20" s="5">
        <f t="shared" si="11"/>
        <v>8.7844644113395098E-2</v>
      </c>
    </row>
    <row r="21" spans="1:26" s="24" customFormat="1" hidden="1" outlineLevel="2" x14ac:dyDescent="0.35">
      <c r="A21" s="29"/>
      <c r="B21" s="11" t="str">
        <f>CONCATENATE("          ", "6111", " - ", "F.I.C.A.")</f>
        <v xml:space="preserve">          6111 - F.I.C.A.</v>
      </c>
      <c r="C21" s="11"/>
      <c r="D21" s="7">
        <v>1630.13</v>
      </c>
      <c r="E21" s="2"/>
      <c r="F21" s="6">
        <f t="shared" si="4"/>
        <v>0</v>
      </c>
      <c r="G21" s="2"/>
      <c r="H21" s="7">
        <v>2031.7243269230801</v>
      </c>
      <c r="I21" s="2"/>
      <c r="J21" s="6">
        <f t="shared" si="5"/>
        <v>0</v>
      </c>
      <c r="K21" s="2"/>
      <c r="L21" s="7">
        <f t="shared" si="6"/>
        <v>-401.59432692307996</v>
      </c>
      <c r="M21" s="2"/>
      <c r="N21" s="6">
        <f t="shared" si="7"/>
        <v>-0.19766181937254723</v>
      </c>
      <c r="O21" s="11"/>
      <c r="P21" s="7">
        <v>13431.51</v>
      </c>
      <c r="Q21" s="2"/>
      <c r="R21" s="6">
        <f t="shared" si="8"/>
        <v>0</v>
      </c>
      <c r="S21" s="2"/>
      <c r="T21" s="7">
        <v>12596.690826923081</v>
      </c>
      <c r="U21" s="2"/>
      <c r="V21" s="6">
        <f t="shared" si="9"/>
        <v>0</v>
      </c>
      <c r="W21" s="2"/>
      <c r="X21" s="7">
        <f t="shared" si="10"/>
        <v>834.81917307691947</v>
      </c>
      <c r="Y21" s="2"/>
      <c r="Z21" s="6">
        <f t="shared" si="11"/>
        <v>6.6272895361744452E-2</v>
      </c>
    </row>
    <row r="22" spans="1:26" s="24" customFormat="1" hidden="1" outlineLevel="2" x14ac:dyDescent="0.35">
      <c r="A22" s="29"/>
      <c r="B22" s="11" t="str">
        <f>CONCATENATE("          ", "6112", " - ", "COMPENSATION INSURANCE")</f>
        <v xml:space="preserve">          6112 - COMPENSATION INSURANCE</v>
      </c>
      <c r="C22" s="11"/>
      <c r="D22" s="7">
        <v>-16.73</v>
      </c>
      <c r="E22" s="2"/>
      <c r="F22" s="6">
        <f t="shared" si="4"/>
        <v>0</v>
      </c>
      <c r="G22" s="2"/>
      <c r="H22" s="7">
        <v>92.241853846153901</v>
      </c>
      <c r="I22" s="2"/>
      <c r="J22" s="6">
        <f t="shared" si="5"/>
        <v>0</v>
      </c>
      <c r="K22" s="2"/>
      <c r="L22" s="7">
        <f t="shared" si="6"/>
        <v>-108.97185384615391</v>
      </c>
      <c r="M22" s="2"/>
      <c r="N22" s="6">
        <f t="shared" si="7"/>
        <v>-1.1813710295534956</v>
      </c>
      <c r="O22" s="11"/>
      <c r="P22" s="7">
        <v>577.57000000000005</v>
      </c>
      <c r="Q22" s="2"/>
      <c r="R22" s="6">
        <f t="shared" si="8"/>
        <v>0</v>
      </c>
      <c r="S22" s="2"/>
      <c r="T22" s="7">
        <v>565.82485384615416</v>
      </c>
      <c r="U22" s="2"/>
      <c r="V22" s="6">
        <f t="shared" si="9"/>
        <v>0</v>
      </c>
      <c r="W22" s="2"/>
      <c r="X22" s="7">
        <f t="shared" si="10"/>
        <v>11.745146153845894</v>
      </c>
      <c r="Y22" s="2"/>
      <c r="Z22" s="6">
        <f t="shared" si="11"/>
        <v>2.0757564949664371E-2</v>
      </c>
    </row>
    <row r="23" spans="1:26" s="24" customFormat="1" hidden="1" outlineLevel="2" x14ac:dyDescent="0.35">
      <c r="A23" s="29"/>
      <c r="B23" s="11" t="str">
        <f>CONCATENATE("          ", "6113", " - ", "GROUP INSURANCE")</f>
        <v xml:space="preserve">          6113 - GROUP INSURANCE</v>
      </c>
      <c r="C23" s="11"/>
      <c r="D23" s="7">
        <v>6236.66</v>
      </c>
      <c r="E23" s="2"/>
      <c r="F23" s="6">
        <f t="shared" si="4"/>
        <v>0</v>
      </c>
      <c r="G23" s="2"/>
      <c r="H23" s="7">
        <v>5415</v>
      </c>
      <c r="I23" s="2"/>
      <c r="J23" s="6">
        <f t="shared" si="5"/>
        <v>0</v>
      </c>
      <c r="K23" s="2"/>
      <c r="L23" s="7">
        <f t="shared" si="6"/>
        <v>821.65999999999985</v>
      </c>
      <c r="M23" s="2"/>
      <c r="N23" s="6">
        <f t="shared" si="7"/>
        <v>0.1517377654662973</v>
      </c>
      <c r="O23" s="11"/>
      <c r="P23" s="7">
        <v>41677.939999999995</v>
      </c>
      <c r="Q23" s="2"/>
      <c r="R23" s="6">
        <f t="shared" si="8"/>
        <v>0</v>
      </c>
      <c r="S23" s="2"/>
      <c r="T23" s="7">
        <v>37905</v>
      </c>
      <c r="U23" s="2"/>
      <c r="V23" s="6">
        <f t="shared" si="9"/>
        <v>0</v>
      </c>
      <c r="W23" s="2"/>
      <c r="X23" s="7">
        <f t="shared" si="10"/>
        <v>3772.9399999999951</v>
      </c>
      <c r="Y23" s="2"/>
      <c r="Z23" s="6">
        <f t="shared" si="11"/>
        <v>9.9536736578287696E-2</v>
      </c>
    </row>
    <row r="24" spans="1:26" s="24" customFormat="1" hidden="1" outlineLevel="2" x14ac:dyDescent="0.3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7">
        <v>110.59</v>
      </c>
      <c r="E24" s="2"/>
      <c r="F24" s="6">
        <f t="shared" si="4"/>
        <v>0</v>
      </c>
      <c r="G24" s="2"/>
      <c r="H24" s="7">
        <v>72.675399999999996</v>
      </c>
      <c r="I24" s="2"/>
      <c r="J24" s="6">
        <f t="shared" si="5"/>
        <v>0</v>
      </c>
      <c r="K24" s="2"/>
      <c r="L24" s="7">
        <f t="shared" si="6"/>
        <v>37.914600000000007</v>
      </c>
      <c r="M24" s="2"/>
      <c r="N24" s="6">
        <f t="shared" si="7"/>
        <v>0.52169785099222032</v>
      </c>
      <c r="O24" s="11"/>
      <c r="P24" s="7">
        <v>455.03</v>
      </c>
      <c r="Q24" s="2"/>
      <c r="R24" s="6">
        <f t="shared" si="8"/>
        <v>0</v>
      </c>
      <c r="S24" s="2"/>
      <c r="T24" s="7">
        <v>445.8014</v>
      </c>
      <c r="U24" s="2"/>
      <c r="V24" s="6">
        <f t="shared" si="9"/>
        <v>0</v>
      </c>
      <c r="W24" s="2"/>
      <c r="X24" s="7">
        <f t="shared" si="10"/>
        <v>9.2285999999999717</v>
      </c>
      <c r="Y24" s="2"/>
      <c r="Z24" s="6">
        <f t="shared" si="11"/>
        <v>2.070114629518878E-2</v>
      </c>
    </row>
    <row r="25" spans="1:26" s="24" customFormat="1" hidden="1" outlineLevel="2" x14ac:dyDescent="0.35">
      <c r="A25" s="29"/>
      <c r="B25" s="11" t="str">
        <f>CONCATENATE("          ", "6115", " - ", "P.E.R.S.")</f>
        <v xml:space="preserve">          6115 - P.E.R.S.</v>
      </c>
      <c r="C25" s="11"/>
      <c r="D25" s="7">
        <v>2968.15</v>
      </c>
      <c r="E25" s="2"/>
      <c r="F25" s="6">
        <f t="shared" si="4"/>
        <v>0</v>
      </c>
      <c r="G25" s="2"/>
      <c r="H25" s="7">
        <v>2283.1346153846198</v>
      </c>
      <c r="I25" s="2"/>
      <c r="J25" s="6">
        <f t="shared" si="5"/>
        <v>0</v>
      </c>
      <c r="K25" s="2"/>
      <c r="L25" s="7">
        <f t="shared" si="6"/>
        <v>685.0153846153803</v>
      </c>
      <c r="M25" s="2"/>
      <c r="N25" s="6">
        <f t="shared" si="7"/>
        <v>0.3000328495742165</v>
      </c>
      <c r="O25" s="11"/>
      <c r="P25" s="7">
        <v>16681.390000000003</v>
      </c>
      <c r="Q25" s="2"/>
      <c r="R25" s="6">
        <f t="shared" si="8"/>
        <v>0</v>
      </c>
      <c r="S25" s="2"/>
      <c r="T25" s="7">
        <v>14155.43461538462</v>
      </c>
      <c r="U25" s="2"/>
      <c r="V25" s="6">
        <f t="shared" si="9"/>
        <v>0</v>
      </c>
      <c r="W25" s="2"/>
      <c r="X25" s="7">
        <f t="shared" si="10"/>
        <v>2525.9553846153831</v>
      </c>
      <c r="Y25" s="2"/>
      <c r="Z25" s="6">
        <f t="shared" si="11"/>
        <v>0.17844421264678703</v>
      </c>
    </row>
    <row r="26" spans="1:26" s="24" customFormat="1" hidden="1" outlineLevel="2" x14ac:dyDescent="0.35">
      <c r="A26" s="29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35">
      <c r="A27" s="29"/>
      <c r="B27" s="11" t="str">
        <f>CONCATENATE("          ", "6118", " - ", "VACATION")</f>
        <v xml:space="preserve">          6118 - VACATION</v>
      </c>
      <c r="C27" s="11"/>
      <c r="D27" s="7">
        <v>1606.1</v>
      </c>
      <c r="E27" s="2"/>
      <c r="F27" s="6">
        <f t="shared" si="4"/>
        <v>0</v>
      </c>
      <c r="G27" s="2"/>
      <c r="H27" s="7">
        <v>1327.4038461538501</v>
      </c>
      <c r="I27" s="2"/>
      <c r="J27" s="6">
        <f t="shared" si="5"/>
        <v>0</v>
      </c>
      <c r="K27" s="2"/>
      <c r="L27" s="7">
        <f t="shared" si="6"/>
        <v>278.69615384614985</v>
      </c>
      <c r="M27" s="2"/>
      <c r="N27" s="6">
        <f t="shared" si="7"/>
        <v>0.20995581311118797</v>
      </c>
      <c r="O27" s="11"/>
      <c r="P27" s="7">
        <v>11703.77</v>
      </c>
      <c r="Q27" s="2"/>
      <c r="R27" s="6">
        <f t="shared" si="8"/>
        <v>0</v>
      </c>
      <c r="S27" s="2"/>
      <c r="T27" s="7">
        <v>8229.9038461538694</v>
      </c>
      <c r="U27" s="2"/>
      <c r="V27" s="6">
        <f t="shared" si="9"/>
        <v>0</v>
      </c>
      <c r="W27" s="2"/>
      <c r="X27" s="7">
        <f t="shared" si="10"/>
        <v>3473.8661538461311</v>
      </c>
      <c r="Y27" s="2"/>
      <c r="Z27" s="6">
        <f t="shared" si="11"/>
        <v>0.42210288464908297</v>
      </c>
    </row>
    <row r="28" spans="1:26" s="24" customFormat="1" hidden="1" outlineLevel="2" x14ac:dyDescent="0.35">
      <c r="A28" s="29"/>
      <c r="B28" s="11" t="str">
        <f>CONCATENATE("          ", "6119", " - ", "SICK LEAVE")</f>
        <v xml:space="preserve">          6119 - SICK LEAVE</v>
      </c>
      <c r="C28" s="11"/>
      <c r="D28" s="7">
        <v>979.42</v>
      </c>
      <c r="E28" s="2"/>
      <c r="F28" s="6">
        <f t="shared" si="4"/>
        <v>0</v>
      </c>
      <c r="G28" s="2"/>
      <c r="H28" s="7">
        <v>1327.4038461538501</v>
      </c>
      <c r="I28" s="2"/>
      <c r="J28" s="6">
        <f t="shared" si="5"/>
        <v>0</v>
      </c>
      <c r="K28" s="2"/>
      <c r="L28" s="7">
        <f t="shared" si="6"/>
        <v>-347.9838461538501</v>
      </c>
      <c r="M28" s="2"/>
      <c r="N28" s="6">
        <f t="shared" si="7"/>
        <v>-0.26215371242303731</v>
      </c>
      <c r="O28" s="11"/>
      <c r="P28" s="7">
        <v>7345.65</v>
      </c>
      <c r="Q28" s="2"/>
      <c r="R28" s="6">
        <f t="shared" si="8"/>
        <v>0</v>
      </c>
      <c r="S28" s="2"/>
      <c r="T28" s="7">
        <v>8229.9038461538694</v>
      </c>
      <c r="U28" s="2"/>
      <c r="V28" s="6">
        <f t="shared" si="9"/>
        <v>0</v>
      </c>
      <c r="W28" s="2"/>
      <c r="X28" s="7">
        <f t="shared" si="10"/>
        <v>-884.25384615386974</v>
      </c>
      <c r="Y28" s="2"/>
      <c r="Z28" s="6">
        <f t="shared" si="11"/>
        <v>-0.10744400696335152</v>
      </c>
    </row>
    <row r="29" spans="1:26" s="24" customFormat="1" hidden="1" outlineLevel="2" x14ac:dyDescent="0.35">
      <c r="A29" s="29"/>
      <c r="B29" s="11" t="str">
        <f>CONCATENATE("          ", "6156", " - ", "EMPLOYEE MEALS")</f>
        <v xml:space="preserve">          6156 - EMPLOYEE MEALS</v>
      </c>
      <c r="C29" s="11"/>
      <c r="D29" s="7">
        <v>70.56</v>
      </c>
      <c r="E29" s="2"/>
      <c r="F29" s="6">
        <f t="shared" si="4"/>
        <v>0</v>
      </c>
      <c r="G29" s="2"/>
      <c r="H29" s="7">
        <v>700</v>
      </c>
      <c r="I29" s="2"/>
      <c r="J29" s="6">
        <f t="shared" si="5"/>
        <v>0</v>
      </c>
      <c r="K29" s="2"/>
      <c r="L29" s="7">
        <f t="shared" si="6"/>
        <v>-629.44000000000005</v>
      </c>
      <c r="M29" s="2"/>
      <c r="N29" s="6">
        <f t="shared" si="7"/>
        <v>-0.89920000000000011</v>
      </c>
      <c r="O29" s="11"/>
      <c r="P29" s="7">
        <v>1625.82</v>
      </c>
      <c r="Q29" s="2"/>
      <c r="R29" s="6">
        <f t="shared" si="8"/>
        <v>0</v>
      </c>
      <c r="S29" s="2"/>
      <c r="T29" s="7">
        <v>3820</v>
      </c>
      <c r="U29" s="2"/>
      <c r="V29" s="6">
        <f t="shared" si="9"/>
        <v>0</v>
      </c>
      <c r="W29" s="2"/>
      <c r="X29" s="7">
        <f t="shared" si="10"/>
        <v>-2194.1800000000003</v>
      </c>
      <c r="Y29" s="2"/>
      <c r="Z29" s="6">
        <f t="shared" si="11"/>
        <v>-0.57439267015706819</v>
      </c>
    </row>
    <row r="30" spans="1:26" s="28" customFormat="1" outlineLevel="1" collapsed="1" x14ac:dyDescent="0.3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25816.6</v>
      </c>
      <c r="E30" s="1"/>
      <c r="F30" s="5">
        <f t="shared" ref="F30:F40" si="12">IF(D$12=0,0,D30/D$12)</f>
        <v>0</v>
      </c>
      <c r="G30" s="1"/>
      <c r="H30" s="1">
        <f>SUM(OSRRefH22_1x_0)</f>
        <v>25297.269230769238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519.33076923076078</v>
      </c>
      <c r="M30" s="1"/>
      <c r="N30" s="5">
        <f t="shared" ref="N30:N40" si="15">IF(H30=0,0,L30/H30)</f>
        <v>2.0529123696841369E-2</v>
      </c>
      <c r="O30" s="14"/>
      <c r="P30" s="1">
        <f>SUM(OSRRefP22_1x_0)</f>
        <v>151676.12000000002</v>
      </c>
      <c r="Q30" s="1"/>
      <c r="R30" s="5">
        <f t="shared" ref="R30:R40" si="16">IF(P$12=0,0,P30/P$12)</f>
        <v>0</v>
      </c>
      <c r="S30" s="1"/>
      <c r="T30" s="1">
        <f>SUM(OSRRefT22_1x_0)</f>
        <v>155002.26923076945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-3326.149230769428</v>
      </c>
      <c r="Y30" s="1"/>
      <c r="Z30" s="5">
        <f t="shared" ref="Z30:Z40" si="19">IF(T30=0,0,X30/T30)</f>
        <v>-2.1458713135466503E-2</v>
      </c>
    </row>
    <row r="31" spans="1:26" s="24" customFormat="1" hidden="1" outlineLevel="2" x14ac:dyDescent="0.3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12"/>
        <v>0</v>
      </c>
      <c r="G31" s="2"/>
      <c r="H31" s="7">
        <v>6775.9615384615399</v>
      </c>
      <c r="I31" s="2"/>
      <c r="J31" s="6">
        <f t="shared" si="13"/>
        <v>0</v>
      </c>
      <c r="K31" s="2"/>
      <c r="L31" s="7">
        <f t="shared" si="14"/>
        <v>-6775.9615384615399</v>
      </c>
      <c r="M31" s="2"/>
      <c r="N31" s="6">
        <f t="shared" si="15"/>
        <v>-1</v>
      </c>
      <c r="O31" s="11"/>
      <c r="P31" s="7"/>
      <c r="Q31" s="2"/>
      <c r="R31" s="6">
        <f t="shared" si="16"/>
        <v>0</v>
      </c>
      <c r="S31" s="2"/>
      <c r="T31" s="7">
        <v>42010.961538461539</v>
      </c>
      <c r="U31" s="2"/>
      <c r="V31" s="6">
        <f t="shared" si="17"/>
        <v>0</v>
      </c>
      <c r="W31" s="2"/>
      <c r="X31" s="7">
        <f t="shared" si="18"/>
        <v>-42010.961538461539</v>
      </c>
      <c r="Y31" s="2"/>
      <c r="Z31" s="6">
        <f t="shared" si="19"/>
        <v>-1</v>
      </c>
    </row>
    <row r="32" spans="1:26" s="24" customFormat="1" hidden="1" outlineLevel="2" x14ac:dyDescent="0.35">
      <c r="A32" s="29"/>
      <c r="B32" s="11" t="str">
        <f>CONCATENATE("          ", "6002", " - ", "STAFF SALARIES")</f>
        <v xml:space="preserve">          6002 - STAFF SALARIES</v>
      </c>
      <c r="C32" s="11"/>
      <c r="D32" s="7">
        <v>25816.6</v>
      </c>
      <c r="E32" s="2"/>
      <c r="F32" s="6">
        <f t="shared" si="12"/>
        <v>0</v>
      </c>
      <c r="G32" s="2"/>
      <c r="H32" s="7">
        <v>17117.307692307699</v>
      </c>
      <c r="I32" s="2"/>
      <c r="J32" s="6">
        <f t="shared" si="13"/>
        <v>0</v>
      </c>
      <c r="K32" s="2"/>
      <c r="L32" s="7">
        <f t="shared" si="14"/>
        <v>8699.2923076922998</v>
      </c>
      <c r="M32" s="2"/>
      <c r="N32" s="6">
        <f t="shared" si="15"/>
        <v>0.50821615548814669</v>
      </c>
      <c r="O32" s="11"/>
      <c r="P32" s="7">
        <v>151294.36000000002</v>
      </c>
      <c r="Q32" s="2"/>
      <c r="R32" s="6">
        <f t="shared" si="16"/>
        <v>0</v>
      </c>
      <c r="S32" s="2"/>
      <c r="T32" s="7">
        <v>106127.30769230791</v>
      </c>
      <c r="U32" s="2"/>
      <c r="V32" s="6">
        <f t="shared" si="17"/>
        <v>0</v>
      </c>
      <c r="W32" s="2"/>
      <c r="X32" s="7">
        <f t="shared" si="18"/>
        <v>45167.052307692109</v>
      </c>
      <c r="Y32" s="2"/>
      <c r="Z32" s="6">
        <f t="shared" si="19"/>
        <v>0.42559312291840801</v>
      </c>
    </row>
    <row r="33" spans="1:26" s="24" customFormat="1" hidden="1" outlineLevel="2" x14ac:dyDescent="0.3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35">
      <c r="A34" s="29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3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>
        <v>265.48</v>
      </c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265.48</v>
      </c>
      <c r="Y35" s="2"/>
      <c r="Z35" s="6">
        <f t="shared" si="19"/>
        <v>0</v>
      </c>
    </row>
    <row r="36" spans="1:26" s="24" customFormat="1" hidden="1" outlineLevel="2" x14ac:dyDescent="0.35">
      <c r="A36" s="29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35">
      <c r="A37" s="29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>
        <v>116.28</v>
      </c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116.28</v>
      </c>
      <c r="Y37" s="2"/>
      <c r="Z37" s="6">
        <f t="shared" si="19"/>
        <v>0</v>
      </c>
    </row>
    <row r="38" spans="1:26" s="24" customFormat="1" hidden="1" outlineLevel="2" x14ac:dyDescent="0.3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12"/>
        <v>0</v>
      </c>
      <c r="G38" s="2"/>
      <c r="H38" s="7">
        <v>1404</v>
      </c>
      <c r="I38" s="2"/>
      <c r="J38" s="6">
        <f t="shared" si="13"/>
        <v>0</v>
      </c>
      <c r="K38" s="2"/>
      <c r="L38" s="7">
        <f t="shared" si="14"/>
        <v>-1404</v>
      </c>
      <c r="M38" s="2"/>
      <c r="N38" s="6">
        <f t="shared" si="15"/>
        <v>-1</v>
      </c>
      <c r="O38" s="11"/>
      <c r="P38" s="7"/>
      <c r="Q38" s="2"/>
      <c r="R38" s="6">
        <f t="shared" si="16"/>
        <v>0</v>
      </c>
      <c r="S38" s="2"/>
      <c r="T38" s="7">
        <v>6864</v>
      </c>
      <c r="U38" s="2"/>
      <c r="V38" s="6">
        <f t="shared" si="17"/>
        <v>0</v>
      </c>
      <c r="W38" s="2"/>
      <c r="X38" s="7">
        <f t="shared" si="18"/>
        <v>-6864</v>
      </c>
      <c r="Y38" s="2"/>
      <c r="Z38" s="6">
        <f t="shared" si="19"/>
        <v>-1</v>
      </c>
    </row>
    <row r="39" spans="1:26" s="24" customFormat="1" hidden="1" outlineLevel="2" x14ac:dyDescent="0.3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3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8" customFormat="1" outlineLevel="1" collapsed="1" x14ac:dyDescent="0.35">
      <c r="A41" s="27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SUM(OSRRefD22_2x_0)</f>
        <v>1558.88</v>
      </c>
      <c r="E41" s="1"/>
      <c r="F41" s="5">
        <f t="shared" ref="F41:F47" si="20">IF(D$12=0,0,D41/D$12)</f>
        <v>0</v>
      </c>
      <c r="G41" s="1"/>
      <c r="H41" s="1">
        <f>SUM(OSRRefH22_2x_0)</f>
        <v>1559</v>
      </c>
      <c r="I41" s="1"/>
      <c r="J41" s="5">
        <f t="shared" ref="J41:J47" si="21">IF(H$12=0,0,H41/H$12)</f>
        <v>0</v>
      </c>
      <c r="K41" s="1"/>
      <c r="L41" s="1">
        <f t="shared" ref="L41:L47" si="22">+D41-H41</f>
        <v>-0.11999999999989086</v>
      </c>
      <c r="M41" s="1"/>
      <c r="N41" s="5">
        <f t="shared" ref="N41:N47" si="23">IF(H41=0,0,L41/H41)</f>
        <v>-7.6972418216735637E-5</v>
      </c>
      <c r="O41" s="14"/>
      <c r="P41" s="1">
        <f>SUM(OSRRefP22_2x_0)</f>
        <v>10912.16</v>
      </c>
      <c r="Q41" s="1"/>
      <c r="R41" s="5">
        <f t="shared" ref="R41:R47" si="24">IF(P$12=0,0,P41/P$12)</f>
        <v>0</v>
      </c>
      <c r="S41" s="1"/>
      <c r="T41" s="1">
        <f>SUM(OSRRefT22_2x_0)</f>
        <v>10913</v>
      </c>
      <c r="U41" s="1"/>
      <c r="V41" s="5">
        <f t="shared" ref="V41:V47" si="25">IF(T$12=0,0,T41/T$12)</f>
        <v>0</v>
      </c>
      <c r="W41" s="1"/>
      <c r="X41" s="1">
        <f t="shared" ref="X41:X47" si="26">+P41-T41</f>
        <v>-0.84000000000014552</v>
      </c>
      <c r="Y41" s="1"/>
      <c r="Z41" s="5">
        <f t="shared" ref="Z41:Z47" si="27">IF(T41=0,0,X41/T41)</f>
        <v>-7.6972418216818985E-5</v>
      </c>
    </row>
    <row r="42" spans="1:26" s="24" customFormat="1" hidden="1" outlineLevel="2" x14ac:dyDescent="0.35">
      <c r="A42" s="29"/>
      <c r="B42" s="11" t="str">
        <f>CONCATENATE("          ", "6322", " - ", "EQUIPMENT DEPRECIATION EXPENSE")</f>
        <v xml:space="preserve">          6322 - EQUIPMENT DEPRECIATION EXPENSE</v>
      </c>
      <c r="C42" s="11"/>
      <c r="D42" s="7">
        <v>1558.88</v>
      </c>
      <c r="E42" s="2"/>
      <c r="F42" s="6">
        <f t="shared" si="20"/>
        <v>0</v>
      </c>
      <c r="G42" s="2"/>
      <c r="H42" s="7">
        <v>1559</v>
      </c>
      <c r="I42" s="2"/>
      <c r="J42" s="6">
        <f t="shared" si="21"/>
        <v>0</v>
      </c>
      <c r="K42" s="2"/>
      <c r="L42" s="7">
        <f t="shared" si="22"/>
        <v>-0.11999999999989086</v>
      </c>
      <c r="M42" s="2"/>
      <c r="N42" s="6">
        <f t="shared" si="23"/>
        <v>-7.6972418216735637E-5</v>
      </c>
      <c r="O42" s="11"/>
      <c r="P42" s="7">
        <v>10912.16</v>
      </c>
      <c r="Q42" s="2"/>
      <c r="R42" s="6">
        <f t="shared" si="24"/>
        <v>0</v>
      </c>
      <c r="S42" s="2"/>
      <c r="T42" s="7">
        <v>10913</v>
      </c>
      <c r="U42" s="2"/>
      <c r="V42" s="6">
        <f t="shared" si="25"/>
        <v>0</v>
      </c>
      <c r="W42" s="2"/>
      <c r="X42" s="7">
        <f t="shared" si="26"/>
        <v>-0.84000000000014552</v>
      </c>
      <c r="Y42" s="2"/>
      <c r="Z42" s="6">
        <f t="shared" si="27"/>
        <v>-7.6972418216818985E-5</v>
      </c>
    </row>
    <row r="43" spans="1:26" s="28" customFormat="1" outlineLevel="1" collapsed="1" x14ac:dyDescent="0.35">
      <c r="A43" s="27"/>
      <c r="B43" s="14" t="str">
        <f>CONCATENATE("     ","Equipment Rental                                  ")</f>
        <v xml:space="preserve">     Equipment Rental                                  </v>
      </c>
      <c r="C43" s="14"/>
      <c r="D43" s="1">
        <f>SUM(OSRRefD22_3x_0)</f>
        <v>91.26</v>
      </c>
      <c r="E43" s="1"/>
      <c r="F43" s="5">
        <f t="shared" si="20"/>
        <v>0</v>
      </c>
      <c r="G43" s="1"/>
      <c r="H43" s="1">
        <f>SUM(OSRRefH22_3x_0)</f>
        <v>91</v>
      </c>
      <c r="I43" s="1"/>
      <c r="J43" s="5">
        <f t="shared" si="21"/>
        <v>0</v>
      </c>
      <c r="K43" s="1"/>
      <c r="L43" s="1">
        <f t="shared" si="22"/>
        <v>0.26000000000000512</v>
      </c>
      <c r="M43" s="1"/>
      <c r="N43" s="5">
        <f t="shared" si="23"/>
        <v>2.8571428571429135E-3</v>
      </c>
      <c r="O43" s="14"/>
      <c r="P43" s="1">
        <f>SUM(OSRRefP22_3x_0)</f>
        <v>638.82000000000005</v>
      </c>
      <c r="Q43" s="1"/>
      <c r="R43" s="5">
        <f t="shared" si="24"/>
        <v>0</v>
      </c>
      <c r="S43" s="1"/>
      <c r="T43" s="1">
        <f>SUM(OSRRefT22_3x_0)</f>
        <v>637</v>
      </c>
      <c r="U43" s="1"/>
      <c r="V43" s="5">
        <f t="shared" si="25"/>
        <v>0</v>
      </c>
      <c r="W43" s="1"/>
      <c r="X43" s="1">
        <f t="shared" si="26"/>
        <v>1.82000000000005</v>
      </c>
      <c r="Y43" s="1"/>
      <c r="Z43" s="5">
        <f t="shared" si="27"/>
        <v>2.8571428571429356E-3</v>
      </c>
    </row>
    <row r="44" spans="1:26" s="24" customFormat="1" hidden="1" outlineLevel="2" x14ac:dyDescent="0.35">
      <c r="A44" s="29"/>
      <c r="B44" s="11" t="str">
        <f>CONCATENATE("          ", "6351", " - ", "EQUIPMENT RENTAL")</f>
        <v xml:space="preserve">          6351 - EQUIPMENT RENTAL</v>
      </c>
      <c r="C44" s="11"/>
      <c r="D44" s="7">
        <v>91.26</v>
      </c>
      <c r="E44" s="2"/>
      <c r="F44" s="6">
        <f t="shared" si="20"/>
        <v>0</v>
      </c>
      <c r="G44" s="2"/>
      <c r="H44" s="7">
        <v>91</v>
      </c>
      <c r="I44" s="2"/>
      <c r="J44" s="6">
        <f t="shared" si="21"/>
        <v>0</v>
      </c>
      <c r="K44" s="2"/>
      <c r="L44" s="7">
        <f t="shared" si="22"/>
        <v>0.26000000000000512</v>
      </c>
      <c r="M44" s="2"/>
      <c r="N44" s="6">
        <f t="shared" si="23"/>
        <v>2.8571428571429135E-3</v>
      </c>
      <c r="O44" s="11"/>
      <c r="P44" s="7">
        <v>638.82000000000005</v>
      </c>
      <c r="Q44" s="2"/>
      <c r="R44" s="6">
        <f t="shared" si="24"/>
        <v>0</v>
      </c>
      <c r="S44" s="2"/>
      <c r="T44" s="7">
        <v>637</v>
      </c>
      <c r="U44" s="2"/>
      <c r="V44" s="6">
        <f t="shared" si="25"/>
        <v>0</v>
      </c>
      <c r="W44" s="2"/>
      <c r="X44" s="7">
        <f t="shared" si="26"/>
        <v>1.82000000000005</v>
      </c>
      <c r="Y44" s="2"/>
      <c r="Z44" s="6">
        <f t="shared" si="27"/>
        <v>2.8571428571429356E-3</v>
      </c>
    </row>
    <row r="45" spans="1:26" s="28" customFormat="1" outlineLevel="1" collapsed="1" x14ac:dyDescent="0.35">
      <c r="A45" s="27"/>
      <c r="B45" s="14" t="str">
        <f>CONCATENATE("     ","Freight out/Postage                               ")</f>
        <v xml:space="preserve">     Freight out/Postage                               </v>
      </c>
      <c r="C45" s="14"/>
      <c r="D45" s="1">
        <f>SUM(OSRRefD22_4x_0)</f>
        <v>113.28</v>
      </c>
      <c r="E45" s="1"/>
      <c r="F45" s="5">
        <f t="shared" si="20"/>
        <v>0</v>
      </c>
      <c r="G45" s="1"/>
      <c r="H45" s="1">
        <f>SUM(OSRRefH22_4x_0)</f>
        <v>100</v>
      </c>
      <c r="I45" s="1"/>
      <c r="J45" s="5">
        <f t="shared" si="21"/>
        <v>0</v>
      </c>
      <c r="K45" s="1"/>
      <c r="L45" s="1">
        <f t="shared" si="22"/>
        <v>13.280000000000001</v>
      </c>
      <c r="M45" s="1"/>
      <c r="N45" s="5">
        <f t="shared" si="23"/>
        <v>0.1328</v>
      </c>
      <c r="O45" s="14"/>
      <c r="P45" s="1">
        <f>SUM(OSRRefP22_4x_0)</f>
        <v>718.14</v>
      </c>
      <c r="Q45" s="1"/>
      <c r="R45" s="5">
        <f t="shared" si="24"/>
        <v>0</v>
      </c>
      <c r="S45" s="1"/>
      <c r="T45" s="1">
        <f>SUM(OSRRefT22_4x_0)</f>
        <v>700</v>
      </c>
      <c r="U45" s="1"/>
      <c r="V45" s="5">
        <f t="shared" si="25"/>
        <v>0</v>
      </c>
      <c r="W45" s="1"/>
      <c r="X45" s="1">
        <f t="shared" si="26"/>
        <v>18.139999999999986</v>
      </c>
      <c r="Y45" s="1"/>
      <c r="Z45" s="5">
        <f t="shared" si="27"/>
        <v>2.5914285714285695E-2</v>
      </c>
    </row>
    <row r="46" spans="1:26" s="24" customFormat="1" hidden="1" outlineLevel="2" x14ac:dyDescent="0.35">
      <c r="A46" s="29"/>
      <c r="B46" s="11" t="str">
        <f>CONCATENATE("          ", "6305", " - ", "FREIGHT OUT")</f>
        <v xml:space="preserve">          6305 - FREIGHT OUT</v>
      </c>
      <c r="C46" s="11"/>
      <c r="D46" s="7"/>
      <c r="E46" s="2"/>
      <c r="F46" s="6">
        <f t="shared" si="20"/>
        <v>0</v>
      </c>
      <c r="G46" s="2"/>
      <c r="H46" s="7"/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>
        <v>5.41</v>
      </c>
      <c r="Q46" s="2"/>
      <c r="R46" s="6">
        <f t="shared" si="24"/>
        <v>0</v>
      </c>
      <c r="S46" s="2"/>
      <c r="T46" s="7"/>
      <c r="U46" s="2"/>
      <c r="V46" s="6">
        <f t="shared" si="25"/>
        <v>0</v>
      </c>
      <c r="W46" s="2"/>
      <c r="X46" s="7">
        <f t="shared" si="26"/>
        <v>5.41</v>
      </c>
      <c r="Y46" s="2"/>
      <c r="Z46" s="6">
        <f t="shared" si="27"/>
        <v>0</v>
      </c>
    </row>
    <row r="47" spans="1:26" s="24" customFormat="1" hidden="1" outlineLevel="2" x14ac:dyDescent="0.35">
      <c r="A47" s="29"/>
      <c r="B47" s="11" t="str">
        <f>CONCATENATE("          ", "6307", " - ", "POSTAGE")</f>
        <v xml:space="preserve">          6307 - POSTAGE</v>
      </c>
      <c r="C47" s="11"/>
      <c r="D47" s="7">
        <v>113.28</v>
      </c>
      <c r="E47" s="2"/>
      <c r="F47" s="6">
        <f t="shared" si="20"/>
        <v>0</v>
      </c>
      <c r="G47" s="2"/>
      <c r="H47" s="7">
        <v>100</v>
      </c>
      <c r="I47" s="2"/>
      <c r="J47" s="6">
        <f t="shared" si="21"/>
        <v>0</v>
      </c>
      <c r="K47" s="2"/>
      <c r="L47" s="7">
        <f t="shared" si="22"/>
        <v>13.280000000000001</v>
      </c>
      <c r="M47" s="2"/>
      <c r="N47" s="6">
        <f t="shared" si="23"/>
        <v>0.1328</v>
      </c>
      <c r="O47" s="11"/>
      <c r="P47" s="7">
        <v>712.73</v>
      </c>
      <c r="Q47" s="2"/>
      <c r="R47" s="6">
        <f t="shared" si="24"/>
        <v>0</v>
      </c>
      <c r="S47" s="2"/>
      <c r="T47" s="7">
        <v>700</v>
      </c>
      <c r="U47" s="2"/>
      <c r="V47" s="6">
        <f t="shared" si="25"/>
        <v>0</v>
      </c>
      <c r="W47" s="2"/>
      <c r="X47" s="7">
        <f t="shared" si="26"/>
        <v>12.730000000000018</v>
      </c>
      <c r="Y47" s="2"/>
      <c r="Z47" s="6">
        <f t="shared" si="27"/>
        <v>1.8185714285714312E-2</v>
      </c>
    </row>
    <row r="48" spans="1:26" s="28" customFormat="1" outlineLevel="1" collapsed="1" x14ac:dyDescent="0.35">
      <c r="A48" s="27"/>
      <c r="B48" s="14" t="str">
        <f>CONCATENATE("     ","Insurance                                         ")</f>
        <v xml:space="preserve">     Insurance                                         </v>
      </c>
      <c r="C48" s="14"/>
      <c r="D48" s="1">
        <f>SUM(OSRRefD22_5x_0)</f>
        <v>132.16999999999999</v>
      </c>
      <c r="E48" s="1"/>
      <c r="F48" s="5">
        <f t="shared" ref="F48:F54" si="28">IF(D$12=0,0,D48/D$12)</f>
        <v>0</v>
      </c>
      <c r="G48" s="1"/>
      <c r="H48" s="1">
        <f>SUM(OSRRefH22_5x_0)</f>
        <v>145</v>
      </c>
      <c r="I48" s="1"/>
      <c r="J48" s="5">
        <f t="shared" ref="J48:J54" si="29">IF(H$12=0,0,H48/H$12)</f>
        <v>0</v>
      </c>
      <c r="K48" s="1"/>
      <c r="L48" s="1">
        <f t="shared" ref="L48:L54" si="30">+D48-H48</f>
        <v>-12.830000000000013</v>
      </c>
      <c r="M48" s="1"/>
      <c r="N48" s="5">
        <f t="shared" ref="N48:N54" si="31">IF(H48=0,0,L48/H48)</f>
        <v>-8.8482758620689744E-2</v>
      </c>
      <c r="O48" s="14"/>
      <c r="P48" s="1">
        <f>SUM(OSRRefP22_5x_0)</f>
        <v>925.19</v>
      </c>
      <c r="Q48" s="1"/>
      <c r="R48" s="5">
        <f t="shared" ref="R48:R54" si="32">IF(P$12=0,0,P48/P$12)</f>
        <v>0</v>
      </c>
      <c r="S48" s="1"/>
      <c r="T48" s="1">
        <f>SUM(OSRRefT22_5x_0)</f>
        <v>1015</v>
      </c>
      <c r="U48" s="1"/>
      <c r="V48" s="5">
        <f t="shared" ref="V48:V54" si="33">IF(T$12=0,0,T48/T$12)</f>
        <v>0</v>
      </c>
      <c r="W48" s="1"/>
      <c r="X48" s="1">
        <f t="shared" ref="X48:X54" si="34">+P48-T48</f>
        <v>-89.809999999999945</v>
      </c>
      <c r="Y48" s="1"/>
      <c r="Z48" s="5">
        <f t="shared" ref="Z48:Z54" si="35">IF(T48=0,0,X48/T48)</f>
        <v>-8.8482758620689606E-2</v>
      </c>
    </row>
    <row r="49" spans="1:26" s="24" customFormat="1" hidden="1" outlineLevel="2" x14ac:dyDescent="0.35">
      <c r="A49" s="29"/>
      <c r="B49" s="11" t="str">
        <f>CONCATENATE("          ", "6314", " - ", "LIABILITY INSURANCE")</f>
        <v xml:space="preserve">          6314 - LIABILITY INSURANCE</v>
      </c>
      <c r="C49" s="11"/>
      <c r="D49" s="7">
        <v>132.16999999999999</v>
      </c>
      <c r="E49" s="2"/>
      <c r="F49" s="6">
        <f t="shared" si="28"/>
        <v>0</v>
      </c>
      <c r="G49" s="2"/>
      <c r="H49" s="7">
        <v>145</v>
      </c>
      <c r="I49" s="2"/>
      <c r="J49" s="6">
        <f t="shared" si="29"/>
        <v>0</v>
      </c>
      <c r="K49" s="2"/>
      <c r="L49" s="7">
        <f t="shared" si="30"/>
        <v>-12.830000000000013</v>
      </c>
      <c r="M49" s="2"/>
      <c r="N49" s="6">
        <f t="shared" si="31"/>
        <v>-8.8482758620689744E-2</v>
      </c>
      <c r="O49" s="11"/>
      <c r="P49" s="7">
        <v>925.19</v>
      </c>
      <c r="Q49" s="2"/>
      <c r="R49" s="6">
        <f t="shared" si="32"/>
        <v>0</v>
      </c>
      <c r="S49" s="2"/>
      <c r="T49" s="7">
        <v>1015</v>
      </c>
      <c r="U49" s="2"/>
      <c r="V49" s="6">
        <f t="shared" si="33"/>
        <v>0</v>
      </c>
      <c r="W49" s="2"/>
      <c r="X49" s="7">
        <f t="shared" si="34"/>
        <v>-89.809999999999945</v>
      </c>
      <c r="Y49" s="2"/>
      <c r="Z49" s="6">
        <f t="shared" si="35"/>
        <v>-8.8482758620689606E-2</v>
      </c>
    </row>
    <row r="50" spans="1:26" s="28" customFormat="1" outlineLevel="1" collapsed="1" x14ac:dyDescent="0.35">
      <c r="A50" s="27"/>
      <c r="B50" s="14" t="str">
        <f>CONCATENATE("     ","Professional Services                             ")</f>
        <v xml:space="preserve">     Professional Services                             </v>
      </c>
      <c r="C50" s="14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250</v>
      </c>
      <c r="I50" s="1"/>
      <c r="J50" s="5">
        <f t="shared" si="29"/>
        <v>0</v>
      </c>
      <c r="K50" s="1"/>
      <c r="L50" s="1">
        <f t="shared" si="30"/>
        <v>-250</v>
      </c>
      <c r="M50" s="1"/>
      <c r="N50" s="5">
        <f t="shared" si="31"/>
        <v>-1</v>
      </c>
      <c r="O50" s="14"/>
      <c r="P50" s="1">
        <f>SUM(OSRRefP22_6x_0)</f>
        <v>0</v>
      </c>
      <c r="Q50" s="1"/>
      <c r="R50" s="5">
        <f t="shared" si="32"/>
        <v>0</v>
      </c>
      <c r="S50" s="1"/>
      <c r="T50" s="1">
        <f>SUM(OSRRefT22_6x_0)</f>
        <v>1750</v>
      </c>
      <c r="U50" s="1"/>
      <c r="V50" s="5">
        <f t="shared" si="33"/>
        <v>0</v>
      </c>
      <c r="W50" s="1"/>
      <c r="X50" s="1">
        <f t="shared" si="34"/>
        <v>-1750</v>
      </c>
      <c r="Y50" s="1"/>
      <c r="Z50" s="5">
        <f t="shared" si="35"/>
        <v>-1</v>
      </c>
    </row>
    <row r="51" spans="1:26" s="24" customFormat="1" hidden="1" outlineLevel="2" x14ac:dyDescent="0.35">
      <c r="A51" s="29"/>
      <c r="B51" s="11" t="str">
        <f>CONCATENATE("          ", "6332", " - ", "CONSULTANT FEES")</f>
        <v xml:space="preserve">          6332 - CONSULTANT FEES</v>
      </c>
      <c r="C51" s="11"/>
      <c r="D51" s="7"/>
      <c r="E51" s="2"/>
      <c r="F51" s="6">
        <f t="shared" si="28"/>
        <v>0</v>
      </c>
      <c r="G51" s="2"/>
      <c r="H51" s="7">
        <v>250</v>
      </c>
      <c r="I51" s="2"/>
      <c r="J51" s="6">
        <f t="shared" si="29"/>
        <v>0</v>
      </c>
      <c r="K51" s="2"/>
      <c r="L51" s="7">
        <f t="shared" si="30"/>
        <v>-250</v>
      </c>
      <c r="M51" s="2"/>
      <c r="N51" s="6">
        <f t="shared" si="31"/>
        <v>-1</v>
      </c>
      <c r="O51" s="11"/>
      <c r="P51" s="7"/>
      <c r="Q51" s="2"/>
      <c r="R51" s="6">
        <f t="shared" si="32"/>
        <v>0</v>
      </c>
      <c r="S51" s="2"/>
      <c r="T51" s="7">
        <v>1750</v>
      </c>
      <c r="U51" s="2"/>
      <c r="V51" s="6">
        <f t="shared" si="33"/>
        <v>0</v>
      </c>
      <c r="W51" s="2"/>
      <c r="X51" s="7">
        <f t="shared" si="34"/>
        <v>-1750</v>
      </c>
      <c r="Y51" s="2"/>
      <c r="Z51" s="6">
        <f t="shared" si="35"/>
        <v>-1</v>
      </c>
    </row>
    <row r="52" spans="1:26" s="28" customFormat="1" outlineLevel="1" collapsed="1" x14ac:dyDescent="0.35">
      <c r="A52" s="27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SUM(OSRRefD22_7x_0)</f>
        <v>4664.16</v>
      </c>
      <c r="E52" s="1"/>
      <c r="F52" s="5">
        <f t="shared" si="28"/>
        <v>0</v>
      </c>
      <c r="G52" s="1"/>
      <c r="H52" s="1">
        <f>SUM(OSRRefH22_7x_0)</f>
        <v>60</v>
      </c>
      <c r="I52" s="1"/>
      <c r="J52" s="5">
        <f t="shared" si="29"/>
        <v>0</v>
      </c>
      <c r="K52" s="1"/>
      <c r="L52" s="1">
        <f t="shared" si="30"/>
        <v>4604.16</v>
      </c>
      <c r="M52" s="1"/>
      <c r="N52" s="5">
        <f t="shared" si="31"/>
        <v>76.736000000000004</v>
      </c>
      <c r="O52" s="14"/>
      <c r="P52" s="1">
        <f>SUM(OSRRefP22_7x_0)</f>
        <v>5617.03</v>
      </c>
      <c r="Q52" s="1"/>
      <c r="R52" s="5">
        <f t="shared" si="32"/>
        <v>0</v>
      </c>
      <c r="S52" s="1"/>
      <c r="T52" s="1">
        <f>SUM(OSRRefT22_7x_0)</f>
        <v>4870</v>
      </c>
      <c r="U52" s="1"/>
      <c r="V52" s="5">
        <f t="shared" si="33"/>
        <v>0</v>
      </c>
      <c r="W52" s="1"/>
      <c r="X52" s="1">
        <f t="shared" si="34"/>
        <v>747.02999999999975</v>
      </c>
      <c r="Y52" s="1"/>
      <c r="Z52" s="5">
        <f t="shared" si="35"/>
        <v>0.15339425051334696</v>
      </c>
    </row>
    <row r="53" spans="1:26" s="24" customFormat="1" hidden="1" outlineLevel="2" x14ac:dyDescent="0.35">
      <c r="A53" s="29"/>
      <c r="B53" s="11" t="str">
        <f>CONCATENATE("          ", "6371", " - ", "COMPUTER SOFTWARE MAINTENANCE")</f>
        <v xml:space="preserve">          6371 - COMPUTER SOFTWARE MAINTENANCE</v>
      </c>
      <c r="C53" s="11"/>
      <c r="D53" s="7">
        <v>59.95</v>
      </c>
      <c r="E53" s="2"/>
      <c r="F53" s="6">
        <f t="shared" si="28"/>
        <v>0</v>
      </c>
      <c r="G53" s="2"/>
      <c r="H53" s="7">
        <v>60</v>
      </c>
      <c r="I53" s="2"/>
      <c r="J53" s="6">
        <f t="shared" si="29"/>
        <v>0</v>
      </c>
      <c r="K53" s="2"/>
      <c r="L53" s="7">
        <f t="shared" si="30"/>
        <v>-4.9999999999997158E-2</v>
      </c>
      <c r="M53" s="2"/>
      <c r="N53" s="6">
        <f t="shared" si="31"/>
        <v>-8.3333333333328601E-4</v>
      </c>
      <c r="O53" s="11"/>
      <c r="P53" s="7">
        <v>955.9</v>
      </c>
      <c r="Q53" s="2"/>
      <c r="R53" s="6">
        <f t="shared" si="32"/>
        <v>0</v>
      </c>
      <c r="S53" s="2"/>
      <c r="T53" s="7">
        <v>420</v>
      </c>
      <c r="U53" s="2"/>
      <c r="V53" s="6">
        <f t="shared" si="33"/>
        <v>0</v>
      </c>
      <c r="W53" s="2"/>
      <c r="X53" s="7">
        <f t="shared" si="34"/>
        <v>535.9</v>
      </c>
      <c r="Y53" s="2"/>
      <c r="Z53" s="6">
        <f t="shared" si="35"/>
        <v>1.2759523809523809</v>
      </c>
    </row>
    <row r="54" spans="1:26" s="24" customFormat="1" hidden="1" outlineLevel="2" x14ac:dyDescent="0.35">
      <c r="A54" s="29"/>
      <c r="B54" s="11" t="str">
        <f>CONCATENATE("          ", "6373", " - ", "MAINTENANCE CONTRACTS")</f>
        <v xml:space="preserve">          6373 - MAINTENANCE CONTRACTS</v>
      </c>
      <c r="C54" s="11"/>
      <c r="D54" s="7">
        <v>4604.21</v>
      </c>
      <c r="E54" s="2"/>
      <c r="F54" s="6">
        <f t="shared" si="28"/>
        <v>0</v>
      </c>
      <c r="G54" s="2"/>
      <c r="H54" s="7"/>
      <c r="I54" s="2"/>
      <c r="J54" s="6">
        <f t="shared" si="29"/>
        <v>0</v>
      </c>
      <c r="K54" s="2"/>
      <c r="L54" s="7">
        <f t="shared" si="30"/>
        <v>4604.21</v>
      </c>
      <c r="M54" s="2"/>
      <c r="N54" s="6">
        <f t="shared" si="31"/>
        <v>0</v>
      </c>
      <c r="O54" s="11"/>
      <c r="P54" s="7">
        <v>4661.13</v>
      </c>
      <c r="Q54" s="2"/>
      <c r="R54" s="6">
        <f t="shared" si="32"/>
        <v>0</v>
      </c>
      <c r="S54" s="2"/>
      <c r="T54" s="7">
        <v>4450</v>
      </c>
      <c r="U54" s="2"/>
      <c r="V54" s="6">
        <f t="shared" si="33"/>
        <v>0</v>
      </c>
      <c r="W54" s="2"/>
      <c r="X54" s="7">
        <f t="shared" si="34"/>
        <v>211.13000000000011</v>
      </c>
      <c r="Y54" s="2"/>
      <c r="Z54" s="6">
        <f t="shared" si="35"/>
        <v>4.7444943820224746E-2</v>
      </c>
    </row>
    <row r="55" spans="1:26" s="28" customFormat="1" outlineLevel="1" collapsed="1" x14ac:dyDescent="0.35">
      <c r="A55" s="27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SUM(OSRRefD22_8x_0)</f>
        <v>632.79999999999995</v>
      </c>
      <c r="E55" s="1"/>
      <c r="F55" s="5">
        <f t="shared" ref="F55:F60" si="36">IF(D$12=0,0,D55/D$12)</f>
        <v>0</v>
      </c>
      <c r="G55" s="1"/>
      <c r="H55" s="1">
        <f>SUM(OSRRefH22_8x_0)</f>
        <v>500</v>
      </c>
      <c r="I55" s="1"/>
      <c r="J55" s="5">
        <f t="shared" ref="J55:J60" si="37">IF(H$12=0,0,H55/H$12)</f>
        <v>0</v>
      </c>
      <c r="K55" s="1"/>
      <c r="L55" s="1">
        <f t="shared" ref="L55:L60" si="38">+D55-H55</f>
        <v>132.79999999999995</v>
      </c>
      <c r="M55" s="1"/>
      <c r="N55" s="5">
        <f t="shared" ref="N55:N60" si="39">IF(H55=0,0,L55/H55)</f>
        <v>0.26559999999999989</v>
      </c>
      <c r="O55" s="14"/>
      <c r="P55" s="1">
        <f>SUM(OSRRefP22_8x_0)</f>
        <v>3707.68</v>
      </c>
      <c r="Q55" s="1"/>
      <c r="R55" s="5">
        <f t="shared" ref="R55:R60" si="40">IF(P$12=0,0,P55/P$12)</f>
        <v>0</v>
      </c>
      <c r="S55" s="1"/>
      <c r="T55" s="1">
        <f>SUM(OSRRefT22_8x_0)</f>
        <v>3500</v>
      </c>
      <c r="U55" s="1"/>
      <c r="V55" s="5">
        <f t="shared" ref="V55:V60" si="41">IF(T$12=0,0,T55/T$12)</f>
        <v>0</v>
      </c>
      <c r="W55" s="1"/>
      <c r="X55" s="1">
        <f t="shared" ref="X55:X60" si="42">+P55-T55</f>
        <v>207.67999999999984</v>
      </c>
      <c r="Y55" s="1"/>
      <c r="Z55" s="5">
        <f t="shared" ref="Z55:Z60" si="43">IF(T55=0,0,X55/T55)</f>
        <v>5.9337142857142811E-2</v>
      </c>
    </row>
    <row r="56" spans="1:26" s="24" customFormat="1" hidden="1" outlineLevel="2" x14ac:dyDescent="0.35">
      <c r="A56" s="29"/>
      <c r="B56" s="11" t="str">
        <f>CONCATENATE("          ", "6281", " - ", "STORAGE FEE")</f>
        <v xml:space="preserve">          6281 - STORAGE FEE</v>
      </c>
      <c r="C56" s="11"/>
      <c r="D56" s="7">
        <v>632.79999999999995</v>
      </c>
      <c r="E56" s="2"/>
      <c r="F56" s="6">
        <f t="shared" si="36"/>
        <v>0</v>
      </c>
      <c r="G56" s="2"/>
      <c r="H56" s="7">
        <v>500</v>
      </c>
      <c r="I56" s="2"/>
      <c r="J56" s="6">
        <f t="shared" si="37"/>
        <v>0</v>
      </c>
      <c r="K56" s="2"/>
      <c r="L56" s="7">
        <f t="shared" si="38"/>
        <v>132.79999999999995</v>
      </c>
      <c r="M56" s="2"/>
      <c r="N56" s="6">
        <f t="shared" si="39"/>
        <v>0.26559999999999989</v>
      </c>
      <c r="O56" s="11"/>
      <c r="P56" s="7">
        <v>3707.68</v>
      </c>
      <c r="Q56" s="2"/>
      <c r="R56" s="6">
        <f t="shared" si="40"/>
        <v>0</v>
      </c>
      <c r="S56" s="2"/>
      <c r="T56" s="7">
        <v>3500</v>
      </c>
      <c r="U56" s="2"/>
      <c r="V56" s="6">
        <f t="shared" si="41"/>
        <v>0</v>
      </c>
      <c r="W56" s="2"/>
      <c r="X56" s="7">
        <f t="shared" si="42"/>
        <v>207.67999999999984</v>
      </c>
      <c r="Y56" s="2"/>
      <c r="Z56" s="6">
        <f t="shared" si="43"/>
        <v>5.9337142857142811E-2</v>
      </c>
    </row>
    <row r="57" spans="1:26" s="28" customFormat="1" outlineLevel="1" collapsed="1" x14ac:dyDescent="0.35">
      <c r="A57" s="27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SUM(OSRRefD22_9x_0)</f>
        <v>0</v>
      </c>
      <c r="E57" s="1"/>
      <c r="F57" s="5">
        <f t="shared" si="36"/>
        <v>0</v>
      </c>
      <c r="G57" s="1"/>
      <c r="H57" s="1">
        <f>SUM(OSRRefH22_9x_0)</f>
        <v>200</v>
      </c>
      <c r="I57" s="1"/>
      <c r="J57" s="5">
        <f t="shared" si="37"/>
        <v>0</v>
      </c>
      <c r="K57" s="1"/>
      <c r="L57" s="1">
        <f t="shared" si="38"/>
        <v>-200</v>
      </c>
      <c r="M57" s="1"/>
      <c r="N57" s="5">
        <f t="shared" si="39"/>
        <v>-1</v>
      </c>
      <c r="O57" s="14"/>
      <c r="P57" s="1">
        <f>SUM(OSRRefP22_9x_0)</f>
        <v>782.8900000000001</v>
      </c>
      <c r="Q57" s="1"/>
      <c r="R57" s="5">
        <f t="shared" si="40"/>
        <v>0</v>
      </c>
      <c r="S57" s="1"/>
      <c r="T57" s="1">
        <f>SUM(OSRRefT22_9x_0)</f>
        <v>10984</v>
      </c>
      <c r="U57" s="1"/>
      <c r="V57" s="5">
        <f t="shared" si="41"/>
        <v>0</v>
      </c>
      <c r="W57" s="1"/>
      <c r="X57" s="1">
        <f t="shared" si="42"/>
        <v>-10201.11</v>
      </c>
      <c r="Y57" s="1"/>
      <c r="Z57" s="5">
        <f t="shared" si="43"/>
        <v>-0.92872450837581944</v>
      </c>
    </row>
    <row r="58" spans="1:26" s="24" customFormat="1" hidden="1" outlineLevel="2" x14ac:dyDescent="0.35">
      <c r="A58" s="29"/>
      <c r="B58" s="11" t="str">
        <f>CONCATENATE("          ", "6234", " - ", "EXPENDABLE SUPPLIES &amp; EQUIPMEN")</f>
        <v xml:space="preserve">          6234 - EXPENDABLE SUPPLIES &amp; EQUIPMEN</v>
      </c>
      <c r="C58" s="11"/>
      <c r="D58" s="7"/>
      <c r="E58" s="2"/>
      <c r="F58" s="6">
        <f t="shared" si="36"/>
        <v>0</v>
      </c>
      <c r="G58" s="2"/>
      <c r="H58" s="7"/>
      <c r="I58" s="2"/>
      <c r="J58" s="6">
        <f t="shared" si="37"/>
        <v>0</v>
      </c>
      <c r="K58" s="2"/>
      <c r="L58" s="7">
        <f t="shared" si="38"/>
        <v>0</v>
      </c>
      <c r="M58" s="2"/>
      <c r="N58" s="6">
        <f t="shared" si="39"/>
        <v>0</v>
      </c>
      <c r="O58" s="11"/>
      <c r="P58" s="7"/>
      <c r="Q58" s="2"/>
      <c r="R58" s="6">
        <f t="shared" si="40"/>
        <v>0</v>
      </c>
      <c r="S58" s="2"/>
      <c r="T58" s="7">
        <v>9584</v>
      </c>
      <c r="U58" s="2"/>
      <c r="V58" s="6">
        <f t="shared" si="41"/>
        <v>0</v>
      </c>
      <c r="W58" s="2"/>
      <c r="X58" s="7">
        <f t="shared" si="42"/>
        <v>-9584</v>
      </c>
      <c r="Y58" s="2"/>
      <c r="Z58" s="6">
        <f t="shared" si="43"/>
        <v>-1</v>
      </c>
    </row>
    <row r="59" spans="1:26" s="24" customFormat="1" hidden="1" outlineLevel="2" x14ac:dyDescent="0.35">
      <c r="A59" s="29"/>
      <c r="B59" s="11" t="str">
        <f>CONCATENATE("          ", "6235", " - ", "COVID-19 EXPENSES")</f>
        <v xml:space="preserve">          6235 - COVID-19 EXPENSES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>
        <v>426.66</v>
      </c>
      <c r="Q59" s="2"/>
      <c r="R59" s="6">
        <f t="shared" si="40"/>
        <v>0</v>
      </c>
      <c r="S59" s="2"/>
      <c r="T59" s="7"/>
      <c r="U59" s="2"/>
      <c r="V59" s="6">
        <f t="shared" si="41"/>
        <v>0</v>
      </c>
      <c r="W59" s="2"/>
      <c r="X59" s="7">
        <f t="shared" si="42"/>
        <v>426.66</v>
      </c>
      <c r="Y59" s="2"/>
      <c r="Z59" s="6">
        <f t="shared" si="43"/>
        <v>0</v>
      </c>
    </row>
    <row r="60" spans="1:26" s="24" customFormat="1" hidden="1" outlineLevel="2" x14ac:dyDescent="0.35">
      <c r="A60" s="29"/>
      <c r="B60" s="11" t="str">
        <f>CONCATENATE("          ", "6241", " - ", "OFFICE EXPENSE")</f>
        <v xml:space="preserve">          6241 - OFFICE EXPENSE</v>
      </c>
      <c r="C60" s="11"/>
      <c r="D60" s="7"/>
      <c r="E60" s="2"/>
      <c r="F60" s="6">
        <f t="shared" si="36"/>
        <v>0</v>
      </c>
      <c r="G60" s="2"/>
      <c r="H60" s="7">
        <v>200</v>
      </c>
      <c r="I60" s="2"/>
      <c r="J60" s="6">
        <f t="shared" si="37"/>
        <v>0</v>
      </c>
      <c r="K60" s="2"/>
      <c r="L60" s="7">
        <f t="shared" si="38"/>
        <v>-200</v>
      </c>
      <c r="M60" s="2"/>
      <c r="N60" s="6">
        <f t="shared" si="39"/>
        <v>-1</v>
      </c>
      <c r="O60" s="11"/>
      <c r="P60" s="7">
        <v>356.23</v>
      </c>
      <c r="Q60" s="2"/>
      <c r="R60" s="6">
        <f t="shared" si="40"/>
        <v>0</v>
      </c>
      <c r="S60" s="2"/>
      <c r="T60" s="7">
        <v>1400</v>
      </c>
      <c r="U60" s="2"/>
      <c r="V60" s="6">
        <f t="shared" si="41"/>
        <v>0</v>
      </c>
      <c r="W60" s="2"/>
      <c r="X60" s="7">
        <f t="shared" si="42"/>
        <v>-1043.77</v>
      </c>
      <c r="Y60" s="2"/>
      <c r="Z60" s="6">
        <f t="shared" si="43"/>
        <v>-0.74554999999999993</v>
      </c>
    </row>
    <row r="61" spans="1:26" s="28" customFormat="1" outlineLevel="1" collapsed="1" x14ac:dyDescent="0.35">
      <c r="A61" s="27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SUM(OSRRefD22_10x_0)</f>
        <v>358.11</v>
      </c>
      <c r="E61" s="1"/>
      <c r="F61" s="5">
        <f t="shared" ref="F61:F66" si="44">IF(D$12=0,0,D61/D$12)</f>
        <v>0</v>
      </c>
      <c r="G61" s="1"/>
      <c r="H61" s="1">
        <f>SUM(OSRRefH22_10x_0)</f>
        <v>375</v>
      </c>
      <c r="I61" s="1"/>
      <c r="J61" s="5">
        <f t="shared" ref="J61:J66" si="45">IF(H$12=0,0,H61/H$12)</f>
        <v>0</v>
      </c>
      <c r="K61" s="1"/>
      <c r="L61" s="1">
        <f t="shared" ref="L61:L66" si="46">+D61-H61</f>
        <v>-16.889999999999986</v>
      </c>
      <c r="M61" s="1"/>
      <c r="N61" s="5">
        <f t="shared" ref="N61:N66" si="47">IF(H61=0,0,L61/H61)</f>
        <v>-4.5039999999999962E-2</v>
      </c>
      <c r="O61" s="14"/>
      <c r="P61" s="1">
        <f>SUM(OSRRefP22_10x_0)</f>
        <v>2878.16</v>
      </c>
      <c r="Q61" s="1"/>
      <c r="R61" s="5">
        <f t="shared" ref="R61:R66" si="48">IF(P$12=0,0,P61/P$12)</f>
        <v>0</v>
      </c>
      <c r="S61" s="1"/>
      <c r="T61" s="1">
        <f>SUM(OSRRefT22_10x_0)</f>
        <v>2625</v>
      </c>
      <c r="U61" s="1"/>
      <c r="V61" s="5">
        <f t="shared" ref="V61:V66" si="49">IF(T$12=0,0,T61/T$12)</f>
        <v>0</v>
      </c>
      <c r="W61" s="1"/>
      <c r="X61" s="1">
        <f t="shared" ref="X61:X66" si="50">+P61-T61</f>
        <v>253.15999999999985</v>
      </c>
      <c r="Y61" s="1"/>
      <c r="Z61" s="5">
        <f t="shared" ref="Z61:Z66" si="51">IF(T61=0,0,X61/T61)</f>
        <v>9.6441904761904701E-2</v>
      </c>
    </row>
    <row r="62" spans="1:26" s="24" customFormat="1" hidden="1" outlineLevel="2" x14ac:dyDescent="0.35">
      <c r="A62" s="29"/>
      <c r="B62" s="11" t="str">
        <f>CONCATENATE("          ", "6309", " - ", "TELEPHONE")</f>
        <v xml:space="preserve">          6309 - TELEPHONE</v>
      </c>
      <c r="C62" s="11"/>
      <c r="D62" s="7">
        <v>358.11</v>
      </c>
      <c r="E62" s="2"/>
      <c r="F62" s="6">
        <f t="shared" si="44"/>
        <v>0</v>
      </c>
      <c r="G62" s="2"/>
      <c r="H62" s="7">
        <v>375</v>
      </c>
      <c r="I62" s="2"/>
      <c r="J62" s="6">
        <f t="shared" si="45"/>
        <v>0</v>
      </c>
      <c r="K62" s="2"/>
      <c r="L62" s="7">
        <f t="shared" si="46"/>
        <v>-16.889999999999986</v>
      </c>
      <c r="M62" s="2"/>
      <c r="N62" s="6">
        <f t="shared" si="47"/>
        <v>-4.5039999999999962E-2</v>
      </c>
      <c r="O62" s="11"/>
      <c r="P62" s="7">
        <v>2878.16</v>
      </c>
      <c r="Q62" s="2"/>
      <c r="R62" s="6">
        <f t="shared" si="48"/>
        <v>0</v>
      </c>
      <c r="S62" s="2"/>
      <c r="T62" s="7">
        <v>2625</v>
      </c>
      <c r="U62" s="2"/>
      <c r="V62" s="6">
        <f t="shared" si="49"/>
        <v>0</v>
      </c>
      <c r="W62" s="2"/>
      <c r="X62" s="7">
        <f t="shared" si="50"/>
        <v>253.15999999999985</v>
      </c>
      <c r="Y62" s="2"/>
      <c r="Z62" s="6">
        <f t="shared" si="51"/>
        <v>9.6441904761904701E-2</v>
      </c>
    </row>
    <row r="63" spans="1:26" s="28" customFormat="1" outlineLevel="1" collapsed="1" x14ac:dyDescent="0.35">
      <c r="A63" s="27"/>
      <c r="B63" s="14" t="str">
        <f>CONCATENATE("     ","Training                                          ")</f>
        <v xml:space="preserve">     Training                                          </v>
      </c>
      <c r="C63" s="14"/>
      <c r="D63" s="1">
        <f>SUM(OSRRefD22_11x_0)</f>
        <v>0</v>
      </c>
      <c r="E63" s="1"/>
      <c r="F63" s="5">
        <f t="shared" si="44"/>
        <v>0</v>
      </c>
      <c r="G63" s="1"/>
      <c r="H63" s="1">
        <f>SUM(OSRRefH22_11x_0)</f>
        <v>250</v>
      </c>
      <c r="I63" s="1"/>
      <c r="J63" s="5">
        <f t="shared" si="45"/>
        <v>0</v>
      </c>
      <c r="K63" s="1"/>
      <c r="L63" s="1">
        <f t="shared" si="46"/>
        <v>-250</v>
      </c>
      <c r="M63" s="1"/>
      <c r="N63" s="5">
        <f t="shared" si="47"/>
        <v>-1</v>
      </c>
      <c r="O63" s="14"/>
      <c r="P63" s="1">
        <f>SUM(OSRRefP22_11x_0)</f>
        <v>548</v>
      </c>
      <c r="Q63" s="1"/>
      <c r="R63" s="5">
        <f t="shared" si="48"/>
        <v>0</v>
      </c>
      <c r="S63" s="1"/>
      <c r="T63" s="1">
        <f>SUM(OSRRefT22_11x_0)</f>
        <v>1500</v>
      </c>
      <c r="U63" s="1"/>
      <c r="V63" s="5">
        <f t="shared" si="49"/>
        <v>0</v>
      </c>
      <c r="W63" s="1"/>
      <c r="X63" s="1">
        <f t="shared" si="50"/>
        <v>-952</v>
      </c>
      <c r="Y63" s="1"/>
      <c r="Z63" s="5">
        <f t="shared" si="51"/>
        <v>-0.63466666666666671</v>
      </c>
    </row>
    <row r="64" spans="1:26" s="24" customFormat="1" hidden="1" outlineLevel="2" x14ac:dyDescent="0.35">
      <c r="A64" s="29"/>
      <c r="B64" s="11" t="str">
        <f>CONCATENATE("          ", "6376", " - ", "TRAINING")</f>
        <v xml:space="preserve">          6376 - TRAINING</v>
      </c>
      <c r="C64" s="11"/>
      <c r="D64" s="7"/>
      <c r="E64" s="2"/>
      <c r="F64" s="6">
        <f t="shared" si="44"/>
        <v>0</v>
      </c>
      <c r="G64" s="2"/>
      <c r="H64" s="7">
        <v>250</v>
      </c>
      <c r="I64" s="2"/>
      <c r="J64" s="6">
        <f t="shared" si="45"/>
        <v>0</v>
      </c>
      <c r="K64" s="2"/>
      <c r="L64" s="7">
        <f t="shared" si="46"/>
        <v>-250</v>
      </c>
      <c r="M64" s="2"/>
      <c r="N64" s="6">
        <f t="shared" si="47"/>
        <v>-1</v>
      </c>
      <c r="O64" s="11"/>
      <c r="P64" s="7">
        <v>548</v>
      </c>
      <c r="Q64" s="2"/>
      <c r="R64" s="6">
        <f t="shared" si="48"/>
        <v>0</v>
      </c>
      <c r="S64" s="2"/>
      <c r="T64" s="7">
        <v>1500</v>
      </c>
      <c r="U64" s="2"/>
      <c r="V64" s="6">
        <f t="shared" si="49"/>
        <v>0</v>
      </c>
      <c r="W64" s="2"/>
      <c r="X64" s="7">
        <f t="shared" si="50"/>
        <v>-952</v>
      </c>
      <c r="Y64" s="2"/>
      <c r="Z64" s="6">
        <f t="shared" si="51"/>
        <v>-0.63466666666666671</v>
      </c>
    </row>
    <row r="65" spans="1:26" s="28" customFormat="1" outlineLevel="1" collapsed="1" x14ac:dyDescent="0.35">
      <c r="A65" s="27"/>
      <c r="B65" s="14" t="str">
        <f>CONCATENATE("     ","Travel                                            ")</f>
        <v xml:space="preserve">     Travel                                            </v>
      </c>
      <c r="C65" s="14"/>
      <c r="D65" s="1">
        <f>SUM(OSRRefD22_12x_0)</f>
        <v>21.2</v>
      </c>
      <c r="E65" s="1"/>
      <c r="F65" s="5">
        <f t="shared" si="44"/>
        <v>0</v>
      </c>
      <c r="G65" s="1"/>
      <c r="H65" s="1">
        <f>SUM(OSRRefH22_12x_0)</f>
        <v>0</v>
      </c>
      <c r="I65" s="1"/>
      <c r="J65" s="5">
        <f t="shared" si="45"/>
        <v>0</v>
      </c>
      <c r="K65" s="1"/>
      <c r="L65" s="1">
        <f t="shared" si="46"/>
        <v>21.2</v>
      </c>
      <c r="M65" s="1"/>
      <c r="N65" s="5">
        <f t="shared" si="47"/>
        <v>0</v>
      </c>
      <c r="O65" s="14"/>
      <c r="P65" s="1">
        <f>SUM(OSRRefP22_12x_0)</f>
        <v>67.819999999999993</v>
      </c>
      <c r="Q65" s="1"/>
      <c r="R65" s="5">
        <f t="shared" si="48"/>
        <v>0</v>
      </c>
      <c r="S65" s="1"/>
      <c r="T65" s="1">
        <f>SUM(OSRRefT22_12x_0)</f>
        <v>0</v>
      </c>
      <c r="U65" s="1"/>
      <c r="V65" s="5">
        <f t="shared" si="49"/>
        <v>0</v>
      </c>
      <c r="W65" s="1"/>
      <c r="X65" s="1">
        <f t="shared" si="50"/>
        <v>67.819999999999993</v>
      </c>
      <c r="Y65" s="1"/>
      <c r="Z65" s="5">
        <f t="shared" si="51"/>
        <v>0</v>
      </c>
    </row>
    <row r="66" spans="1:26" s="24" customFormat="1" hidden="1" outlineLevel="2" x14ac:dyDescent="0.35">
      <c r="A66" s="29"/>
      <c r="B66" s="11" t="str">
        <f>CONCATENATE("          ", "6294", " - ", "TRAVEL OPERATIONAL")</f>
        <v xml:space="preserve">          6294 - TRAVEL OPERATIONAL</v>
      </c>
      <c r="C66" s="11"/>
      <c r="D66" s="7">
        <v>21.2</v>
      </c>
      <c r="E66" s="2"/>
      <c r="F66" s="6">
        <f t="shared" si="44"/>
        <v>0</v>
      </c>
      <c r="G66" s="2"/>
      <c r="H66" s="7"/>
      <c r="I66" s="2"/>
      <c r="J66" s="6">
        <f t="shared" si="45"/>
        <v>0</v>
      </c>
      <c r="K66" s="2"/>
      <c r="L66" s="7">
        <f t="shared" si="46"/>
        <v>21.2</v>
      </c>
      <c r="M66" s="2"/>
      <c r="N66" s="6">
        <f t="shared" si="47"/>
        <v>0</v>
      </c>
      <c r="O66" s="11"/>
      <c r="P66" s="7">
        <v>67.819999999999993</v>
      </c>
      <c r="Q66" s="2"/>
      <c r="R66" s="6">
        <f t="shared" si="48"/>
        <v>0</v>
      </c>
      <c r="S66" s="2"/>
      <c r="T66" s="7"/>
      <c r="U66" s="2"/>
      <c r="V66" s="6">
        <f t="shared" si="49"/>
        <v>0</v>
      </c>
      <c r="W66" s="2"/>
      <c r="X66" s="7">
        <f t="shared" si="50"/>
        <v>67.819999999999993</v>
      </c>
      <c r="Y66" s="2"/>
      <c r="Z66" s="6">
        <f t="shared" si="51"/>
        <v>0</v>
      </c>
    </row>
    <row r="67" spans="1:26" s="55" customFormat="1" x14ac:dyDescent="0.3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35">
      <c r="A68" s="10"/>
      <c r="B68" s="25" t="s">
        <v>0</v>
      </c>
      <c r="C68" s="10"/>
      <c r="D68" s="4">
        <f>SUM(OSRRefD25x_0)</f>
        <v>0</v>
      </c>
      <c r="E68" s="4"/>
      <c r="F68" s="12">
        <f t="shared" ref="F68:F71" si="52">IF(D$12=0,0,D68/D$12)</f>
        <v>0</v>
      </c>
      <c r="G68" s="4"/>
      <c r="H68" s="4">
        <f>SUM(OSRRefH25x_0)</f>
        <v>0</v>
      </c>
      <c r="I68" s="4"/>
      <c r="J68" s="12">
        <f t="shared" ref="J68:J71" si="53">IF(H$12=0,0,H68/H$12)</f>
        <v>0</v>
      </c>
      <c r="K68" s="4"/>
      <c r="L68" s="4">
        <f t="shared" ref="L68:L71" si="54">+D68-H68</f>
        <v>0</v>
      </c>
      <c r="M68" s="4"/>
      <c r="N68" s="12">
        <f t="shared" ref="N68:N71" si="55">IF(H68=0,0,L68/H68)</f>
        <v>0</v>
      </c>
      <c r="O68" s="10"/>
      <c r="P68" s="4">
        <f>SUM(OSRRefP25x_0)</f>
        <v>0</v>
      </c>
      <c r="Q68" s="4"/>
      <c r="R68" s="12">
        <f t="shared" ref="R68:R71" si="56">IF(P$12=0,0,P68/P$12)</f>
        <v>0</v>
      </c>
      <c r="S68" s="4"/>
      <c r="T68" s="4">
        <f>SUM(OSRRefT25x_0)</f>
        <v>0</v>
      </c>
      <c r="U68" s="4"/>
      <c r="V68" s="12">
        <f t="shared" ref="V68:V71" si="57">IF(T$12=0,0,T68/T$12)</f>
        <v>0</v>
      </c>
      <c r="W68" s="4"/>
      <c r="X68" s="4">
        <f t="shared" ref="X68:X71" si="58">+P68-T68</f>
        <v>0</v>
      </c>
      <c r="Y68" s="4"/>
      <c r="Z68" s="12">
        <f t="shared" ref="Z68:Z71" si="59">IF(T68=0,0,X68/T68)</f>
        <v>0</v>
      </c>
    </row>
    <row r="69" spans="1:26" s="24" customFormat="1" hidden="1" outlineLevel="1" x14ac:dyDescent="0.35">
      <c r="A69" s="51"/>
      <c r="B69" s="11" t="str">
        <f>CONCATENATE("          ", "9150", " - ", "MISC. INCOME")</f>
        <v xml:space="preserve">          9150 - MISC. INCOME</v>
      </c>
      <c r="C69" s="11"/>
      <c r="D69" s="2">
        <f t="shared" ref="D69:D71" si="60">0</f>
        <v>0</v>
      </c>
      <c r="E69" s="2"/>
      <c r="F69" s="22">
        <f t="shared" si="52"/>
        <v>0</v>
      </c>
      <c r="G69" s="2"/>
      <c r="H69" s="2"/>
      <c r="I69" s="2"/>
      <c r="J69" s="22">
        <f t="shared" si="53"/>
        <v>0</v>
      </c>
      <c r="K69" s="2"/>
      <c r="L69" s="2">
        <f t="shared" si="54"/>
        <v>0</v>
      </c>
      <c r="M69" s="2"/>
      <c r="N69" s="22">
        <f t="shared" si="55"/>
        <v>0</v>
      </c>
      <c r="O69" s="11"/>
      <c r="P69" s="2">
        <f t="shared" ref="P69:P71" si="61">0</f>
        <v>0</v>
      </c>
      <c r="Q69" s="2"/>
      <c r="R69" s="22">
        <f t="shared" si="56"/>
        <v>0</v>
      </c>
      <c r="S69" s="2"/>
      <c r="T69" s="2">
        <v>0</v>
      </c>
      <c r="U69" s="2"/>
      <c r="V69" s="22">
        <f t="shared" si="57"/>
        <v>0</v>
      </c>
      <c r="W69" s="2"/>
      <c r="X69" s="2">
        <f t="shared" si="58"/>
        <v>0</v>
      </c>
      <c r="Y69" s="2"/>
      <c r="Z69" s="22">
        <f t="shared" si="59"/>
        <v>0</v>
      </c>
    </row>
    <row r="70" spans="1:26" s="24" customFormat="1" hidden="1" outlineLevel="1" x14ac:dyDescent="0.35">
      <c r="A70" s="51"/>
      <c r="B70" s="11" t="str">
        <f>CONCATENATE("          ", "9151", " - ", "MISC. INCOME")</f>
        <v xml:space="preserve">          9151 - MISC. INCOME</v>
      </c>
      <c r="C70" s="11"/>
      <c r="D70" s="2">
        <f t="shared" si="60"/>
        <v>0</v>
      </c>
      <c r="E70" s="2"/>
      <c r="F70" s="22">
        <f t="shared" si="52"/>
        <v>0</v>
      </c>
      <c r="G70" s="2"/>
      <c r="H70" s="2"/>
      <c r="I70" s="2"/>
      <c r="J70" s="22">
        <f t="shared" si="53"/>
        <v>0</v>
      </c>
      <c r="K70" s="2"/>
      <c r="L70" s="2">
        <f t="shared" si="54"/>
        <v>0</v>
      </c>
      <c r="M70" s="2"/>
      <c r="N70" s="22">
        <f t="shared" si="55"/>
        <v>0</v>
      </c>
      <c r="O70" s="11"/>
      <c r="P70" s="2">
        <f t="shared" si="61"/>
        <v>0</v>
      </c>
      <c r="Q70" s="2"/>
      <c r="R70" s="22">
        <f t="shared" si="56"/>
        <v>0</v>
      </c>
      <c r="S70" s="2"/>
      <c r="T70" s="2">
        <v>0</v>
      </c>
      <c r="U70" s="2"/>
      <c r="V70" s="22">
        <f t="shared" si="57"/>
        <v>0</v>
      </c>
      <c r="W70" s="2"/>
      <c r="X70" s="2">
        <f t="shared" si="58"/>
        <v>0</v>
      </c>
      <c r="Y70" s="2"/>
      <c r="Z70" s="22">
        <f t="shared" si="59"/>
        <v>0</v>
      </c>
    </row>
    <row r="71" spans="1:26" s="24" customFormat="1" hidden="1" outlineLevel="1" x14ac:dyDescent="0.35">
      <c r="A71" s="51"/>
      <c r="B71" s="11" t="str">
        <f>CONCATENATE("          ", "9160", " - ", "MISC. INCOME")</f>
        <v xml:space="preserve">          9160 - MISC. INCOME</v>
      </c>
      <c r="C71" s="11"/>
      <c r="D71" s="2">
        <f t="shared" si="60"/>
        <v>0</v>
      </c>
      <c r="E71" s="2"/>
      <c r="F71" s="22">
        <f t="shared" si="52"/>
        <v>0</v>
      </c>
      <c r="G71" s="2"/>
      <c r="H71" s="2"/>
      <c r="I71" s="2"/>
      <c r="J71" s="22">
        <f t="shared" si="53"/>
        <v>0</v>
      </c>
      <c r="K71" s="2"/>
      <c r="L71" s="2">
        <f t="shared" si="54"/>
        <v>0</v>
      </c>
      <c r="M71" s="2"/>
      <c r="N71" s="22">
        <f t="shared" si="55"/>
        <v>0</v>
      </c>
      <c r="O71" s="11"/>
      <c r="P71" s="2">
        <f t="shared" si="61"/>
        <v>0</v>
      </c>
      <c r="Q71" s="2"/>
      <c r="R71" s="22">
        <f t="shared" si="56"/>
        <v>0</v>
      </c>
      <c r="S71" s="2"/>
      <c r="T71" s="2">
        <v>0</v>
      </c>
      <c r="U71" s="2"/>
      <c r="V71" s="22">
        <f t="shared" si="57"/>
        <v>0</v>
      </c>
      <c r="W71" s="2"/>
      <c r="X71" s="2">
        <f t="shared" si="58"/>
        <v>0</v>
      </c>
      <c r="Y71" s="2"/>
      <c r="Z71" s="22">
        <f t="shared" si="59"/>
        <v>0</v>
      </c>
    </row>
    <row r="72" spans="1:26" x14ac:dyDescent="0.3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35">
      <c r="A73" s="10"/>
      <c r="B73" s="26" t="s">
        <v>3</v>
      </c>
      <c r="C73" s="26"/>
      <c r="D73" s="19">
        <f>+D17-D19+D68</f>
        <v>-46973.339999999989</v>
      </c>
      <c r="E73" s="13"/>
      <c r="F73" s="21">
        <f>IF(D$12=0,0,D73/D$12)</f>
        <v>0</v>
      </c>
      <c r="G73" s="13"/>
      <c r="H73" s="19">
        <f>+H17-H19+H68</f>
        <v>-42076.853119230786</v>
      </c>
      <c r="I73" s="13"/>
      <c r="J73" s="21">
        <f>IF(H$12=0,0,H73/H$12)</f>
        <v>0</v>
      </c>
      <c r="K73" s="16"/>
      <c r="L73" s="19">
        <f>+D73-H73</f>
        <v>-4896.4868807692037</v>
      </c>
      <c r="M73" s="16"/>
      <c r="N73" s="21">
        <f>IF(H73=0,0,L73/H73)</f>
        <v>0.11637008278385999</v>
      </c>
      <c r="O73" s="25"/>
      <c r="P73" s="19">
        <f>+P17-P19+P68</f>
        <v>-271970.69</v>
      </c>
      <c r="Q73" s="13"/>
      <c r="R73" s="21">
        <f>IF(P$12=0,0,P73/P$12)</f>
        <v>0</v>
      </c>
      <c r="S73" s="13"/>
      <c r="T73" s="19">
        <f>+T17-T19+T68</f>
        <v>-279444.82861923106</v>
      </c>
      <c r="U73" s="13"/>
      <c r="V73" s="21">
        <f>IF(T$12=0,0,T73/T$12)</f>
        <v>0</v>
      </c>
      <c r="W73" s="16"/>
      <c r="X73" s="19">
        <f>+P73-T73</f>
        <v>7474.1386192310601</v>
      </c>
      <c r="Y73" s="16"/>
      <c r="Z73" s="21">
        <f>IF(T73=0,0,X73/T73)</f>
        <v>-2.6746383735786545E-2</v>
      </c>
    </row>
    <row r="74" spans="1:26" x14ac:dyDescent="0.3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5">
      <c r="A75" s="52"/>
      <c r="B75" s="10" t="s">
        <v>14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3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" thickBot="1" x14ac:dyDescent="0.4">
      <c r="A77" s="10"/>
      <c r="B77" s="26" t="s">
        <v>4</v>
      </c>
      <c r="C77" s="26"/>
      <c r="D77" s="33">
        <f>+D73-D75</f>
        <v>-46973.339999999989</v>
      </c>
      <c r="E77" s="13"/>
      <c r="F77" s="31">
        <f>IF(D$12=0,0,D77/D$12)</f>
        <v>0</v>
      </c>
      <c r="G77" s="13"/>
      <c r="H77" s="33">
        <f>+H73-H75</f>
        <v>-42076.853119230786</v>
      </c>
      <c r="I77" s="13"/>
      <c r="J77" s="31">
        <f>IF(H$12=0,0,H77/H$12)</f>
        <v>0</v>
      </c>
      <c r="K77" s="16"/>
      <c r="L77" s="33">
        <f>D77-H77</f>
        <v>-4896.4868807692037</v>
      </c>
      <c r="M77" s="16"/>
      <c r="N77" s="31">
        <f>IF(H77=0,0,L77/H77)</f>
        <v>0.11637008278385999</v>
      </c>
      <c r="O77" s="25"/>
      <c r="P77" s="33">
        <f>+P73-P75</f>
        <v>-271970.69</v>
      </c>
      <c r="Q77" s="13"/>
      <c r="R77" s="31">
        <f>IF(P$12=0,0,P77/P$12)</f>
        <v>0</v>
      </c>
      <c r="S77" s="13"/>
      <c r="T77" s="33">
        <f>+T73-T75</f>
        <v>-279444.82861923106</v>
      </c>
      <c r="U77" s="13"/>
      <c r="V77" s="31">
        <f>IF(T$12=0,0,T77/T$12)</f>
        <v>0</v>
      </c>
      <c r="W77" s="16"/>
      <c r="X77" s="33">
        <f>P77-T77</f>
        <v>7474.1386192310601</v>
      </c>
      <c r="Y77" s="16"/>
      <c r="Z77" s="31">
        <f>IF(T77=0,0,X77/T77)</f>
        <v>-2.6746383735786545E-2</v>
      </c>
    </row>
    <row r="78" spans="1:26" ht="15" thickTop="1" x14ac:dyDescent="0.3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3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" thickBot="1" x14ac:dyDescent="0.4">
      <c r="A80" s="10"/>
      <c r="B80" s="26" t="s">
        <v>5</v>
      </c>
      <c r="C80" s="26"/>
      <c r="D80" s="34">
        <f>SUM(D77:D79)</f>
        <v>-46973.339999999989</v>
      </c>
      <c r="E80" s="13"/>
      <c r="F80" s="32">
        <f>IF(D$12=0,0,D80/D$12)</f>
        <v>0</v>
      </c>
      <c r="G80" s="13"/>
      <c r="H80" s="34">
        <f>SUM(H77:H79)</f>
        <v>-42076.853119230786</v>
      </c>
      <c r="I80" s="13"/>
      <c r="J80" s="32">
        <f>IF(H$12=0,0,H80/H$12)</f>
        <v>0</v>
      </c>
      <c r="K80" s="16"/>
      <c r="L80" s="34">
        <f>+D80-H80</f>
        <v>-4896.4868807692037</v>
      </c>
      <c r="M80" s="16"/>
      <c r="N80" s="32">
        <f>IF(H80=0,0,L80/H80)</f>
        <v>0.11637008278385999</v>
      </c>
      <c r="O80" s="25"/>
      <c r="P80" s="34">
        <f>SUM(P77:P79)</f>
        <v>-271970.69</v>
      </c>
      <c r="Q80" s="13"/>
      <c r="R80" s="32">
        <f>IF(P$12=0,0,P80/P$12)</f>
        <v>0</v>
      </c>
      <c r="S80" s="13"/>
      <c r="T80" s="34">
        <f>SUM(T77:T79)</f>
        <v>-279444.82861923106</v>
      </c>
      <c r="U80" s="13"/>
      <c r="V80" s="32">
        <f>IF(T$12=0,0,T80/T$12)</f>
        <v>0</v>
      </c>
      <c r="W80" s="16"/>
      <c r="X80" s="34">
        <f>+P80-T80</f>
        <v>7474.1386192310601</v>
      </c>
      <c r="Y80" s="16"/>
      <c r="Z80" s="32">
        <f>IF(T80=0,0,X80/T80)</f>
        <v>-2.6746383735786545E-2</v>
      </c>
    </row>
    <row r="81" spans="1:24" ht="15" thickTop="1" x14ac:dyDescent="0.3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35">
      <c r="A82" s="9"/>
      <c r="B82" s="60">
        <v>44238.490283136576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35">
      <c r="A83" s="9"/>
      <c r="B83" s="59" t="s">
        <v>314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35">
      <c r="A84" s="9"/>
      <c r="B84" s="58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3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77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","203", " - ", "Human Resources")</f>
        <v>Department 203 - Human Resources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6" t="s">
        <v>6</v>
      </c>
      <c r="C16" s="26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6"/>
      <c r="L16" s="19">
        <f>+D16-H16</f>
        <v>0</v>
      </c>
      <c r="M16" s="16"/>
      <c r="N16" s="21">
        <f>IF(H16=0,0,L16/H16)</f>
        <v>0</v>
      </c>
      <c r="O16" s="25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6"/>
      <c r="X16" s="19">
        <f>+P16-T16</f>
        <v>0</v>
      </c>
      <c r="Y16" s="16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5" t="s">
        <v>9</v>
      </c>
      <c r="C18" s="10"/>
      <c r="D18" s="20">
        <f>SUM(OSRRefD22x_0)</f>
        <v>51218.010000000009</v>
      </c>
      <c r="E18" s="20"/>
      <c r="F18" s="30">
        <f t="shared" ref="F18:F29" si="0">IF(D$12=0,0,D18/D$12)</f>
        <v>0</v>
      </c>
      <c r="G18" s="20"/>
      <c r="H18" s="20">
        <f>SUM(OSRRefH22x_0)</f>
        <v>58415.15723076927</v>
      </c>
      <c r="I18" s="20"/>
      <c r="J18" s="30">
        <f t="shared" ref="J18:J29" si="1">IF(H$12=0,0,H18/H$12)</f>
        <v>0</v>
      </c>
      <c r="K18" s="4"/>
      <c r="L18" s="20">
        <f t="shared" ref="L18:L29" si="2">+D18-H18</f>
        <v>-7197.1472307692602</v>
      </c>
      <c r="M18" s="4"/>
      <c r="N18" s="30">
        <f t="shared" ref="N18:N29" si="3">IF(H18=0,0,L18/H18)</f>
        <v>-0.12320684514015612</v>
      </c>
      <c r="O18" s="10"/>
      <c r="P18" s="20">
        <f>SUM(OSRRefP22x_0)</f>
        <v>322847.12000000005</v>
      </c>
      <c r="Q18" s="20"/>
      <c r="R18" s="30">
        <f t="shared" ref="R18:R29" si="4">IF(P$12=0,0,P18/P$12)</f>
        <v>0</v>
      </c>
      <c r="S18" s="20"/>
      <c r="T18" s="20">
        <f>SUM(OSRRefT22x_0)</f>
        <v>376265.57483076939</v>
      </c>
      <c r="U18" s="20"/>
      <c r="V18" s="30">
        <f t="shared" ref="V18:V29" si="5">IF(T$12=0,0,T18/T$12)</f>
        <v>0</v>
      </c>
      <c r="W18" s="4"/>
      <c r="X18" s="20">
        <f t="shared" ref="X18:X29" si="6">+P18-T18</f>
        <v>-53418.454830769333</v>
      </c>
      <c r="Y18" s="4"/>
      <c r="Z18" s="30">
        <f t="shared" ref="Z18:Z29" si="7">IF(T18=0,0,X18/T18)</f>
        <v>-0.14197008284585966</v>
      </c>
    </row>
    <row r="19" spans="1:26" s="28" customFormat="1" outlineLevel="1" collapsed="1" x14ac:dyDescent="0.3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11558.580000000002</v>
      </c>
      <c r="E19" s="1"/>
      <c r="F19" s="5">
        <f t="shared" si="0"/>
        <v>0</v>
      </c>
      <c r="G19" s="1"/>
      <c r="H19" s="1">
        <f>SUM(OSRRefH22_0x_0)</f>
        <v>12518.618769230772</v>
      </c>
      <c r="I19" s="1"/>
      <c r="J19" s="5">
        <f t="shared" si="1"/>
        <v>0</v>
      </c>
      <c r="K19" s="1"/>
      <c r="L19" s="1">
        <f t="shared" si="2"/>
        <v>-960.03876923077041</v>
      </c>
      <c r="M19" s="1"/>
      <c r="N19" s="5">
        <f t="shared" si="3"/>
        <v>-7.668887334363339E-2</v>
      </c>
      <c r="O19" s="14"/>
      <c r="P19" s="1">
        <f>SUM(OSRRefP22_0x_0)</f>
        <v>87533.17</v>
      </c>
      <c r="Q19" s="1"/>
      <c r="R19" s="5">
        <f t="shared" si="4"/>
        <v>0</v>
      </c>
      <c r="S19" s="1"/>
      <c r="T19" s="1">
        <f>SUM(OSRRefT22_0x_0)</f>
        <v>79619.436369230811</v>
      </c>
      <c r="U19" s="1"/>
      <c r="V19" s="5">
        <f t="shared" si="5"/>
        <v>0</v>
      </c>
      <c r="W19" s="1"/>
      <c r="X19" s="1">
        <f t="shared" si="6"/>
        <v>7913.7336307691876</v>
      </c>
      <c r="Y19" s="1"/>
      <c r="Z19" s="5">
        <f t="shared" si="7"/>
        <v>9.9394494505960551E-2</v>
      </c>
    </row>
    <row r="20" spans="1:26" s="24" customFormat="1" hidden="1" outlineLevel="2" x14ac:dyDescent="0.35">
      <c r="A20" s="29"/>
      <c r="B20" s="11" t="str">
        <f>CONCATENATE("          ", "6111", " - ", "F.I.C.A.")</f>
        <v xml:space="preserve">          6111 - F.I.C.A.</v>
      </c>
      <c r="C20" s="11"/>
      <c r="D20" s="7">
        <v>1887.9</v>
      </c>
      <c r="E20" s="2"/>
      <c r="F20" s="6">
        <f t="shared" si="0"/>
        <v>0</v>
      </c>
      <c r="G20" s="2"/>
      <c r="H20" s="7">
        <v>1898.23834615385</v>
      </c>
      <c r="I20" s="2"/>
      <c r="J20" s="6">
        <f t="shared" si="1"/>
        <v>0</v>
      </c>
      <c r="K20" s="2"/>
      <c r="L20" s="7">
        <f t="shared" si="2"/>
        <v>-10.338346153849898</v>
      </c>
      <c r="M20" s="2"/>
      <c r="N20" s="6">
        <f t="shared" si="3"/>
        <v>-5.4462845378701391E-3</v>
      </c>
      <c r="O20" s="11"/>
      <c r="P20" s="7">
        <v>15222.630000000001</v>
      </c>
      <c r="Q20" s="2"/>
      <c r="R20" s="6">
        <f t="shared" si="4"/>
        <v>0</v>
      </c>
      <c r="S20" s="2"/>
      <c r="T20" s="7">
        <v>11769.077746153871</v>
      </c>
      <c r="U20" s="2"/>
      <c r="V20" s="6">
        <f t="shared" si="5"/>
        <v>0</v>
      </c>
      <c r="W20" s="2"/>
      <c r="X20" s="7">
        <f t="shared" si="6"/>
        <v>3453.55225384613</v>
      </c>
      <c r="Y20" s="2"/>
      <c r="Z20" s="6">
        <f t="shared" si="7"/>
        <v>0.2934428957251769</v>
      </c>
    </row>
    <row r="21" spans="1:26" s="24" customFormat="1" hidden="1" outlineLevel="2" x14ac:dyDescent="0.3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3.44</v>
      </c>
      <c r="E21" s="2"/>
      <c r="F21" s="6">
        <f t="shared" si="0"/>
        <v>0</v>
      </c>
      <c r="G21" s="2"/>
      <c r="H21" s="7">
        <v>113.91219230769201</v>
      </c>
      <c r="I21" s="2"/>
      <c r="J21" s="6">
        <f t="shared" si="1"/>
        <v>0</v>
      </c>
      <c r="K21" s="2"/>
      <c r="L21" s="7">
        <f t="shared" si="2"/>
        <v>-110.47219230769201</v>
      </c>
      <c r="M21" s="2"/>
      <c r="N21" s="6">
        <f t="shared" si="3"/>
        <v>-0.96980130106961593</v>
      </c>
      <c r="O21" s="11"/>
      <c r="P21" s="7">
        <v>664.22</v>
      </c>
      <c r="Q21" s="2"/>
      <c r="R21" s="6">
        <f t="shared" si="4"/>
        <v>0</v>
      </c>
      <c r="S21" s="2"/>
      <c r="T21" s="7">
        <v>706.25559230769159</v>
      </c>
      <c r="U21" s="2"/>
      <c r="V21" s="6">
        <f t="shared" si="5"/>
        <v>0</v>
      </c>
      <c r="W21" s="2"/>
      <c r="X21" s="7">
        <f t="shared" si="6"/>
        <v>-42.035592307691559</v>
      </c>
      <c r="Y21" s="2"/>
      <c r="Z21" s="6">
        <f t="shared" si="7"/>
        <v>-5.9518951446940298E-2</v>
      </c>
    </row>
    <row r="22" spans="1:26" s="24" customFormat="1" hidden="1" outlineLevel="2" x14ac:dyDescent="0.35">
      <c r="A22" s="29"/>
      <c r="B22" s="11" t="str">
        <f>CONCATENATE("          ", "6113", " - ", "GROUP INSURANCE")</f>
        <v xml:space="preserve">          6113 - GROUP INSURANCE</v>
      </c>
      <c r="C22" s="11"/>
      <c r="D22" s="7">
        <v>6028.29</v>
      </c>
      <c r="E22" s="2"/>
      <c r="F22" s="6">
        <f t="shared" si="0"/>
        <v>0</v>
      </c>
      <c r="G22" s="2"/>
      <c r="H22" s="7">
        <v>6549.2307692307704</v>
      </c>
      <c r="I22" s="2"/>
      <c r="J22" s="6">
        <f t="shared" si="1"/>
        <v>0</v>
      </c>
      <c r="K22" s="2"/>
      <c r="L22" s="7">
        <f t="shared" si="2"/>
        <v>-520.94076923077046</v>
      </c>
      <c r="M22" s="2"/>
      <c r="N22" s="6">
        <f t="shared" si="3"/>
        <v>-7.9542283298097427E-2</v>
      </c>
      <c r="O22" s="11"/>
      <c r="P22" s="7">
        <v>42578.310000000005</v>
      </c>
      <c r="Q22" s="2"/>
      <c r="R22" s="6">
        <f t="shared" si="4"/>
        <v>0</v>
      </c>
      <c r="S22" s="2"/>
      <c r="T22" s="7">
        <v>42189.230769230788</v>
      </c>
      <c r="U22" s="2"/>
      <c r="V22" s="6">
        <f t="shared" si="5"/>
        <v>0</v>
      </c>
      <c r="W22" s="2"/>
      <c r="X22" s="7">
        <f t="shared" si="6"/>
        <v>389.07923076921725</v>
      </c>
      <c r="Y22" s="2"/>
      <c r="Z22" s="6">
        <f t="shared" si="7"/>
        <v>9.2222404550921164E-3</v>
      </c>
    </row>
    <row r="23" spans="1:26" s="24" customFormat="1" hidden="1" outlineLevel="2" x14ac:dyDescent="0.3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128.9</v>
      </c>
      <c r="E23" s="2"/>
      <c r="F23" s="6">
        <f t="shared" si="0"/>
        <v>0</v>
      </c>
      <c r="G23" s="2"/>
      <c r="H23" s="7">
        <v>89.748999999999995</v>
      </c>
      <c r="I23" s="2"/>
      <c r="J23" s="6">
        <f t="shared" si="1"/>
        <v>0</v>
      </c>
      <c r="K23" s="2"/>
      <c r="L23" s="7">
        <f t="shared" si="2"/>
        <v>39.15100000000001</v>
      </c>
      <c r="M23" s="2"/>
      <c r="N23" s="6">
        <f t="shared" si="3"/>
        <v>0.43622770170141184</v>
      </c>
      <c r="O23" s="11"/>
      <c r="P23" s="7">
        <v>523.32000000000005</v>
      </c>
      <c r="Q23" s="2"/>
      <c r="R23" s="6">
        <f t="shared" si="4"/>
        <v>0</v>
      </c>
      <c r="S23" s="2"/>
      <c r="T23" s="7">
        <v>556.44380000000001</v>
      </c>
      <c r="U23" s="2"/>
      <c r="V23" s="6">
        <f t="shared" si="5"/>
        <v>0</v>
      </c>
      <c r="W23" s="2"/>
      <c r="X23" s="7">
        <f t="shared" si="6"/>
        <v>-33.12379999999996</v>
      </c>
      <c r="Y23" s="2"/>
      <c r="Z23" s="6">
        <f t="shared" si="7"/>
        <v>-5.9527664788429593E-2</v>
      </c>
    </row>
    <row r="24" spans="1:26" s="24" customFormat="1" hidden="1" outlineLevel="2" x14ac:dyDescent="0.35">
      <c r="A24" s="29"/>
      <c r="B24" s="11" t="str">
        <f>CONCATENATE("          ", "6115", " - ", "P.E.R.S.")</f>
        <v xml:space="preserve">          6115 - P.E.R.S.</v>
      </c>
      <c r="C24" s="11"/>
      <c r="D24" s="7">
        <v>1637.22</v>
      </c>
      <c r="E24" s="2"/>
      <c r="F24" s="6">
        <f t="shared" si="0"/>
        <v>0</v>
      </c>
      <c r="G24" s="2"/>
      <c r="H24" s="7">
        <v>1066.73076923077</v>
      </c>
      <c r="I24" s="2"/>
      <c r="J24" s="6">
        <f t="shared" si="1"/>
        <v>0</v>
      </c>
      <c r="K24" s="2"/>
      <c r="L24" s="7">
        <f t="shared" si="2"/>
        <v>570.48923076923006</v>
      </c>
      <c r="M24" s="2"/>
      <c r="N24" s="6">
        <f t="shared" si="3"/>
        <v>0.53480151433207035</v>
      </c>
      <c r="O24" s="11"/>
      <c r="P24" s="7">
        <v>10008.879999999999</v>
      </c>
      <c r="Q24" s="2"/>
      <c r="R24" s="6">
        <f t="shared" si="4"/>
        <v>0</v>
      </c>
      <c r="S24" s="2"/>
      <c r="T24" s="7">
        <v>6613.7307692307704</v>
      </c>
      <c r="U24" s="2"/>
      <c r="V24" s="6">
        <f t="shared" si="5"/>
        <v>0</v>
      </c>
      <c r="W24" s="2"/>
      <c r="X24" s="7">
        <f t="shared" si="6"/>
        <v>3395.1492307692288</v>
      </c>
      <c r="Y24" s="2"/>
      <c r="Z24" s="6">
        <f t="shared" si="7"/>
        <v>0.51334856970056431</v>
      </c>
    </row>
    <row r="25" spans="1:26" s="24" customFormat="1" hidden="1" outlineLevel="2" x14ac:dyDescent="0.3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35">
      <c r="A26" s="29"/>
      <c r="B26" s="11" t="str">
        <f>CONCATENATE("          ", "6117", " - ", "RETIREMENT STAFF HOURLY")</f>
        <v xml:space="preserve">          6117 - RETIREMENT STAFF HOURLY</v>
      </c>
      <c r="C26" s="11"/>
      <c r="D26" s="7">
        <v>486.03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486.03</v>
      </c>
      <c r="M26" s="2"/>
      <c r="N26" s="6">
        <f t="shared" si="3"/>
        <v>0</v>
      </c>
      <c r="O26" s="11"/>
      <c r="P26" s="7">
        <v>4331.84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4331.84</v>
      </c>
      <c r="Y26" s="2"/>
      <c r="Z26" s="6">
        <f t="shared" si="7"/>
        <v>0</v>
      </c>
    </row>
    <row r="27" spans="1:26" s="24" customFormat="1" hidden="1" outlineLevel="2" x14ac:dyDescent="0.35">
      <c r="A27" s="29"/>
      <c r="B27" s="11" t="str">
        <f>CONCATENATE("          ", "6118", " - ", "VACATION")</f>
        <v xml:space="preserve">          6118 - VACATION</v>
      </c>
      <c r="C27" s="11"/>
      <c r="D27" s="7">
        <v>478.68</v>
      </c>
      <c r="E27" s="2"/>
      <c r="F27" s="6">
        <f t="shared" si="0"/>
        <v>0</v>
      </c>
      <c r="G27" s="2"/>
      <c r="H27" s="7">
        <v>1240.1923076923101</v>
      </c>
      <c r="I27" s="2"/>
      <c r="J27" s="6">
        <f t="shared" si="1"/>
        <v>0</v>
      </c>
      <c r="K27" s="2"/>
      <c r="L27" s="7">
        <f t="shared" si="2"/>
        <v>-761.51230769231006</v>
      </c>
      <c r="M27" s="2"/>
      <c r="N27" s="6">
        <f t="shared" si="3"/>
        <v>-0.61402760117847799</v>
      </c>
      <c r="O27" s="11"/>
      <c r="P27" s="7">
        <v>7053.24</v>
      </c>
      <c r="Q27" s="2"/>
      <c r="R27" s="6">
        <f t="shared" si="4"/>
        <v>0</v>
      </c>
      <c r="S27" s="2"/>
      <c r="T27" s="7">
        <v>7689.1923076923149</v>
      </c>
      <c r="U27" s="2"/>
      <c r="V27" s="6">
        <f t="shared" si="5"/>
        <v>0</v>
      </c>
      <c r="W27" s="2"/>
      <c r="X27" s="7">
        <f t="shared" si="6"/>
        <v>-635.95230769231512</v>
      </c>
      <c r="Y27" s="2"/>
      <c r="Z27" s="6">
        <f t="shared" si="7"/>
        <v>-8.2707296455065193E-2</v>
      </c>
    </row>
    <row r="28" spans="1:26" s="24" customFormat="1" hidden="1" outlineLevel="2" x14ac:dyDescent="0.35">
      <c r="A28" s="29"/>
      <c r="B28" s="11" t="str">
        <f>CONCATENATE("          ", "6119", " - ", "SICK LEAVE")</f>
        <v xml:space="preserve">          6119 - SICK LEAVE</v>
      </c>
      <c r="C28" s="11"/>
      <c r="D28" s="7">
        <v>908.12</v>
      </c>
      <c r="E28" s="2"/>
      <c r="F28" s="6">
        <f t="shared" si="0"/>
        <v>0</v>
      </c>
      <c r="G28" s="2"/>
      <c r="H28" s="7">
        <v>1035.56538461538</v>
      </c>
      <c r="I28" s="2"/>
      <c r="J28" s="6">
        <f t="shared" si="1"/>
        <v>0</v>
      </c>
      <c r="K28" s="2"/>
      <c r="L28" s="7">
        <f t="shared" si="2"/>
        <v>-127.44538461538002</v>
      </c>
      <c r="M28" s="2"/>
      <c r="N28" s="6">
        <f t="shared" si="3"/>
        <v>-0.12306840930446375</v>
      </c>
      <c r="O28" s="11"/>
      <c r="P28" s="7">
        <v>6810.9</v>
      </c>
      <c r="Q28" s="2"/>
      <c r="R28" s="6">
        <f t="shared" si="4"/>
        <v>0</v>
      </c>
      <c r="S28" s="2"/>
      <c r="T28" s="7">
        <v>6420.5053846153723</v>
      </c>
      <c r="U28" s="2"/>
      <c r="V28" s="6">
        <f t="shared" si="5"/>
        <v>0</v>
      </c>
      <c r="W28" s="2"/>
      <c r="X28" s="7">
        <f t="shared" si="6"/>
        <v>390.39461538462729</v>
      </c>
      <c r="Y28" s="2"/>
      <c r="Z28" s="6">
        <f t="shared" si="7"/>
        <v>6.080434358330724E-2</v>
      </c>
    </row>
    <row r="29" spans="1:26" s="24" customFormat="1" hidden="1" outlineLevel="2" x14ac:dyDescent="0.35">
      <c r="A29" s="29"/>
      <c r="B29" s="11" t="str">
        <f>CONCATENATE("          ", "6156", " - ", "EMPLOYEE MEALS")</f>
        <v xml:space="preserve">          6156 - EMPLOYEE MEALS</v>
      </c>
      <c r="C29" s="11"/>
      <c r="D29" s="7"/>
      <c r="E29" s="2"/>
      <c r="F29" s="6">
        <f t="shared" si="0"/>
        <v>0</v>
      </c>
      <c r="G29" s="2"/>
      <c r="H29" s="7">
        <v>525</v>
      </c>
      <c r="I29" s="2"/>
      <c r="J29" s="6">
        <f t="shared" si="1"/>
        <v>0</v>
      </c>
      <c r="K29" s="2"/>
      <c r="L29" s="7">
        <f t="shared" si="2"/>
        <v>-525</v>
      </c>
      <c r="M29" s="2"/>
      <c r="N29" s="6">
        <f t="shared" si="3"/>
        <v>-1</v>
      </c>
      <c r="O29" s="11"/>
      <c r="P29" s="7">
        <v>339.83</v>
      </c>
      <c r="Q29" s="2"/>
      <c r="R29" s="6">
        <f t="shared" si="4"/>
        <v>0</v>
      </c>
      <c r="S29" s="2"/>
      <c r="T29" s="7">
        <v>3675</v>
      </c>
      <c r="U29" s="2"/>
      <c r="V29" s="6">
        <f t="shared" si="5"/>
        <v>0</v>
      </c>
      <c r="W29" s="2"/>
      <c r="X29" s="7">
        <f t="shared" si="6"/>
        <v>-3335.17</v>
      </c>
      <c r="Y29" s="2"/>
      <c r="Z29" s="6">
        <f t="shared" si="7"/>
        <v>-0.90752925170068033</v>
      </c>
    </row>
    <row r="30" spans="1:26" s="28" customFormat="1" outlineLevel="1" collapsed="1" x14ac:dyDescent="0.3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30878.41</v>
      </c>
      <c r="E30" s="1"/>
      <c r="F30" s="5">
        <f t="shared" ref="F30:F40" si="8">IF(D$12=0,0,D30/D$12)</f>
        <v>0</v>
      </c>
      <c r="G30" s="1"/>
      <c r="H30" s="1">
        <f>SUM(OSRRefH22_1x_0)</f>
        <v>32534.538461538501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-1656.1284615385011</v>
      </c>
      <c r="M30" s="1"/>
      <c r="N30" s="5">
        <f t="shared" ref="N30:N40" si="11">IF(H30=0,0,L30/H30)</f>
        <v>-5.0903702337635241E-2</v>
      </c>
      <c r="O30" s="14"/>
      <c r="P30" s="1">
        <f>SUM(OSRRefP22_1x_0)</f>
        <v>190551</v>
      </c>
      <c r="Q30" s="1"/>
      <c r="R30" s="5">
        <f t="shared" ref="R30:R40" si="12">IF(P$12=0,0,P30/P$12)</f>
        <v>0</v>
      </c>
      <c r="S30" s="1"/>
      <c r="T30" s="1">
        <f>SUM(OSRRefT22_1x_0)</f>
        <v>201714.13846153859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-11163.13846153859</v>
      </c>
      <c r="Y30" s="1"/>
      <c r="Z30" s="5">
        <f t="shared" ref="Z30:Z40" si="15">IF(T30=0,0,X30/T30)</f>
        <v>-5.5341378381699793E-2</v>
      </c>
    </row>
    <row r="31" spans="1:26" s="24" customFormat="1" hidden="1" outlineLevel="2" x14ac:dyDescent="0.3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>
        <v>12443.68</v>
      </c>
      <c r="E31" s="2"/>
      <c r="F31" s="6">
        <f t="shared" si="8"/>
        <v>0</v>
      </c>
      <c r="G31" s="2"/>
      <c r="H31" s="7">
        <v>11411.538461538501</v>
      </c>
      <c r="I31" s="2"/>
      <c r="J31" s="6">
        <f t="shared" si="9"/>
        <v>0</v>
      </c>
      <c r="K31" s="2"/>
      <c r="L31" s="7">
        <f t="shared" si="10"/>
        <v>1032.1415384614993</v>
      </c>
      <c r="M31" s="2"/>
      <c r="N31" s="6">
        <f t="shared" si="11"/>
        <v>9.0447185709467096E-2</v>
      </c>
      <c r="O31" s="11"/>
      <c r="P31" s="7">
        <v>73295.98000000001</v>
      </c>
      <c r="Q31" s="2"/>
      <c r="R31" s="6">
        <f t="shared" si="12"/>
        <v>0</v>
      </c>
      <c r="S31" s="2"/>
      <c r="T31" s="7">
        <v>70751.538461538585</v>
      </c>
      <c r="U31" s="2"/>
      <c r="V31" s="6">
        <f t="shared" si="13"/>
        <v>0</v>
      </c>
      <c r="W31" s="2"/>
      <c r="X31" s="7">
        <f t="shared" si="14"/>
        <v>2544.4415384614258</v>
      </c>
      <c r="Y31" s="2"/>
      <c r="Z31" s="6">
        <f t="shared" si="15"/>
        <v>3.5963055981384995E-2</v>
      </c>
    </row>
    <row r="32" spans="1:26" s="24" customFormat="1" hidden="1" outlineLevel="2" x14ac:dyDescent="0.35">
      <c r="A32" s="29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3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35">
      <c r="A34" s="29"/>
      <c r="B34" s="11" t="str">
        <f>CONCATENATE("          ", "6004", " - ", "STAFF HOURLY")</f>
        <v xml:space="preserve">          6004 - STAFF HOURLY</v>
      </c>
      <c r="C34" s="11"/>
      <c r="D34" s="7">
        <v>11166.98</v>
      </c>
      <c r="E34" s="2"/>
      <c r="F34" s="6">
        <f t="shared" si="8"/>
        <v>0</v>
      </c>
      <c r="G34" s="2"/>
      <c r="H34" s="7">
        <v>11408</v>
      </c>
      <c r="I34" s="2"/>
      <c r="J34" s="6">
        <f t="shared" si="9"/>
        <v>0</v>
      </c>
      <c r="K34" s="2"/>
      <c r="L34" s="7">
        <f t="shared" si="10"/>
        <v>-241.02000000000044</v>
      </c>
      <c r="M34" s="2"/>
      <c r="N34" s="6">
        <f t="shared" si="11"/>
        <v>-2.1127279102384329E-2</v>
      </c>
      <c r="O34" s="11"/>
      <c r="P34" s="7">
        <v>73721.22</v>
      </c>
      <c r="Q34" s="2"/>
      <c r="R34" s="6">
        <f t="shared" si="12"/>
        <v>0</v>
      </c>
      <c r="S34" s="2"/>
      <c r="T34" s="7">
        <v>70729.600000000006</v>
      </c>
      <c r="U34" s="2"/>
      <c r="V34" s="6">
        <f t="shared" si="13"/>
        <v>0</v>
      </c>
      <c r="W34" s="2"/>
      <c r="X34" s="7">
        <f t="shared" si="14"/>
        <v>2991.6199999999953</v>
      </c>
      <c r="Y34" s="2"/>
      <c r="Z34" s="6">
        <f t="shared" si="15"/>
        <v>4.2296577387684858E-2</v>
      </c>
    </row>
    <row r="35" spans="1:26" s="24" customFormat="1" hidden="1" outlineLevel="2" x14ac:dyDescent="0.3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>
        <v>3541.75</v>
      </c>
      <c r="E35" s="2"/>
      <c r="F35" s="6">
        <f t="shared" si="8"/>
        <v>0</v>
      </c>
      <c r="G35" s="2"/>
      <c r="H35" s="7">
        <v>9715</v>
      </c>
      <c r="I35" s="2"/>
      <c r="J35" s="6">
        <f t="shared" si="9"/>
        <v>0</v>
      </c>
      <c r="K35" s="2"/>
      <c r="L35" s="7">
        <f t="shared" si="10"/>
        <v>-6173.25</v>
      </c>
      <c r="M35" s="2"/>
      <c r="N35" s="6">
        <f t="shared" si="11"/>
        <v>-0.63543489449305202</v>
      </c>
      <c r="O35" s="11"/>
      <c r="P35" s="7">
        <v>39807.800000000003</v>
      </c>
      <c r="Q35" s="2"/>
      <c r="R35" s="6">
        <f t="shared" si="12"/>
        <v>0</v>
      </c>
      <c r="S35" s="2"/>
      <c r="T35" s="7">
        <v>60232.999999999993</v>
      </c>
      <c r="U35" s="2"/>
      <c r="V35" s="6">
        <f t="shared" si="13"/>
        <v>0</v>
      </c>
      <c r="W35" s="2"/>
      <c r="X35" s="7">
        <f t="shared" si="14"/>
        <v>-20425.19999999999</v>
      </c>
      <c r="Y35" s="2"/>
      <c r="Z35" s="6">
        <f t="shared" si="15"/>
        <v>-0.33910314943635533</v>
      </c>
    </row>
    <row r="36" spans="1:26" s="24" customFormat="1" hidden="1" outlineLevel="2" x14ac:dyDescent="0.35">
      <c r="A36" s="29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35">
      <c r="A37" s="29"/>
      <c r="B37" s="11" t="str">
        <f>CONCATENATE("          ", "6007", " - ", "STUDENT HOURLY")</f>
        <v xml:space="preserve">          6007 - STUDENT HOURLY</v>
      </c>
      <c r="C37" s="11"/>
      <c r="D37" s="7">
        <v>3726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3726</v>
      </c>
      <c r="M37" s="2"/>
      <c r="N37" s="6">
        <f t="shared" si="11"/>
        <v>0</v>
      </c>
      <c r="O37" s="11"/>
      <c r="P37" s="7">
        <v>3726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3726</v>
      </c>
      <c r="Y37" s="2"/>
      <c r="Z37" s="6">
        <f t="shared" si="15"/>
        <v>0</v>
      </c>
    </row>
    <row r="38" spans="1:26" s="24" customFormat="1" hidden="1" outlineLevel="2" x14ac:dyDescent="0.3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3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3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8" customFormat="1" outlineLevel="1" collapsed="1" x14ac:dyDescent="0.3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3" si="16">IF(D$12=0,0,D41/D$12)</f>
        <v>0</v>
      </c>
      <c r="G41" s="1"/>
      <c r="H41" s="1">
        <f>SUM(OSRRefH22_2x_0)</f>
        <v>250</v>
      </c>
      <c r="I41" s="1"/>
      <c r="J41" s="5">
        <f t="shared" ref="J41:J53" si="17">IF(H$12=0,0,H41/H$12)</f>
        <v>0</v>
      </c>
      <c r="K41" s="1"/>
      <c r="L41" s="1">
        <f t="shared" ref="L41:L53" si="18">+D41-H41</f>
        <v>-250</v>
      </c>
      <c r="M41" s="1"/>
      <c r="N41" s="5">
        <f t="shared" ref="N41:N53" si="19">IF(H41=0,0,L41/H41)</f>
        <v>-1</v>
      </c>
      <c r="O41" s="14"/>
      <c r="P41" s="1">
        <f>SUM(OSRRefP22_2x_0)</f>
        <v>0</v>
      </c>
      <c r="Q41" s="1"/>
      <c r="R41" s="5">
        <f t="shared" ref="R41:R53" si="20">IF(P$12=0,0,P41/P$12)</f>
        <v>0</v>
      </c>
      <c r="S41" s="1"/>
      <c r="T41" s="1">
        <f>SUM(OSRRefT22_2x_0)</f>
        <v>1750</v>
      </c>
      <c r="U41" s="1"/>
      <c r="V41" s="5">
        <f t="shared" ref="V41:V53" si="21">IF(T$12=0,0,T41/T$12)</f>
        <v>0</v>
      </c>
      <c r="W41" s="1"/>
      <c r="X41" s="1">
        <f t="shared" ref="X41:X53" si="22">+P41-T41</f>
        <v>-1750</v>
      </c>
      <c r="Y41" s="1"/>
      <c r="Z41" s="5">
        <f t="shared" ref="Z41:Z53" si="23">IF(T41=0,0,X41/T41)</f>
        <v>-1</v>
      </c>
    </row>
    <row r="42" spans="1:26" s="24" customFormat="1" hidden="1" outlineLevel="2" x14ac:dyDescent="0.35">
      <c r="A42" s="29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16"/>
        <v>0</v>
      </c>
      <c r="G42" s="2"/>
      <c r="H42" s="7">
        <v>250</v>
      </c>
      <c r="I42" s="2"/>
      <c r="J42" s="6">
        <f t="shared" si="17"/>
        <v>0</v>
      </c>
      <c r="K42" s="2"/>
      <c r="L42" s="7">
        <f t="shared" si="18"/>
        <v>-250</v>
      </c>
      <c r="M42" s="2"/>
      <c r="N42" s="6">
        <f t="shared" si="19"/>
        <v>-1</v>
      </c>
      <c r="O42" s="11"/>
      <c r="P42" s="7"/>
      <c r="Q42" s="2"/>
      <c r="R42" s="6">
        <f t="shared" si="20"/>
        <v>0</v>
      </c>
      <c r="S42" s="2"/>
      <c r="T42" s="7">
        <v>1750</v>
      </c>
      <c r="U42" s="2"/>
      <c r="V42" s="6">
        <f t="shared" si="21"/>
        <v>0</v>
      </c>
      <c r="W42" s="2"/>
      <c r="X42" s="7">
        <f t="shared" si="22"/>
        <v>-1750</v>
      </c>
      <c r="Y42" s="2"/>
      <c r="Z42" s="6">
        <f t="shared" si="23"/>
        <v>-1</v>
      </c>
    </row>
    <row r="43" spans="1:26" s="28" customFormat="1" outlineLevel="1" collapsed="1" x14ac:dyDescent="0.35">
      <c r="A43" s="27"/>
      <c r="B43" s="14" t="str">
        <f>CONCATENATE("     ","Employees' Appreciation                           ")</f>
        <v xml:space="preserve">     Employees' Appreciation                           </v>
      </c>
      <c r="C43" s="14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4"/>
      <c r="P43" s="1">
        <f>SUM(OSRRefP22_3x_0)</f>
        <v>81.56</v>
      </c>
      <c r="Q43" s="1"/>
      <c r="R43" s="5">
        <f t="shared" si="20"/>
        <v>0</v>
      </c>
      <c r="S43" s="1"/>
      <c r="T43" s="1">
        <f>SUM(OSRRefT22_3x_0)</f>
        <v>700</v>
      </c>
      <c r="U43" s="1"/>
      <c r="V43" s="5">
        <f t="shared" si="21"/>
        <v>0</v>
      </c>
      <c r="W43" s="1"/>
      <c r="X43" s="1">
        <f t="shared" si="22"/>
        <v>-618.44000000000005</v>
      </c>
      <c r="Y43" s="1"/>
      <c r="Z43" s="5">
        <f t="shared" si="23"/>
        <v>-0.88348571428571432</v>
      </c>
    </row>
    <row r="44" spans="1:26" s="24" customFormat="1" hidden="1" outlineLevel="2" x14ac:dyDescent="0.35">
      <c r="A44" s="29"/>
      <c r="B44" s="11" t="str">
        <f>CONCATENATE("          ", "6277", " - ", "EMPLOYEE APPRECIATION")</f>
        <v xml:space="preserve">          6277 - EMPLOYEE APPRECIATION</v>
      </c>
      <c r="C44" s="11"/>
      <c r="D44" s="7"/>
      <c r="E44" s="2"/>
      <c r="F44" s="6">
        <f t="shared" si="16"/>
        <v>0</v>
      </c>
      <c r="G44" s="2"/>
      <c r="H44" s="7">
        <v>0</v>
      </c>
      <c r="I44" s="2"/>
      <c r="J44" s="6">
        <f t="shared" si="17"/>
        <v>0</v>
      </c>
      <c r="K44" s="2"/>
      <c r="L44" s="7">
        <f t="shared" si="18"/>
        <v>0</v>
      </c>
      <c r="M44" s="2"/>
      <c r="N44" s="6">
        <f t="shared" si="19"/>
        <v>0</v>
      </c>
      <c r="O44" s="11"/>
      <c r="P44" s="7">
        <v>81.56</v>
      </c>
      <c r="Q44" s="2"/>
      <c r="R44" s="6">
        <f t="shared" si="20"/>
        <v>0</v>
      </c>
      <c r="S44" s="2"/>
      <c r="T44" s="7">
        <v>700</v>
      </c>
      <c r="U44" s="2"/>
      <c r="V44" s="6">
        <f t="shared" si="21"/>
        <v>0</v>
      </c>
      <c r="W44" s="2"/>
      <c r="X44" s="7">
        <f t="shared" si="22"/>
        <v>-618.44000000000005</v>
      </c>
      <c r="Y44" s="2"/>
      <c r="Z44" s="6">
        <f t="shared" si="23"/>
        <v>-0.88348571428571432</v>
      </c>
    </row>
    <row r="45" spans="1:26" s="28" customFormat="1" outlineLevel="1" collapsed="1" x14ac:dyDescent="0.35">
      <c r="A45" s="27"/>
      <c r="B45" s="14" t="str">
        <f>CONCATENATE("     ","Equipment Rental                                  ")</f>
        <v xml:space="preserve">     Equipment Rental                                  </v>
      </c>
      <c r="C45" s="14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82</v>
      </c>
      <c r="I45" s="1"/>
      <c r="J45" s="5">
        <f t="shared" si="17"/>
        <v>0</v>
      </c>
      <c r="K45" s="1"/>
      <c r="L45" s="1">
        <f t="shared" si="18"/>
        <v>-82</v>
      </c>
      <c r="M45" s="1"/>
      <c r="N45" s="5">
        <f t="shared" si="19"/>
        <v>-1</v>
      </c>
      <c r="O45" s="14"/>
      <c r="P45" s="1">
        <f>SUM(OSRRefP22_4x_0)</f>
        <v>0</v>
      </c>
      <c r="Q45" s="1"/>
      <c r="R45" s="5">
        <f t="shared" si="20"/>
        <v>0</v>
      </c>
      <c r="S45" s="1"/>
      <c r="T45" s="1">
        <f>SUM(OSRRefT22_4x_0)</f>
        <v>492</v>
      </c>
      <c r="U45" s="1"/>
      <c r="V45" s="5">
        <f t="shared" si="21"/>
        <v>0</v>
      </c>
      <c r="W45" s="1"/>
      <c r="X45" s="1">
        <f t="shared" si="22"/>
        <v>-492</v>
      </c>
      <c r="Y45" s="1"/>
      <c r="Z45" s="5">
        <f t="shared" si="23"/>
        <v>-1</v>
      </c>
    </row>
    <row r="46" spans="1:26" s="24" customFormat="1" hidden="1" outlineLevel="2" x14ac:dyDescent="0.35">
      <c r="A46" s="29"/>
      <c r="B46" s="11" t="str">
        <f>CONCATENATE("          ", "6351", " - ", "EQUIPMENT RENTAL")</f>
        <v xml:space="preserve">          6351 - EQUIPMENT RENTAL</v>
      </c>
      <c r="C46" s="11"/>
      <c r="D46" s="7"/>
      <c r="E46" s="2"/>
      <c r="F46" s="6">
        <f t="shared" si="16"/>
        <v>0</v>
      </c>
      <c r="G46" s="2"/>
      <c r="H46" s="7">
        <v>82</v>
      </c>
      <c r="I46" s="2"/>
      <c r="J46" s="6">
        <f t="shared" si="17"/>
        <v>0</v>
      </c>
      <c r="K46" s="2"/>
      <c r="L46" s="7">
        <f t="shared" si="18"/>
        <v>-82</v>
      </c>
      <c r="M46" s="2"/>
      <c r="N46" s="6">
        <f t="shared" si="19"/>
        <v>-1</v>
      </c>
      <c r="O46" s="11"/>
      <c r="P46" s="7"/>
      <c r="Q46" s="2"/>
      <c r="R46" s="6">
        <f t="shared" si="20"/>
        <v>0</v>
      </c>
      <c r="S46" s="2"/>
      <c r="T46" s="7">
        <v>492</v>
      </c>
      <c r="U46" s="2"/>
      <c r="V46" s="6">
        <f t="shared" si="21"/>
        <v>0</v>
      </c>
      <c r="W46" s="2"/>
      <c r="X46" s="7">
        <f t="shared" si="22"/>
        <v>-492</v>
      </c>
      <c r="Y46" s="2"/>
      <c r="Z46" s="6">
        <f t="shared" si="23"/>
        <v>-1</v>
      </c>
    </row>
    <row r="47" spans="1:26" s="28" customFormat="1" outlineLevel="1" collapsed="1" x14ac:dyDescent="0.35">
      <c r="A47" s="27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SUM(OSRRefD22_5x_0)</f>
        <v>1</v>
      </c>
      <c r="E47" s="1"/>
      <c r="F47" s="5">
        <f t="shared" si="16"/>
        <v>0</v>
      </c>
      <c r="G47" s="1"/>
      <c r="H47" s="1">
        <f>SUM(OSRRefH22_5x_0)</f>
        <v>83</v>
      </c>
      <c r="I47" s="1"/>
      <c r="J47" s="5">
        <f t="shared" si="17"/>
        <v>0</v>
      </c>
      <c r="K47" s="1"/>
      <c r="L47" s="1">
        <f t="shared" si="18"/>
        <v>-82</v>
      </c>
      <c r="M47" s="1"/>
      <c r="N47" s="5">
        <f t="shared" si="19"/>
        <v>-0.98795180722891562</v>
      </c>
      <c r="O47" s="14"/>
      <c r="P47" s="1">
        <f>SUM(OSRRefP22_5x_0)</f>
        <v>106.55</v>
      </c>
      <c r="Q47" s="1"/>
      <c r="R47" s="5">
        <f t="shared" si="20"/>
        <v>0</v>
      </c>
      <c r="S47" s="1"/>
      <c r="T47" s="1">
        <f>SUM(OSRRefT22_5x_0)</f>
        <v>581</v>
      </c>
      <c r="U47" s="1"/>
      <c r="V47" s="5">
        <f t="shared" si="21"/>
        <v>0</v>
      </c>
      <c r="W47" s="1"/>
      <c r="X47" s="1">
        <f t="shared" si="22"/>
        <v>-474.45</v>
      </c>
      <c r="Y47" s="1"/>
      <c r="Z47" s="5">
        <f t="shared" si="23"/>
        <v>-0.81660929432013762</v>
      </c>
    </row>
    <row r="48" spans="1:26" s="24" customFormat="1" hidden="1" outlineLevel="2" x14ac:dyDescent="0.35">
      <c r="A48" s="29"/>
      <c r="B48" s="11" t="str">
        <f>CONCATENATE("          ", "6307", " - ", "POSTAGE")</f>
        <v xml:space="preserve">          6307 - POSTAGE</v>
      </c>
      <c r="C48" s="11"/>
      <c r="D48" s="7">
        <v>1</v>
      </c>
      <c r="E48" s="2"/>
      <c r="F48" s="6">
        <f t="shared" si="16"/>
        <v>0</v>
      </c>
      <c r="G48" s="2"/>
      <c r="H48" s="7">
        <v>83</v>
      </c>
      <c r="I48" s="2"/>
      <c r="J48" s="6">
        <f t="shared" si="17"/>
        <v>0</v>
      </c>
      <c r="K48" s="2"/>
      <c r="L48" s="7">
        <f t="shared" si="18"/>
        <v>-82</v>
      </c>
      <c r="M48" s="2"/>
      <c r="N48" s="6">
        <f t="shared" si="19"/>
        <v>-0.98795180722891562</v>
      </c>
      <c r="O48" s="11"/>
      <c r="P48" s="7">
        <v>106.55</v>
      </c>
      <c r="Q48" s="2"/>
      <c r="R48" s="6">
        <f t="shared" si="20"/>
        <v>0</v>
      </c>
      <c r="S48" s="2"/>
      <c r="T48" s="7">
        <v>581</v>
      </c>
      <c r="U48" s="2"/>
      <c r="V48" s="6">
        <f t="shared" si="21"/>
        <v>0</v>
      </c>
      <c r="W48" s="2"/>
      <c r="X48" s="7">
        <f t="shared" si="22"/>
        <v>-474.45</v>
      </c>
      <c r="Y48" s="2"/>
      <c r="Z48" s="6">
        <f t="shared" si="23"/>
        <v>-0.81660929432013762</v>
      </c>
    </row>
    <row r="49" spans="1:26" s="28" customFormat="1" outlineLevel="1" collapsed="1" x14ac:dyDescent="0.35">
      <c r="A49" s="27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500</v>
      </c>
      <c r="E49" s="1"/>
      <c r="F49" s="5">
        <f t="shared" si="16"/>
        <v>0</v>
      </c>
      <c r="G49" s="1"/>
      <c r="H49" s="1">
        <f>SUM(OSRRefH22_6x_0)</f>
        <v>333</v>
      </c>
      <c r="I49" s="1"/>
      <c r="J49" s="5">
        <f t="shared" si="17"/>
        <v>0</v>
      </c>
      <c r="K49" s="1"/>
      <c r="L49" s="1">
        <f t="shared" si="18"/>
        <v>167</v>
      </c>
      <c r="M49" s="1"/>
      <c r="N49" s="5">
        <f t="shared" si="19"/>
        <v>0.50150150150150152</v>
      </c>
      <c r="O49" s="14"/>
      <c r="P49" s="1">
        <f>SUM(OSRRefP22_6x_0)</f>
        <v>666.54</v>
      </c>
      <c r="Q49" s="1"/>
      <c r="R49" s="5">
        <f t="shared" si="20"/>
        <v>0</v>
      </c>
      <c r="S49" s="1"/>
      <c r="T49" s="1">
        <f>SUM(OSRRefT22_6x_0)</f>
        <v>2331</v>
      </c>
      <c r="U49" s="1"/>
      <c r="V49" s="5">
        <f t="shared" si="21"/>
        <v>0</v>
      </c>
      <c r="W49" s="1"/>
      <c r="X49" s="1">
        <f t="shared" si="22"/>
        <v>-1664.46</v>
      </c>
      <c r="Y49" s="1"/>
      <c r="Z49" s="5">
        <f t="shared" si="23"/>
        <v>-0.71405405405405409</v>
      </c>
    </row>
    <row r="50" spans="1:26" s="24" customFormat="1" hidden="1" outlineLevel="2" x14ac:dyDescent="0.35">
      <c r="A50" s="29"/>
      <c r="B50" s="11" t="str">
        <f>CONCATENATE("          ", "6279", " - ", "GENERAL EXPENSE")</f>
        <v xml:space="preserve">          6279 - GENERAL EXPENSE</v>
      </c>
      <c r="C50" s="11"/>
      <c r="D50" s="7">
        <v>500</v>
      </c>
      <c r="E50" s="2"/>
      <c r="F50" s="6">
        <f t="shared" si="16"/>
        <v>0</v>
      </c>
      <c r="G50" s="2"/>
      <c r="H50" s="7">
        <v>333</v>
      </c>
      <c r="I50" s="2"/>
      <c r="J50" s="6">
        <f t="shared" si="17"/>
        <v>0</v>
      </c>
      <c r="K50" s="2"/>
      <c r="L50" s="7">
        <f t="shared" si="18"/>
        <v>167</v>
      </c>
      <c r="M50" s="2"/>
      <c r="N50" s="6">
        <f t="shared" si="19"/>
        <v>0.50150150150150152</v>
      </c>
      <c r="O50" s="11"/>
      <c r="P50" s="7">
        <v>666.54</v>
      </c>
      <c r="Q50" s="2"/>
      <c r="R50" s="6">
        <f t="shared" si="20"/>
        <v>0</v>
      </c>
      <c r="S50" s="2"/>
      <c r="T50" s="7">
        <v>2331</v>
      </c>
      <c r="U50" s="2"/>
      <c r="V50" s="6">
        <f t="shared" si="21"/>
        <v>0</v>
      </c>
      <c r="W50" s="2"/>
      <c r="X50" s="7">
        <f t="shared" si="22"/>
        <v>-1664.46</v>
      </c>
      <c r="Y50" s="2"/>
      <c r="Z50" s="6">
        <f t="shared" si="23"/>
        <v>-0.71405405405405409</v>
      </c>
    </row>
    <row r="51" spans="1:26" s="28" customFormat="1" outlineLevel="1" collapsed="1" x14ac:dyDescent="0.35">
      <c r="A51" s="27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65.47</v>
      </c>
      <c r="E51" s="1"/>
      <c r="F51" s="5">
        <f t="shared" si="16"/>
        <v>0</v>
      </c>
      <c r="G51" s="1"/>
      <c r="H51" s="1">
        <f>SUM(OSRRefH22_7x_0)</f>
        <v>73</v>
      </c>
      <c r="I51" s="1"/>
      <c r="J51" s="5">
        <f t="shared" si="17"/>
        <v>0</v>
      </c>
      <c r="K51" s="1"/>
      <c r="L51" s="1">
        <f t="shared" si="18"/>
        <v>-7.5300000000000011</v>
      </c>
      <c r="M51" s="1"/>
      <c r="N51" s="5">
        <f t="shared" si="19"/>
        <v>-0.10315068493150686</v>
      </c>
      <c r="O51" s="14"/>
      <c r="P51" s="1">
        <f>SUM(OSRRefP22_7x_0)</f>
        <v>458.29</v>
      </c>
      <c r="Q51" s="1"/>
      <c r="R51" s="5">
        <f t="shared" si="20"/>
        <v>0</v>
      </c>
      <c r="S51" s="1"/>
      <c r="T51" s="1">
        <f>SUM(OSRRefT22_7x_0)</f>
        <v>1291</v>
      </c>
      <c r="U51" s="1"/>
      <c r="V51" s="5">
        <f t="shared" si="21"/>
        <v>0</v>
      </c>
      <c r="W51" s="1"/>
      <c r="X51" s="1">
        <f t="shared" si="22"/>
        <v>-832.71</v>
      </c>
      <c r="Y51" s="1"/>
      <c r="Z51" s="5">
        <f t="shared" si="23"/>
        <v>-0.64501161890007752</v>
      </c>
    </row>
    <row r="52" spans="1:26" s="24" customFormat="1" hidden="1" outlineLevel="2" x14ac:dyDescent="0.35">
      <c r="A52" s="29"/>
      <c r="B52" s="11" t="str">
        <f>CONCATENATE("          ", "6312", " - ", "FIRE &amp; THEFT INSURANCE")</f>
        <v xml:space="preserve">          6312 - FIRE &amp; THEFT INSURANCE</v>
      </c>
      <c r="C52" s="11"/>
      <c r="D52" s="7"/>
      <c r="E52" s="2"/>
      <c r="F52" s="6">
        <f t="shared" si="16"/>
        <v>0</v>
      </c>
      <c r="G52" s="2"/>
      <c r="H52" s="7"/>
      <c r="I52" s="2"/>
      <c r="J52" s="6">
        <f t="shared" si="17"/>
        <v>0</v>
      </c>
      <c r="K52" s="2"/>
      <c r="L52" s="7">
        <f t="shared" si="18"/>
        <v>0</v>
      </c>
      <c r="M52" s="2"/>
      <c r="N52" s="6">
        <f t="shared" si="19"/>
        <v>0</v>
      </c>
      <c r="O52" s="11"/>
      <c r="P52" s="7"/>
      <c r="Q52" s="2"/>
      <c r="R52" s="6">
        <f t="shared" si="20"/>
        <v>0</v>
      </c>
      <c r="S52" s="2"/>
      <c r="T52" s="7">
        <v>780</v>
      </c>
      <c r="U52" s="2"/>
      <c r="V52" s="6">
        <f t="shared" si="21"/>
        <v>0</v>
      </c>
      <c r="W52" s="2"/>
      <c r="X52" s="7">
        <f t="shared" si="22"/>
        <v>-780</v>
      </c>
      <c r="Y52" s="2"/>
      <c r="Z52" s="6">
        <f t="shared" si="23"/>
        <v>-1</v>
      </c>
    </row>
    <row r="53" spans="1:26" s="24" customFormat="1" hidden="1" outlineLevel="2" x14ac:dyDescent="0.35">
      <c r="A53" s="29"/>
      <c r="B53" s="11" t="str">
        <f>CONCATENATE("          ", "6314", " - ", "LIABILITY INSURANCE")</f>
        <v xml:space="preserve">          6314 - LIABILITY INSURANCE</v>
      </c>
      <c r="C53" s="11"/>
      <c r="D53" s="7">
        <v>65.47</v>
      </c>
      <c r="E53" s="2"/>
      <c r="F53" s="6">
        <f t="shared" si="16"/>
        <v>0</v>
      </c>
      <c r="G53" s="2"/>
      <c r="H53" s="7">
        <v>73</v>
      </c>
      <c r="I53" s="2"/>
      <c r="J53" s="6">
        <f t="shared" si="17"/>
        <v>0</v>
      </c>
      <c r="K53" s="2"/>
      <c r="L53" s="7">
        <f t="shared" si="18"/>
        <v>-7.5300000000000011</v>
      </c>
      <c r="M53" s="2"/>
      <c r="N53" s="6">
        <f t="shared" si="19"/>
        <v>-0.10315068493150686</v>
      </c>
      <c r="O53" s="11"/>
      <c r="P53" s="7">
        <v>458.29</v>
      </c>
      <c r="Q53" s="2"/>
      <c r="R53" s="6">
        <f t="shared" si="20"/>
        <v>0</v>
      </c>
      <c r="S53" s="2"/>
      <c r="T53" s="7">
        <v>511</v>
      </c>
      <c r="U53" s="2"/>
      <c r="V53" s="6">
        <f t="shared" si="21"/>
        <v>0</v>
      </c>
      <c r="W53" s="2"/>
      <c r="X53" s="7">
        <f t="shared" si="22"/>
        <v>-52.70999999999998</v>
      </c>
      <c r="Y53" s="2"/>
      <c r="Z53" s="6">
        <f t="shared" si="23"/>
        <v>-0.10315068493150681</v>
      </c>
    </row>
    <row r="54" spans="1:26" s="28" customFormat="1" outlineLevel="1" collapsed="1" x14ac:dyDescent="0.35">
      <c r="A54" s="27"/>
      <c r="B54" s="14" t="str">
        <f>CONCATENATE("     ","Professional Services                             ")</f>
        <v xml:space="preserve">     Professional Services                             </v>
      </c>
      <c r="C54" s="14"/>
      <c r="D54" s="1">
        <f>SUM(OSRRefD22_8x_0)</f>
        <v>3177.3</v>
      </c>
      <c r="E54" s="1"/>
      <c r="F54" s="5">
        <f t="shared" ref="F54:F57" si="24">IF(D$12=0,0,D54/D$12)</f>
        <v>0</v>
      </c>
      <c r="G54" s="1"/>
      <c r="H54" s="1">
        <f>SUM(OSRRefH22_8x_0)</f>
        <v>2083</v>
      </c>
      <c r="I54" s="1"/>
      <c r="J54" s="5">
        <f t="shared" ref="J54:J57" si="25">IF(H$12=0,0,H54/H$12)</f>
        <v>0</v>
      </c>
      <c r="K54" s="1"/>
      <c r="L54" s="1">
        <f t="shared" ref="L54:L57" si="26">+D54-H54</f>
        <v>1094.3000000000002</v>
      </c>
      <c r="M54" s="1"/>
      <c r="N54" s="5">
        <f t="shared" ref="N54:N57" si="27">IF(H54=0,0,L54/H54)</f>
        <v>0.5253480556889103</v>
      </c>
      <c r="O54" s="14"/>
      <c r="P54" s="1">
        <f>SUM(OSRRefP22_8x_0)</f>
        <v>8819.880000000001</v>
      </c>
      <c r="Q54" s="1"/>
      <c r="R54" s="5">
        <f t="shared" ref="R54:R57" si="28">IF(P$12=0,0,P54/P$12)</f>
        <v>0</v>
      </c>
      <c r="S54" s="1"/>
      <c r="T54" s="1">
        <f>SUM(OSRRefT22_8x_0)</f>
        <v>14581</v>
      </c>
      <c r="U54" s="1"/>
      <c r="V54" s="5">
        <f t="shared" ref="V54:V57" si="29">IF(T$12=0,0,T54/T$12)</f>
        <v>0</v>
      </c>
      <c r="W54" s="1"/>
      <c r="X54" s="1">
        <f t="shared" ref="X54:X57" si="30">+P54-T54</f>
        <v>-5761.119999999999</v>
      </c>
      <c r="Y54" s="1"/>
      <c r="Z54" s="5">
        <f t="shared" ref="Z54:Z57" si="31">IF(T54=0,0,X54/T54)</f>
        <v>-0.39511144640285295</v>
      </c>
    </row>
    <row r="55" spans="1:26" s="24" customFormat="1" hidden="1" outlineLevel="2" x14ac:dyDescent="0.35">
      <c r="A55" s="29"/>
      <c r="B55" s="11" t="str">
        <f>CONCATENATE("          ", "6332", " - ", "CONSULTANT FEES")</f>
        <v xml:space="preserve">          6332 - CONSULTANT FEES</v>
      </c>
      <c r="C55" s="11"/>
      <c r="D55" s="7"/>
      <c r="E55" s="2"/>
      <c r="F55" s="6">
        <f t="shared" si="24"/>
        <v>0</v>
      </c>
      <c r="G55" s="2"/>
      <c r="H55" s="7">
        <v>0</v>
      </c>
      <c r="I55" s="2"/>
      <c r="J55" s="6">
        <f t="shared" si="25"/>
        <v>0</v>
      </c>
      <c r="K55" s="2"/>
      <c r="L55" s="7">
        <f t="shared" si="26"/>
        <v>0</v>
      </c>
      <c r="M55" s="2"/>
      <c r="N55" s="6">
        <f t="shared" si="27"/>
        <v>0</v>
      </c>
      <c r="O55" s="11"/>
      <c r="P55" s="7"/>
      <c r="Q55" s="2"/>
      <c r="R55" s="6">
        <f t="shared" si="28"/>
        <v>0</v>
      </c>
      <c r="S55" s="2"/>
      <c r="T55" s="7">
        <v>0</v>
      </c>
      <c r="U55" s="2"/>
      <c r="V55" s="6">
        <f t="shared" si="29"/>
        <v>0</v>
      </c>
      <c r="W55" s="2"/>
      <c r="X55" s="7">
        <f t="shared" si="30"/>
        <v>0</v>
      </c>
      <c r="Y55" s="2"/>
      <c r="Z55" s="6">
        <f t="shared" si="31"/>
        <v>0</v>
      </c>
    </row>
    <row r="56" spans="1:26" s="24" customFormat="1" hidden="1" outlineLevel="2" x14ac:dyDescent="0.35">
      <c r="A56" s="29"/>
      <c r="B56" s="11" t="str">
        <f>CONCATENATE("          ", "6334", " - ", "LEGAL COUNCIL EXPENSE")</f>
        <v xml:space="preserve">          6334 - LEGAL COUNCIL EXPENSE</v>
      </c>
      <c r="C56" s="11"/>
      <c r="D56" s="7">
        <v>1225</v>
      </c>
      <c r="E56" s="2"/>
      <c r="F56" s="6">
        <f t="shared" si="24"/>
        <v>0</v>
      </c>
      <c r="G56" s="2"/>
      <c r="H56" s="7">
        <v>833</v>
      </c>
      <c r="I56" s="2"/>
      <c r="J56" s="6">
        <f t="shared" si="25"/>
        <v>0</v>
      </c>
      <c r="K56" s="2"/>
      <c r="L56" s="7">
        <f t="shared" si="26"/>
        <v>392</v>
      </c>
      <c r="M56" s="2"/>
      <c r="N56" s="6">
        <f t="shared" si="27"/>
        <v>0.47058823529411764</v>
      </c>
      <c r="O56" s="11"/>
      <c r="P56" s="7">
        <v>2450</v>
      </c>
      <c r="Q56" s="2"/>
      <c r="R56" s="6">
        <f t="shared" si="28"/>
        <v>0</v>
      </c>
      <c r="S56" s="2"/>
      <c r="T56" s="7">
        <v>5831</v>
      </c>
      <c r="U56" s="2"/>
      <c r="V56" s="6">
        <f t="shared" si="29"/>
        <v>0</v>
      </c>
      <c r="W56" s="2"/>
      <c r="X56" s="7">
        <f t="shared" si="30"/>
        <v>-3381</v>
      </c>
      <c r="Y56" s="2"/>
      <c r="Z56" s="6">
        <f t="shared" si="31"/>
        <v>-0.57983193277310929</v>
      </c>
    </row>
    <row r="57" spans="1:26" s="24" customFormat="1" hidden="1" outlineLevel="2" x14ac:dyDescent="0.35">
      <c r="A57" s="29"/>
      <c r="B57" s="11" t="str">
        <f>CONCATENATE("          ", "6336", " - ", "PROFESSIONAL SERVICES")</f>
        <v xml:space="preserve">          6336 - PROFESSIONAL SERVICES</v>
      </c>
      <c r="C57" s="11"/>
      <c r="D57" s="7">
        <v>1952.3</v>
      </c>
      <c r="E57" s="2"/>
      <c r="F57" s="6">
        <f t="shared" si="24"/>
        <v>0</v>
      </c>
      <c r="G57" s="2"/>
      <c r="H57" s="7">
        <v>1250</v>
      </c>
      <c r="I57" s="2"/>
      <c r="J57" s="6">
        <f t="shared" si="25"/>
        <v>0</v>
      </c>
      <c r="K57" s="2"/>
      <c r="L57" s="7">
        <f t="shared" si="26"/>
        <v>702.3</v>
      </c>
      <c r="M57" s="2"/>
      <c r="N57" s="6">
        <f t="shared" si="27"/>
        <v>0.56184000000000001</v>
      </c>
      <c r="O57" s="11"/>
      <c r="P57" s="7">
        <v>6369.88</v>
      </c>
      <c r="Q57" s="2"/>
      <c r="R57" s="6">
        <f t="shared" si="28"/>
        <v>0</v>
      </c>
      <c r="S57" s="2"/>
      <c r="T57" s="7">
        <v>8750</v>
      </c>
      <c r="U57" s="2"/>
      <c r="V57" s="6">
        <f t="shared" si="29"/>
        <v>0</v>
      </c>
      <c r="W57" s="2"/>
      <c r="X57" s="7">
        <f t="shared" si="30"/>
        <v>-2380.12</v>
      </c>
      <c r="Y57" s="2"/>
      <c r="Z57" s="6">
        <f t="shared" si="31"/>
        <v>-0.27201371428571425</v>
      </c>
    </row>
    <row r="58" spans="1:26" s="28" customFormat="1" outlineLevel="1" collapsed="1" x14ac:dyDescent="0.35">
      <c r="A58" s="27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SUM(OSRRefD22_9x_0)</f>
        <v>4075.7</v>
      </c>
      <c r="E58" s="1"/>
      <c r="F58" s="5">
        <f t="shared" ref="F58:F60" si="32">IF(D$12=0,0,D58/D$12)</f>
        <v>0</v>
      </c>
      <c r="G58" s="1"/>
      <c r="H58" s="1">
        <f>SUM(OSRRefH22_9x_0)</f>
        <v>7083</v>
      </c>
      <c r="I58" s="1"/>
      <c r="J58" s="5">
        <f t="shared" ref="J58:J60" si="33">IF(H$12=0,0,H58/H$12)</f>
        <v>0</v>
      </c>
      <c r="K58" s="1"/>
      <c r="L58" s="1">
        <f t="shared" ref="L58:L60" si="34">+D58-H58</f>
        <v>-3007.3</v>
      </c>
      <c r="M58" s="1"/>
      <c r="N58" s="5">
        <f t="shared" ref="N58:N60" si="35">IF(H58=0,0,L58/H58)</f>
        <v>-0.424579980234364</v>
      </c>
      <c r="O58" s="14"/>
      <c r="P58" s="1">
        <f>SUM(OSRRefP22_9x_0)</f>
        <v>29015.29</v>
      </c>
      <c r="Q58" s="1"/>
      <c r="R58" s="5">
        <f t="shared" ref="R58:R60" si="36">IF(P$12=0,0,P58/P$12)</f>
        <v>0</v>
      </c>
      <c r="S58" s="1"/>
      <c r="T58" s="1">
        <f>SUM(OSRRefT22_9x_0)</f>
        <v>49581</v>
      </c>
      <c r="U58" s="1"/>
      <c r="V58" s="5">
        <f t="shared" ref="V58:V60" si="37">IF(T$12=0,0,T58/T$12)</f>
        <v>0</v>
      </c>
      <c r="W58" s="1"/>
      <c r="X58" s="1">
        <f t="shared" ref="X58:X60" si="38">+P58-T58</f>
        <v>-20565.71</v>
      </c>
      <c r="Y58" s="1"/>
      <c r="Z58" s="5">
        <f t="shared" ref="Z58:Z60" si="39">IF(T58=0,0,X58/T58)</f>
        <v>-0.41479014138480463</v>
      </c>
    </row>
    <row r="59" spans="1:26" s="24" customFormat="1" hidden="1" outlineLevel="2" x14ac:dyDescent="0.35">
      <c r="A59" s="29"/>
      <c r="B59" s="11" t="str">
        <f>CONCATENATE("          ", "6371", " - ", "COMPUTER SOFTWARE MAINTENANCE")</f>
        <v xml:space="preserve">          6371 - COMPUTER SOFTWARE MAINTENANCE</v>
      </c>
      <c r="C59" s="11"/>
      <c r="D59" s="7">
        <v>4075.7</v>
      </c>
      <c r="E59" s="2"/>
      <c r="F59" s="6">
        <f t="shared" si="32"/>
        <v>0</v>
      </c>
      <c r="G59" s="2"/>
      <c r="H59" s="7">
        <v>7083</v>
      </c>
      <c r="I59" s="2"/>
      <c r="J59" s="6">
        <f t="shared" si="33"/>
        <v>0</v>
      </c>
      <c r="K59" s="2"/>
      <c r="L59" s="7">
        <f t="shared" si="34"/>
        <v>-3007.3</v>
      </c>
      <c r="M59" s="2"/>
      <c r="N59" s="6">
        <f t="shared" si="35"/>
        <v>-0.424579980234364</v>
      </c>
      <c r="O59" s="11"/>
      <c r="P59" s="7">
        <v>28957.200000000001</v>
      </c>
      <c r="Q59" s="2"/>
      <c r="R59" s="6">
        <f t="shared" si="36"/>
        <v>0</v>
      </c>
      <c r="S59" s="2"/>
      <c r="T59" s="7">
        <v>49581</v>
      </c>
      <c r="U59" s="2"/>
      <c r="V59" s="6">
        <f t="shared" si="37"/>
        <v>0</v>
      </c>
      <c r="W59" s="2"/>
      <c r="X59" s="7">
        <f t="shared" si="38"/>
        <v>-20623.8</v>
      </c>
      <c r="Y59" s="2"/>
      <c r="Z59" s="6">
        <f t="shared" si="39"/>
        <v>-0.41596175954498699</v>
      </c>
    </row>
    <row r="60" spans="1:26" s="24" customFormat="1" hidden="1" outlineLevel="2" x14ac:dyDescent="0.35">
      <c r="A60" s="29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6">
        <f t="shared" si="32"/>
        <v>0</v>
      </c>
      <c r="G60" s="2"/>
      <c r="H60" s="7"/>
      <c r="I60" s="2"/>
      <c r="J60" s="6">
        <f t="shared" si="33"/>
        <v>0</v>
      </c>
      <c r="K60" s="2"/>
      <c r="L60" s="7">
        <f t="shared" si="34"/>
        <v>0</v>
      </c>
      <c r="M60" s="2"/>
      <c r="N60" s="6">
        <f t="shared" si="35"/>
        <v>0</v>
      </c>
      <c r="O60" s="11"/>
      <c r="P60" s="7">
        <v>58.09</v>
      </c>
      <c r="Q60" s="2"/>
      <c r="R60" s="6">
        <f t="shared" si="36"/>
        <v>0</v>
      </c>
      <c r="S60" s="2"/>
      <c r="T60" s="7"/>
      <c r="U60" s="2"/>
      <c r="V60" s="6">
        <f t="shared" si="37"/>
        <v>0</v>
      </c>
      <c r="W60" s="2"/>
      <c r="X60" s="7">
        <f t="shared" si="38"/>
        <v>58.09</v>
      </c>
      <c r="Y60" s="2"/>
      <c r="Z60" s="6">
        <f t="shared" si="39"/>
        <v>0</v>
      </c>
    </row>
    <row r="61" spans="1:26" s="28" customFormat="1" outlineLevel="1" collapsed="1" x14ac:dyDescent="0.35">
      <c r="A61" s="27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1">
        <f>SUM(OSRRefD22_10x_0)</f>
        <v>0</v>
      </c>
      <c r="E61" s="1"/>
      <c r="F61" s="5">
        <f t="shared" ref="F61:F66" si="40">IF(D$12=0,0,D61/D$12)</f>
        <v>0</v>
      </c>
      <c r="G61" s="1"/>
      <c r="H61" s="1">
        <f>SUM(OSRRefH22_10x_0)</f>
        <v>55</v>
      </c>
      <c r="I61" s="1"/>
      <c r="J61" s="5">
        <f t="shared" ref="J61:J66" si="41">IF(H$12=0,0,H61/H$12)</f>
        <v>0</v>
      </c>
      <c r="K61" s="1"/>
      <c r="L61" s="1">
        <f t="shared" ref="L61:L66" si="42">+D61-H61</f>
        <v>-55</v>
      </c>
      <c r="M61" s="1"/>
      <c r="N61" s="5">
        <f t="shared" ref="N61:N66" si="43">IF(H61=0,0,L61/H61)</f>
        <v>-1</v>
      </c>
      <c r="O61" s="14"/>
      <c r="P61" s="1">
        <f>SUM(OSRRefP22_10x_0)</f>
        <v>534.99</v>
      </c>
      <c r="Q61" s="1"/>
      <c r="R61" s="5">
        <f t="shared" ref="R61:R66" si="44">IF(P$12=0,0,P61/P$12)</f>
        <v>0</v>
      </c>
      <c r="S61" s="1"/>
      <c r="T61" s="1">
        <f>SUM(OSRRefT22_10x_0)</f>
        <v>385</v>
      </c>
      <c r="U61" s="1"/>
      <c r="V61" s="5">
        <f t="shared" ref="V61:V66" si="45">IF(T$12=0,0,T61/T$12)</f>
        <v>0</v>
      </c>
      <c r="W61" s="1"/>
      <c r="X61" s="1">
        <f t="shared" ref="X61:X66" si="46">+P61-T61</f>
        <v>149.99</v>
      </c>
      <c r="Y61" s="1"/>
      <c r="Z61" s="5">
        <f t="shared" ref="Z61:Z66" si="47">IF(T61=0,0,X61/T61)</f>
        <v>0.38958441558441559</v>
      </c>
    </row>
    <row r="62" spans="1:26" s="24" customFormat="1" hidden="1" outlineLevel="2" x14ac:dyDescent="0.35">
      <c r="A62" s="29"/>
      <c r="B62" s="11" t="str">
        <f>CONCATENATE("          ", "6258", " - ", "MEMBERSHIP DUES")</f>
        <v xml:space="preserve">          6258 - MEMBERSHIP DUES</v>
      </c>
      <c r="C62" s="11"/>
      <c r="D62" s="7"/>
      <c r="E62" s="2"/>
      <c r="F62" s="6">
        <f t="shared" si="40"/>
        <v>0</v>
      </c>
      <c r="G62" s="2"/>
      <c r="H62" s="7">
        <v>55</v>
      </c>
      <c r="I62" s="2"/>
      <c r="J62" s="6">
        <f t="shared" si="41"/>
        <v>0</v>
      </c>
      <c r="K62" s="2"/>
      <c r="L62" s="7">
        <f t="shared" si="42"/>
        <v>-55</v>
      </c>
      <c r="M62" s="2"/>
      <c r="N62" s="6">
        <f t="shared" si="43"/>
        <v>-1</v>
      </c>
      <c r="O62" s="11"/>
      <c r="P62" s="7">
        <v>534.99</v>
      </c>
      <c r="Q62" s="2"/>
      <c r="R62" s="6">
        <f t="shared" si="44"/>
        <v>0</v>
      </c>
      <c r="S62" s="2"/>
      <c r="T62" s="7">
        <v>385</v>
      </c>
      <c r="U62" s="2"/>
      <c r="V62" s="6">
        <f t="shared" si="45"/>
        <v>0</v>
      </c>
      <c r="W62" s="2"/>
      <c r="X62" s="7">
        <f t="shared" si="46"/>
        <v>149.99</v>
      </c>
      <c r="Y62" s="2"/>
      <c r="Z62" s="6">
        <f t="shared" si="47"/>
        <v>0.38958441558441559</v>
      </c>
    </row>
    <row r="63" spans="1:26" s="28" customFormat="1" outlineLevel="1" collapsed="1" x14ac:dyDescent="0.35">
      <c r="A63" s="27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SUM(OSRRefD22_11x_0)</f>
        <v>684</v>
      </c>
      <c r="E63" s="1"/>
      <c r="F63" s="5">
        <f t="shared" si="40"/>
        <v>0</v>
      </c>
      <c r="G63" s="1"/>
      <c r="H63" s="1">
        <f>SUM(OSRRefH22_11x_0)</f>
        <v>2084</v>
      </c>
      <c r="I63" s="1"/>
      <c r="J63" s="5">
        <f t="shared" si="41"/>
        <v>0</v>
      </c>
      <c r="K63" s="1"/>
      <c r="L63" s="1">
        <f t="shared" si="42"/>
        <v>-1400</v>
      </c>
      <c r="M63" s="1"/>
      <c r="N63" s="5">
        <f t="shared" si="43"/>
        <v>-0.67178502879078694</v>
      </c>
      <c r="O63" s="14"/>
      <c r="P63" s="1">
        <f>SUM(OSRRefP22_11x_0)</f>
        <v>2198.85</v>
      </c>
      <c r="Q63" s="1"/>
      <c r="R63" s="5">
        <f t="shared" si="44"/>
        <v>0</v>
      </c>
      <c r="S63" s="1"/>
      <c r="T63" s="1">
        <f>SUM(OSRRefT22_11x_0)</f>
        <v>14588</v>
      </c>
      <c r="U63" s="1"/>
      <c r="V63" s="5">
        <f t="shared" si="45"/>
        <v>0</v>
      </c>
      <c r="W63" s="1"/>
      <c r="X63" s="1">
        <f t="shared" si="46"/>
        <v>-12389.15</v>
      </c>
      <c r="Y63" s="1"/>
      <c r="Z63" s="5">
        <f t="shared" si="47"/>
        <v>-0.84926994790238552</v>
      </c>
    </row>
    <row r="64" spans="1:26" s="24" customFormat="1" hidden="1" outlineLevel="2" x14ac:dyDescent="0.35">
      <c r="A64" s="29"/>
      <c r="B64" s="11" t="str">
        <f>CONCATENATE("          ", "6235", " - ", "COVID-19 EXPENSES")</f>
        <v xml:space="preserve">          6235 - COVID-19 EXPENSES</v>
      </c>
      <c r="C64" s="11"/>
      <c r="D64" s="7"/>
      <c r="E64" s="2"/>
      <c r="F64" s="6">
        <f t="shared" si="40"/>
        <v>0</v>
      </c>
      <c r="G64" s="2"/>
      <c r="H64" s="7">
        <v>417</v>
      </c>
      <c r="I64" s="2"/>
      <c r="J64" s="6">
        <f t="shared" si="41"/>
        <v>0</v>
      </c>
      <c r="K64" s="2"/>
      <c r="L64" s="7">
        <f t="shared" si="42"/>
        <v>-417</v>
      </c>
      <c r="M64" s="2"/>
      <c r="N64" s="6">
        <f t="shared" si="43"/>
        <v>-1</v>
      </c>
      <c r="O64" s="11"/>
      <c r="P64" s="7">
        <v>210.58</v>
      </c>
      <c r="Q64" s="2"/>
      <c r="R64" s="6">
        <f t="shared" si="44"/>
        <v>0</v>
      </c>
      <c r="S64" s="2"/>
      <c r="T64" s="7">
        <v>2919</v>
      </c>
      <c r="U64" s="2"/>
      <c r="V64" s="6">
        <f t="shared" si="45"/>
        <v>0</v>
      </c>
      <c r="W64" s="2"/>
      <c r="X64" s="7">
        <f t="shared" si="46"/>
        <v>-2708.42</v>
      </c>
      <c r="Y64" s="2"/>
      <c r="Z64" s="6">
        <f t="shared" si="47"/>
        <v>-0.92785885577252492</v>
      </c>
    </row>
    <row r="65" spans="1:26" s="24" customFormat="1" hidden="1" outlineLevel="2" x14ac:dyDescent="0.35">
      <c r="A65" s="29"/>
      <c r="B65" s="11" t="str">
        <f>CONCATENATE("          ", "6241", " - ", "OFFICE EXPENSE")</f>
        <v xml:space="preserve">          6241 - OFFICE EXPENSE</v>
      </c>
      <c r="C65" s="11"/>
      <c r="D65" s="7">
        <v>684</v>
      </c>
      <c r="E65" s="2"/>
      <c r="F65" s="6">
        <f t="shared" si="40"/>
        <v>0</v>
      </c>
      <c r="G65" s="2"/>
      <c r="H65" s="7">
        <v>1250</v>
      </c>
      <c r="I65" s="2"/>
      <c r="J65" s="6">
        <f t="shared" si="41"/>
        <v>0</v>
      </c>
      <c r="K65" s="2"/>
      <c r="L65" s="7">
        <f t="shared" si="42"/>
        <v>-566</v>
      </c>
      <c r="M65" s="2"/>
      <c r="N65" s="6">
        <f t="shared" si="43"/>
        <v>-0.45279999999999998</v>
      </c>
      <c r="O65" s="11"/>
      <c r="P65" s="7">
        <v>1765.56</v>
      </c>
      <c r="Q65" s="2"/>
      <c r="R65" s="6">
        <f t="shared" si="44"/>
        <v>0</v>
      </c>
      <c r="S65" s="2"/>
      <c r="T65" s="7">
        <v>8750</v>
      </c>
      <c r="U65" s="2"/>
      <c r="V65" s="6">
        <f t="shared" si="45"/>
        <v>0</v>
      </c>
      <c r="W65" s="2"/>
      <c r="X65" s="7">
        <f t="shared" si="46"/>
        <v>-6984.4400000000005</v>
      </c>
      <c r="Y65" s="2"/>
      <c r="Z65" s="6">
        <f t="shared" si="47"/>
        <v>-0.79822171428571431</v>
      </c>
    </row>
    <row r="66" spans="1:26" s="24" customFormat="1" hidden="1" outlineLevel="2" x14ac:dyDescent="0.35">
      <c r="A66" s="29"/>
      <c r="B66" s="11" t="str">
        <f>CONCATENATE("          ", "6244", " - ", "SAFETY SUPPLY EXPENSE")</f>
        <v xml:space="preserve">          6244 - SAFETY SUPPLY EXPENSE</v>
      </c>
      <c r="C66" s="11"/>
      <c r="D66" s="7"/>
      <c r="E66" s="2"/>
      <c r="F66" s="6">
        <f t="shared" si="40"/>
        <v>0</v>
      </c>
      <c r="G66" s="2"/>
      <c r="H66" s="7">
        <v>417</v>
      </c>
      <c r="I66" s="2"/>
      <c r="J66" s="6">
        <f t="shared" si="41"/>
        <v>0</v>
      </c>
      <c r="K66" s="2"/>
      <c r="L66" s="7">
        <f t="shared" si="42"/>
        <v>-417</v>
      </c>
      <c r="M66" s="2"/>
      <c r="N66" s="6">
        <f t="shared" si="43"/>
        <v>-1</v>
      </c>
      <c r="O66" s="11"/>
      <c r="P66" s="7">
        <v>222.71</v>
      </c>
      <c r="Q66" s="2"/>
      <c r="R66" s="6">
        <f t="shared" si="44"/>
        <v>0</v>
      </c>
      <c r="S66" s="2"/>
      <c r="T66" s="7">
        <v>2919</v>
      </c>
      <c r="U66" s="2"/>
      <c r="V66" s="6">
        <f t="shared" si="45"/>
        <v>0</v>
      </c>
      <c r="W66" s="2"/>
      <c r="X66" s="7">
        <f t="shared" si="46"/>
        <v>-2696.29</v>
      </c>
      <c r="Y66" s="2"/>
      <c r="Z66" s="6">
        <f t="shared" si="47"/>
        <v>-0.92370332305584102</v>
      </c>
    </row>
    <row r="67" spans="1:26" s="28" customFormat="1" outlineLevel="1" collapsed="1" x14ac:dyDescent="0.35">
      <c r="A67" s="27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SUM(OSRRefD22_12x_0)</f>
        <v>277.55</v>
      </c>
      <c r="E67" s="1"/>
      <c r="F67" s="5">
        <f t="shared" ref="F67:F72" si="48">IF(D$12=0,0,D67/D$12)</f>
        <v>0</v>
      </c>
      <c r="G67" s="1"/>
      <c r="H67" s="1">
        <f>SUM(OSRRefH22_12x_0)</f>
        <v>290</v>
      </c>
      <c r="I67" s="1"/>
      <c r="J67" s="5">
        <f t="shared" ref="J67:J72" si="49">IF(H$12=0,0,H67/H$12)</f>
        <v>0</v>
      </c>
      <c r="K67" s="1"/>
      <c r="L67" s="1">
        <f t="shared" ref="L67:L72" si="50">+D67-H67</f>
        <v>-12.449999999999989</v>
      </c>
      <c r="M67" s="1"/>
      <c r="N67" s="5">
        <f t="shared" ref="N67:N72" si="51">IF(H67=0,0,L67/H67)</f>
        <v>-4.2931034482758583E-2</v>
      </c>
      <c r="O67" s="14"/>
      <c r="P67" s="1">
        <f>SUM(OSRRefP22_12x_0)</f>
        <v>2258</v>
      </c>
      <c r="Q67" s="1"/>
      <c r="R67" s="5">
        <f t="shared" ref="R67:R72" si="52">IF(P$12=0,0,P67/P$12)</f>
        <v>0</v>
      </c>
      <c r="S67" s="1"/>
      <c r="T67" s="1">
        <f>SUM(OSRRefT22_12x_0)</f>
        <v>2030</v>
      </c>
      <c r="U67" s="1"/>
      <c r="V67" s="5">
        <f t="shared" ref="V67:V72" si="53">IF(T$12=0,0,T67/T$12)</f>
        <v>0</v>
      </c>
      <c r="W67" s="1"/>
      <c r="X67" s="1">
        <f t="shared" ref="X67:X72" si="54">+P67-T67</f>
        <v>228</v>
      </c>
      <c r="Y67" s="1"/>
      <c r="Z67" s="5">
        <f t="shared" ref="Z67:Z72" si="55">IF(T67=0,0,X67/T67)</f>
        <v>0.1123152709359606</v>
      </c>
    </row>
    <row r="68" spans="1:26" s="24" customFormat="1" hidden="1" outlineLevel="2" x14ac:dyDescent="0.35">
      <c r="A68" s="29"/>
      <c r="B68" s="11" t="str">
        <f>CONCATENATE("          ", "6309", " - ", "TELEPHONE")</f>
        <v xml:space="preserve">          6309 - TELEPHONE</v>
      </c>
      <c r="C68" s="11"/>
      <c r="D68" s="7">
        <v>277.55</v>
      </c>
      <c r="E68" s="2"/>
      <c r="F68" s="6">
        <f t="shared" si="48"/>
        <v>0</v>
      </c>
      <c r="G68" s="2"/>
      <c r="H68" s="7">
        <v>290</v>
      </c>
      <c r="I68" s="2"/>
      <c r="J68" s="6">
        <f t="shared" si="49"/>
        <v>0</v>
      </c>
      <c r="K68" s="2"/>
      <c r="L68" s="7">
        <f t="shared" si="50"/>
        <v>-12.449999999999989</v>
      </c>
      <c r="M68" s="2"/>
      <c r="N68" s="6">
        <f t="shared" si="51"/>
        <v>-4.2931034482758583E-2</v>
      </c>
      <c r="O68" s="11"/>
      <c r="P68" s="7">
        <v>2258</v>
      </c>
      <c r="Q68" s="2"/>
      <c r="R68" s="6">
        <f t="shared" si="52"/>
        <v>0</v>
      </c>
      <c r="S68" s="2"/>
      <c r="T68" s="7">
        <v>2030</v>
      </c>
      <c r="U68" s="2"/>
      <c r="V68" s="6">
        <f t="shared" si="53"/>
        <v>0</v>
      </c>
      <c r="W68" s="2"/>
      <c r="X68" s="7">
        <f t="shared" si="54"/>
        <v>228</v>
      </c>
      <c r="Y68" s="2"/>
      <c r="Z68" s="6">
        <f t="shared" si="55"/>
        <v>0.1123152709359606</v>
      </c>
    </row>
    <row r="69" spans="1:26" s="28" customFormat="1" outlineLevel="1" collapsed="1" x14ac:dyDescent="0.35">
      <c r="A69" s="27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SUM(OSRRefD22_13x_0)</f>
        <v>0</v>
      </c>
      <c r="E69" s="1"/>
      <c r="F69" s="5">
        <f t="shared" si="48"/>
        <v>0</v>
      </c>
      <c r="G69" s="1"/>
      <c r="H69" s="1">
        <f>SUM(OSRRefH22_13x_0)</f>
        <v>946</v>
      </c>
      <c r="I69" s="1"/>
      <c r="J69" s="5">
        <f t="shared" si="49"/>
        <v>0</v>
      </c>
      <c r="K69" s="1"/>
      <c r="L69" s="1">
        <f t="shared" si="50"/>
        <v>-946</v>
      </c>
      <c r="M69" s="1"/>
      <c r="N69" s="5">
        <f t="shared" si="51"/>
        <v>-1</v>
      </c>
      <c r="O69" s="14"/>
      <c r="P69" s="1">
        <f>SUM(OSRRefP22_13x_0)</f>
        <v>-97</v>
      </c>
      <c r="Q69" s="1"/>
      <c r="R69" s="5">
        <f t="shared" si="52"/>
        <v>0</v>
      </c>
      <c r="S69" s="1"/>
      <c r="T69" s="1">
        <f>SUM(OSRRefT22_13x_0)</f>
        <v>6622</v>
      </c>
      <c r="U69" s="1"/>
      <c r="V69" s="5">
        <f t="shared" si="53"/>
        <v>0</v>
      </c>
      <c r="W69" s="1"/>
      <c r="X69" s="1">
        <f t="shared" si="54"/>
        <v>-6719</v>
      </c>
      <c r="Y69" s="1"/>
      <c r="Z69" s="5">
        <f t="shared" si="55"/>
        <v>-1.0146481425551193</v>
      </c>
    </row>
    <row r="70" spans="1:26" s="24" customFormat="1" hidden="1" outlineLevel="2" x14ac:dyDescent="0.35">
      <c r="A70" s="29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48"/>
        <v>0</v>
      </c>
      <c r="G70" s="2"/>
      <c r="H70" s="7">
        <v>946</v>
      </c>
      <c r="I70" s="2"/>
      <c r="J70" s="6">
        <f t="shared" si="49"/>
        <v>0</v>
      </c>
      <c r="K70" s="2"/>
      <c r="L70" s="7">
        <f t="shared" si="50"/>
        <v>-946</v>
      </c>
      <c r="M70" s="2"/>
      <c r="N70" s="6">
        <f t="shared" si="51"/>
        <v>-1</v>
      </c>
      <c r="O70" s="11"/>
      <c r="P70" s="7">
        <v>-97</v>
      </c>
      <c r="Q70" s="2"/>
      <c r="R70" s="6">
        <f t="shared" si="52"/>
        <v>0</v>
      </c>
      <c r="S70" s="2"/>
      <c r="T70" s="7">
        <v>6622</v>
      </c>
      <c r="U70" s="2"/>
      <c r="V70" s="6">
        <f t="shared" si="53"/>
        <v>0</v>
      </c>
      <c r="W70" s="2"/>
      <c r="X70" s="7">
        <f t="shared" si="54"/>
        <v>-6719</v>
      </c>
      <c r="Y70" s="2"/>
      <c r="Z70" s="6">
        <f t="shared" si="55"/>
        <v>-1.0146481425551193</v>
      </c>
    </row>
    <row r="71" spans="1:26" s="28" customFormat="1" outlineLevel="1" collapsed="1" x14ac:dyDescent="0.35">
      <c r="A71" s="27"/>
      <c r="B71" s="14" t="str">
        <f>CONCATENATE("     ","Travel                                            ")</f>
        <v xml:space="preserve">     Travel                                            </v>
      </c>
      <c r="C71" s="14"/>
      <c r="D71" s="1">
        <f>SUM(OSRRefD22_14x_0)</f>
        <v>0</v>
      </c>
      <c r="E71" s="1"/>
      <c r="F71" s="5">
        <f t="shared" si="48"/>
        <v>0</v>
      </c>
      <c r="G71" s="1"/>
      <c r="H71" s="1">
        <f>SUM(OSRRefH22_14x_0)</f>
        <v>0</v>
      </c>
      <c r="I71" s="1"/>
      <c r="J71" s="5">
        <f t="shared" si="49"/>
        <v>0</v>
      </c>
      <c r="K71" s="1"/>
      <c r="L71" s="1">
        <f t="shared" si="50"/>
        <v>0</v>
      </c>
      <c r="M71" s="1"/>
      <c r="N71" s="5">
        <f t="shared" si="51"/>
        <v>0</v>
      </c>
      <c r="O71" s="14"/>
      <c r="P71" s="1">
        <f>SUM(OSRRefP22_14x_0)</f>
        <v>720</v>
      </c>
      <c r="Q71" s="1"/>
      <c r="R71" s="5">
        <f t="shared" si="52"/>
        <v>0</v>
      </c>
      <c r="S71" s="1"/>
      <c r="T71" s="1">
        <f>SUM(OSRRefT22_14x_0)</f>
        <v>0</v>
      </c>
      <c r="U71" s="1"/>
      <c r="V71" s="5">
        <f t="shared" si="53"/>
        <v>0</v>
      </c>
      <c r="W71" s="1"/>
      <c r="X71" s="1">
        <f t="shared" si="54"/>
        <v>720</v>
      </c>
      <c r="Y71" s="1"/>
      <c r="Z71" s="5">
        <f t="shared" si="55"/>
        <v>0</v>
      </c>
    </row>
    <row r="72" spans="1:26" s="24" customFormat="1" hidden="1" outlineLevel="2" x14ac:dyDescent="0.35">
      <c r="A72" s="29"/>
      <c r="B72" s="11" t="str">
        <f>CONCATENATE("          ", "6292", " - ", "TRAVEL/CONFERENCE")</f>
        <v xml:space="preserve">          6292 - TRAVEL/CONFERENCE</v>
      </c>
      <c r="C72" s="11"/>
      <c r="D72" s="7"/>
      <c r="E72" s="2"/>
      <c r="F72" s="6">
        <f t="shared" si="48"/>
        <v>0</v>
      </c>
      <c r="G72" s="2"/>
      <c r="H72" s="7"/>
      <c r="I72" s="2"/>
      <c r="J72" s="6">
        <f t="shared" si="49"/>
        <v>0</v>
      </c>
      <c r="K72" s="2"/>
      <c r="L72" s="7">
        <f t="shared" si="50"/>
        <v>0</v>
      </c>
      <c r="M72" s="2"/>
      <c r="N72" s="6">
        <f t="shared" si="51"/>
        <v>0</v>
      </c>
      <c r="O72" s="11"/>
      <c r="P72" s="7">
        <v>720</v>
      </c>
      <c r="Q72" s="2"/>
      <c r="R72" s="6">
        <f t="shared" si="52"/>
        <v>0</v>
      </c>
      <c r="S72" s="2"/>
      <c r="T72" s="7"/>
      <c r="U72" s="2"/>
      <c r="V72" s="6">
        <f t="shared" si="53"/>
        <v>0</v>
      </c>
      <c r="W72" s="2"/>
      <c r="X72" s="7">
        <f t="shared" si="54"/>
        <v>720</v>
      </c>
      <c r="Y72" s="2"/>
      <c r="Z72" s="6">
        <f t="shared" si="55"/>
        <v>0</v>
      </c>
    </row>
    <row r="73" spans="1:26" s="55" customFormat="1" x14ac:dyDescent="0.3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35">
      <c r="A74" s="10"/>
      <c r="B74" s="25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3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35">
      <c r="A76" s="10"/>
      <c r="B76" s="26" t="s">
        <v>3</v>
      </c>
      <c r="C76" s="26"/>
      <c r="D76" s="19">
        <f>+D16-D18+D74</f>
        <v>-51218.010000000009</v>
      </c>
      <c r="E76" s="13"/>
      <c r="F76" s="21">
        <f>IF(D$12=0,0,D76/D$12)</f>
        <v>0</v>
      </c>
      <c r="G76" s="13"/>
      <c r="H76" s="19">
        <f>+H16-H18+H74</f>
        <v>-58415.15723076927</v>
      </c>
      <c r="I76" s="13"/>
      <c r="J76" s="21">
        <f>IF(H$12=0,0,H76/H$12)</f>
        <v>0</v>
      </c>
      <c r="K76" s="16"/>
      <c r="L76" s="19">
        <f>+D76-H76</f>
        <v>7197.1472307692602</v>
      </c>
      <c r="M76" s="16"/>
      <c r="N76" s="21">
        <f>IF(H76=0,0,L76/H76)</f>
        <v>-0.12320684514015612</v>
      </c>
      <c r="O76" s="25"/>
      <c r="P76" s="19">
        <f>+P16-P18+P74</f>
        <v>-322847.12000000005</v>
      </c>
      <c r="Q76" s="13"/>
      <c r="R76" s="21">
        <f>IF(P$12=0,0,P76/P$12)</f>
        <v>0</v>
      </c>
      <c r="S76" s="13"/>
      <c r="T76" s="19">
        <f>+T16-T18+T74</f>
        <v>-376265.57483076939</v>
      </c>
      <c r="U76" s="13"/>
      <c r="V76" s="21">
        <f>IF(T$12=0,0,T76/T$12)</f>
        <v>0</v>
      </c>
      <c r="W76" s="16"/>
      <c r="X76" s="19">
        <f>+P76-T76</f>
        <v>53418.454830769333</v>
      </c>
      <c r="Y76" s="16"/>
      <c r="Z76" s="21">
        <f>IF(T76=0,0,X76/T76)</f>
        <v>-0.14197008284585966</v>
      </c>
    </row>
    <row r="77" spans="1:26" x14ac:dyDescent="0.3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35">
      <c r="A78" s="52"/>
      <c r="B78" s="10" t="s">
        <v>14</v>
      </c>
      <c r="C78" s="10"/>
      <c r="D78" s="4"/>
      <c r="E78" s="4"/>
      <c r="F78" s="12">
        <f>IF(D$12=0,0,D78/D$12)</f>
        <v>0</v>
      </c>
      <c r="G78" s="4"/>
      <c r="H78" s="4"/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/>
      <c r="Q78" s="4"/>
      <c r="R78" s="12">
        <f>IF(P$12=0,0,P78/P$12)</f>
        <v>0</v>
      </c>
      <c r="S78" s="4"/>
      <c r="T78" s="4"/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3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" thickBot="1" x14ac:dyDescent="0.4">
      <c r="A80" s="10"/>
      <c r="B80" s="26" t="s">
        <v>4</v>
      </c>
      <c r="C80" s="26"/>
      <c r="D80" s="33">
        <f>+D76-D78</f>
        <v>-51218.010000000009</v>
      </c>
      <c r="E80" s="13"/>
      <c r="F80" s="31">
        <f>IF(D$12=0,0,D80/D$12)</f>
        <v>0</v>
      </c>
      <c r="G80" s="13"/>
      <c r="H80" s="33">
        <f>+H76-H78</f>
        <v>-58415.15723076927</v>
      </c>
      <c r="I80" s="13"/>
      <c r="J80" s="31">
        <f>IF(H$12=0,0,H80/H$12)</f>
        <v>0</v>
      </c>
      <c r="K80" s="16"/>
      <c r="L80" s="33">
        <f>D80-H80</f>
        <v>7197.1472307692602</v>
      </c>
      <c r="M80" s="16"/>
      <c r="N80" s="31">
        <f>IF(H80=0,0,L80/H80)</f>
        <v>-0.12320684514015612</v>
      </c>
      <c r="O80" s="25"/>
      <c r="P80" s="33">
        <f>+P76-P78</f>
        <v>-322847.12000000005</v>
      </c>
      <c r="Q80" s="13"/>
      <c r="R80" s="31">
        <f>IF(P$12=0,0,P80/P$12)</f>
        <v>0</v>
      </c>
      <c r="S80" s="13"/>
      <c r="T80" s="33">
        <f>+T76-T78</f>
        <v>-376265.57483076939</v>
      </c>
      <c r="U80" s="13"/>
      <c r="V80" s="31">
        <f>IF(T$12=0,0,T80/T$12)</f>
        <v>0</v>
      </c>
      <c r="W80" s="16"/>
      <c r="X80" s="33">
        <f>P80-T80</f>
        <v>53418.454830769333</v>
      </c>
      <c r="Y80" s="16"/>
      <c r="Z80" s="31">
        <f>IF(T80=0,0,X80/T80)</f>
        <v>-0.14197008284585966</v>
      </c>
    </row>
    <row r="81" spans="1:26" ht="15" thickTop="1" x14ac:dyDescent="0.3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3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" thickBot="1" x14ac:dyDescent="0.4">
      <c r="A83" s="10"/>
      <c r="B83" s="26" t="s">
        <v>5</v>
      </c>
      <c r="C83" s="26"/>
      <c r="D83" s="34">
        <f>SUM(D80:D82)</f>
        <v>-51218.010000000009</v>
      </c>
      <c r="E83" s="13"/>
      <c r="F83" s="32">
        <f>IF(D$12=0,0,D83/D$12)</f>
        <v>0</v>
      </c>
      <c r="G83" s="13"/>
      <c r="H83" s="34">
        <f>SUM(H80:H82)</f>
        <v>-58415.15723076927</v>
      </c>
      <c r="I83" s="13"/>
      <c r="J83" s="32">
        <f>IF(H$12=0,0,H83/H$12)</f>
        <v>0</v>
      </c>
      <c r="K83" s="16"/>
      <c r="L83" s="34">
        <f>+D83-H83</f>
        <v>7197.1472307692602</v>
      </c>
      <c r="M83" s="16"/>
      <c r="N83" s="32">
        <f>IF(H83=0,0,L83/H83)</f>
        <v>-0.12320684514015612</v>
      </c>
      <c r="O83" s="25"/>
      <c r="P83" s="34">
        <f>SUM(P80:P82)</f>
        <v>-322847.12000000005</v>
      </c>
      <c r="Q83" s="13"/>
      <c r="R83" s="32">
        <f>IF(P$12=0,0,P83/P$12)</f>
        <v>0</v>
      </c>
      <c r="S83" s="13"/>
      <c r="T83" s="34">
        <f>SUM(T80:T82)</f>
        <v>-376265.57483076939</v>
      </c>
      <c r="U83" s="13"/>
      <c r="V83" s="32">
        <f>IF(T$12=0,0,T83/T$12)</f>
        <v>0</v>
      </c>
      <c r="W83" s="16"/>
      <c r="X83" s="34">
        <f>+P83-T83</f>
        <v>53418.454830769333</v>
      </c>
      <c r="Y83" s="16"/>
      <c r="Z83" s="32">
        <f>IF(T83=0,0,X83/T83)</f>
        <v>-0.14197008284585966</v>
      </c>
    </row>
    <row r="84" spans="1:26" ht="15" thickTop="1" x14ac:dyDescent="0.35">
      <c r="A84" s="9"/>
      <c r="C84" s="9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35">
      <c r="A85" s="9"/>
      <c r="B85" s="60">
        <v>44238.490296099539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35">
      <c r="A86" s="9"/>
      <c r="B86" s="59" t="s">
        <v>314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35">
      <c r="A87" s="9"/>
      <c r="B87" s="58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35"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74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","204", " - ", "Information Technology")</f>
        <v>Department 204 - Information Technology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6" t="s">
        <v>6</v>
      </c>
      <c r="C16" s="26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6"/>
      <c r="L16" s="19">
        <f>+D16-H16</f>
        <v>0</v>
      </c>
      <c r="M16" s="16"/>
      <c r="N16" s="21">
        <f>IF(H16=0,0,L16/H16)</f>
        <v>0</v>
      </c>
      <c r="O16" s="25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6"/>
      <c r="X16" s="19">
        <f>+P16-T16</f>
        <v>0</v>
      </c>
      <c r="Y16" s="16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5" t="s">
        <v>9</v>
      </c>
      <c r="C18" s="10"/>
      <c r="D18" s="20">
        <f>SUM(OSRRefD22x_0)</f>
        <v>50620.130000000005</v>
      </c>
      <c r="E18" s="20"/>
      <c r="F18" s="30">
        <f t="shared" ref="F18:F29" si="0">IF(D$12=0,0,D18/D$12)</f>
        <v>0</v>
      </c>
      <c r="G18" s="20"/>
      <c r="H18" s="20">
        <f>SUM(OSRRefH22x_0)</f>
        <v>57810.278538461578</v>
      </c>
      <c r="I18" s="20"/>
      <c r="J18" s="30">
        <f t="shared" ref="J18:J29" si="1">IF(H$12=0,0,H18/H$12)</f>
        <v>0</v>
      </c>
      <c r="K18" s="4"/>
      <c r="L18" s="20">
        <f t="shared" ref="L18:L29" si="2">+D18-H18</f>
        <v>-7190.1485384615735</v>
      </c>
      <c r="M18" s="4"/>
      <c r="N18" s="30">
        <f t="shared" ref="N18:N29" si="3">IF(H18=0,0,L18/H18)</f>
        <v>-0.12437491602255329</v>
      </c>
      <c r="O18" s="10"/>
      <c r="P18" s="20">
        <f>SUM(OSRRefP22x_0)</f>
        <v>357175.36999999994</v>
      </c>
      <c r="Q18" s="20"/>
      <c r="R18" s="30">
        <f t="shared" ref="R18:R29" si="4">IF(P$12=0,0,P18/P$12)</f>
        <v>0</v>
      </c>
      <c r="S18" s="20"/>
      <c r="T18" s="20">
        <f>SUM(OSRRefT22x_0)</f>
        <v>372063.49238461541</v>
      </c>
      <c r="U18" s="20"/>
      <c r="V18" s="30">
        <f t="shared" ref="V18:V29" si="5">IF(T$12=0,0,T18/T$12)</f>
        <v>0</v>
      </c>
      <c r="W18" s="4"/>
      <c r="X18" s="20">
        <f t="shared" ref="X18:X29" si="6">+P18-T18</f>
        <v>-14888.122384615475</v>
      </c>
      <c r="Y18" s="4"/>
      <c r="Z18" s="30">
        <f t="shared" ref="Z18:Z29" si="7">IF(T18=0,0,X18/T18)</f>
        <v>-4.001500466814166E-2</v>
      </c>
    </row>
    <row r="19" spans="1:26" s="28" customFormat="1" outlineLevel="1" collapsed="1" x14ac:dyDescent="0.3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11253.12</v>
      </c>
      <c r="E19" s="1"/>
      <c r="F19" s="5">
        <f t="shared" si="0"/>
        <v>0</v>
      </c>
      <c r="G19" s="1"/>
      <c r="H19" s="1">
        <f>SUM(OSRRefH22_0x_0)</f>
        <v>12561.43238461538</v>
      </c>
      <c r="I19" s="1"/>
      <c r="J19" s="5">
        <f t="shared" si="1"/>
        <v>0</v>
      </c>
      <c r="K19" s="1"/>
      <c r="L19" s="1">
        <f t="shared" si="2"/>
        <v>-1308.3123846153794</v>
      </c>
      <c r="M19" s="1"/>
      <c r="N19" s="5">
        <f t="shared" si="3"/>
        <v>-0.10415312080314468</v>
      </c>
      <c r="O19" s="14"/>
      <c r="P19" s="1">
        <f>SUM(OSRRefP22_0x_0)</f>
        <v>88342.05</v>
      </c>
      <c r="Q19" s="1"/>
      <c r="R19" s="5">
        <f t="shared" si="4"/>
        <v>0</v>
      </c>
      <c r="S19" s="1"/>
      <c r="T19" s="1">
        <f>SUM(OSRRefT22_0x_0)</f>
        <v>84307.646230769184</v>
      </c>
      <c r="U19" s="1"/>
      <c r="V19" s="5">
        <f t="shared" si="5"/>
        <v>0</v>
      </c>
      <c r="W19" s="1"/>
      <c r="X19" s="1">
        <f t="shared" si="6"/>
        <v>4034.4037692308193</v>
      </c>
      <c r="Y19" s="1"/>
      <c r="Z19" s="5">
        <f t="shared" si="7"/>
        <v>4.7853355532993289E-2</v>
      </c>
    </row>
    <row r="20" spans="1:26" s="24" customFormat="1" hidden="1" outlineLevel="2" x14ac:dyDescent="0.35">
      <c r="A20" s="29"/>
      <c r="B20" s="11" t="str">
        <f>CONCATENATE("          ", "6111", " - ", "F.I.C.A.")</f>
        <v xml:space="preserve">          6111 - F.I.C.A.</v>
      </c>
      <c r="C20" s="11"/>
      <c r="D20" s="7">
        <v>1417.14</v>
      </c>
      <c r="E20" s="2"/>
      <c r="F20" s="6">
        <f t="shared" si="0"/>
        <v>0</v>
      </c>
      <c r="G20" s="2"/>
      <c r="H20" s="7">
        <v>2029.2223846153802</v>
      </c>
      <c r="I20" s="2"/>
      <c r="J20" s="6">
        <f t="shared" si="1"/>
        <v>0</v>
      </c>
      <c r="K20" s="2"/>
      <c r="L20" s="7">
        <f t="shared" si="2"/>
        <v>-612.08238461538008</v>
      </c>
      <c r="M20" s="2"/>
      <c r="N20" s="6">
        <f t="shared" si="3"/>
        <v>-0.30163396050423252</v>
      </c>
      <c r="O20" s="11"/>
      <c r="P20" s="7">
        <v>12707.71</v>
      </c>
      <c r="Q20" s="2"/>
      <c r="R20" s="6">
        <f t="shared" si="4"/>
        <v>0</v>
      </c>
      <c r="S20" s="2"/>
      <c r="T20" s="7">
        <v>12896.482384615379</v>
      </c>
      <c r="U20" s="2"/>
      <c r="V20" s="6">
        <f t="shared" si="5"/>
        <v>0</v>
      </c>
      <c r="W20" s="2"/>
      <c r="X20" s="7">
        <f t="shared" si="6"/>
        <v>-188.77238461538036</v>
      </c>
      <c r="Y20" s="2"/>
      <c r="Z20" s="6">
        <f t="shared" si="7"/>
        <v>-1.4637509592582617E-2</v>
      </c>
    </row>
    <row r="21" spans="1:26" s="24" customFormat="1" hidden="1" outlineLevel="2" x14ac:dyDescent="0.3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-72.97</v>
      </c>
      <c r="E21" s="2"/>
      <c r="F21" s="6">
        <f t="shared" si="0"/>
        <v>0</v>
      </c>
      <c r="G21" s="2"/>
      <c r="H21" s="7">
        <v>87.500769230769208</v>
      </c>
      <c r="I21" s="2"/>
      <c r="J21" s="6">
        <f t="shared" si="1"/>
        <v>0</v>
      </c>
      <c r="K21" s="2"/>
      <c r="L21" s="7">
        <f t="shared" si="2"/>
        <v>-160.47076923076921</v>
      </c>
      <c r="M21" s="2"/>
      <c r="N21" s="6">
        <f t="shared" si="3"/>
        <v>-1.8339355258415313</v>
      </c>
      <c r="O21" s="11"/>
      <c r="P21" s="7">
        <v>600.59</v>
      </c>
      <c r="Q21" s="2"/>
      <c r="R21" s="6">
        <f t="shared" si="4"/>
        <v>0</v>
      </c>
      <c r="S21" s="2"/>
      <c r="T21" s="7">
        <v>556.10076923076906</v>
      </c>
      <c r="U21" s="2"/>
      <c r="V21" s="6">
        <f t="shared" si="5"/>
        <v>0</v>
      </c>
      <c r="W21" s="2"/>
      <c r="X21" s="7">
        <f t="shared" si="6"/>
        <v>44.489230769230971</v>
      </c>
      <c r="Y21" s="2"/>
      <c r="Z21" s="6">
        <f t="shared" si="7"/>
        <v>8.0002102551972848E-2</v>
      </c>
    </row>
    <row r="22" spans="1:26" s="24" customFormat="1" hidden="1" outlineLevel="2" x14ac:dyDescent="0.35">
      <c r="A22" s="29"/>
      <c r="B22" s="11" t="str">
        <f>CONCATENATE("          ", "6113", " - ", "GROUP INSURANCE")</f>
        <v xml:space="preserve">          6113 - GROUP INSURANCE</v>
      </c>
      <c r="C22" s="11"/>
      <c r="D22" s="7">
        <v>4844.5200000000004</v>
      </c>
      <c r="E22" s="2"/>
      <c r="F22" s="6">
        <f t="shared" si="0"/>
        <v>0</v>
      </c>
      <c r="G22" s="2"/>
      <c r="H22" s="7">
        <v>4922.3076923076906</v>
      </c>
      <c r="I22" s="2"/>
      <c r="J22" s="6">
        <f t="shared" si="1"/>
        <v>0</v>
      </c>
      <c r="K22" s="2"/>
      <c r="L22" s="7">
        <f t="shared" si="2"/>
        <v>-77.787692307690122</v>
      </c>
      <c r="M22" s="2"/>
      <c r="N22" s="6">
        <f t="shared" si="3"/>
        <v>-1.5803094233473543E-2</v>
      </c>
      <c r="O22" s="11"/>
      <c r="P22" s="7">
        <v>38224.899999999994</v>
      </c>
      <c r="Q22" s="2"/>
      <c r="R22" s="6">
        <f t="shared" si="4"/>
        <v>0</v>
      </c>
      <c r="S22" s="2"/>
      <c r="T22" s="7">
        <v>35973.461538461539</v>
      </c>
      <c r="U22" s="2"/>
      <c r="V22" s="6">
        <f t="shared" si="5"/>
        <v>0</v>
      </c>
      <c r="W22" s="2"/>
      <c r="X22" s="7">
        <f t="shared" si="6"/>
        <v>2251.4384615384552</v>
      </c>
      <c r="Y22" s="2"/>
      <c r="Z22" s="6">
        <f t="shared" si="7"/>
        <v>6.258609444996828E-2</v>
      </c>
    </row>
    <row r="23" spans="1:26" s="24" customFormat="1" hidden="1" outlineLevel="2" x14ac:dyDescent="0.3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95.69</v>
      </c>
      <c r="E23" s="2"/>
      <c r="F23" s="6">
        <f t="shared" si="0"/>
        <v>0</v>
      </c>
      <c r="G23" s="2"/>
      <c r="H23" s="7">
        <v>68.94</v>
      </c>
      <c r="I23" s="2"/>
      <c r="J23" s="6">
        <f t="shared" si="1"/>
        <v>0</v>
      </c>
      <c r="K23" s="2"/>
      <c r="L23" s="7">
        <f t="shared" si="2"/>
        <v>26.75</v>
      </c>
      <c r="M23" s="2"/>
      <c r="N23" s="6">
        <f t="shared" si="3"/>
        <v>0.38801856686974184</v>
      </c>
      <c r="O23" s="11"/>
      <c r="P23" s="7">
        <v>434.02</v>
      </c>
      <c r="Q23" s="2"/>
      <c r="R23" s="6">
        <f t="shared" si="4"/>
        <v>0</v>
      </c>
      <c r="S23" s="2"/>
      <c r="T23" s="7">
        <v>438.14</v>
      </c>
      <c r="U23" s="2"/>
      <c r="V23" s="6">
        <f t="shared" si="5"/>
        <v>0</v>
      </c>
      <c r="W23" s="2"/>
      <c r="X23" s="7">
        <f t="shared" si="6"/>
        <v>-4.1200000000000045</v>
      </c>
      <c r="Y23" s="2"/>
      <c r="Z23" s="6">
        <f t="shared" si="7"/>
        <v>-9.4033870452366938E-3</v>
      </c>
    </row>
    <row r="24" spans="1:26" s="24" customFormat="1" hidden="1" outlineLevel="2" x14ac:dyDescent="0.35">
      <c r="A24" s="29"/>
      <c r="B24" s="11" t="str">
        <f>CONCATENATE("          ", "6115", " - ", "P.E.R.S.")</f>
        <v xml:space="preserve">          6115 - P.E.R.S.</v>
      </c>
      <c r="C24" s="11"/>
      <c r="D24" s="7">
        <v>2791.81</v>
      </c>
      <c r="E24" s="2"/>
      <c r="F24" s="6">
        <f t="shared" si="0"/>
        <v>0</v>
      </c>
      <c r="G24" s="2"/>
      <c r="H24" s="7">
        <v>1901.9230769230799</v>
      </c>
      <c r="I24" s="2"/>
      <c r="J24" s="6">
        <f t="shared" si="1"/>
        <v>0</v>
      </c>
      <c r="K24" s="2"/>
      <c r="L24" s="7">
        <f t="shared" si="2"/>
        <v>889.88692307692008</v>
      </c>
      <c r="M24" s="2"/>
      <c r="N24" s="6">
        <f t="shared" si="3"/>
        <v>0.46788796764408264</v>
      </c>
      <c r="O24" s="11"/>
      <c r="P24" s="7">
        <v>16344.9</v>
      </c>
      <c r="Q24" s="2"/>
      <c r="R24" s="6">
        <f t="shared" si="4"/>
        <v>0</v>
      </c>
      <c r="S24" s="2"/>
      <c r="T24" s="7">
        <v>11791.92307692308</v>
      </c>
      <c r="U24" s="2"/>
      <c r="V24" s="6">
        <f t="shared" si="5"/>
        <v>0</v>
      </c>
      <c r="W24" s="2"/>
      <c r="X24" s="7">
        <f t="shared" si="6"/>
        <v>4552.9769230769198</v>
      </c>
      <c r="Y24" s="2"/>
      <c r="Z24" s="6">
        <f t="shared" si="7"/>
        <v>0.386109788316644</v>
      </c>
    </row>
    <row r="25" spans="1:26" s="24" customFormat="1" hidden="1" outlineLevel="2" x14ac:dyDescent="0.3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300</v>
      </c>
      <c r="I25" s="2"/>
      <c r="J25" s="6">
        <f t="shared" si="1"/>
        <v>0</v>
      </c>
      <c r="K25" s="2"/>
      <c r="L25" s="7">
        <f t="shared" si="2"/>
        <v>-300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2100</v>
      </c>
      <c r="U25" s="2"/>
      <c r="V25" s="6">
        <f t="shared" si="5"/>
        <v>0</v>
      </c>
      <c r="W25" s="2"/>
      <c r="X25" s="7">
        <f t="shared" si="6"/>
        <v>-2100</v>
      </c>
      <c r="Y25" s="2"/>
      <c r="Z25" s="6">
        <f t="shared" si="7"/>
        <v>-1</v>
      </c>
    </row>
    <row r="26" spans="1:26" s="24" customFormat="1" hidden="1" outlineLevel="2" x14ac:dyDescent="0.35">
      <c r="A26" s="29"/>
      <c r="B26" s="11" t="str">
        <f>CONCATENATE("          ", "6117", " - ", "RETIREMENT STAFF HOURLY")</f>
        <v xml:space="preserve">          6117 - RETIREMENT STAFF HOURLY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912.28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912.28</v>
      </c>
      <c r="Y26" s="2"/>
      <c r="Z26" s="6">
        <f t="shared" si="7"/>
        <v>0</v>
      </c>
    </row>
    <row r="27" spans="1:26" s="24" customFormat="1" hidden="1" outlineLevel="2" x14ac:dyDescent="0.35">
      <c r="A27" s="29"/>
      <c r="B27" s="11" t="str">
        <f>CONCATENATE("          ", "6118", " - ", "VACATION")</f>
        <v xml:space="preserve">          6118 - VACATION</v>
      </c>
      <c r="C27" s="11"/>
      <c r="D27" s="7">
        <v>1296.43</v>
      </c>
      <c r="E27" s="2"/>
      <c r="F27" s="6">
        <f t="shared" si="0"/>
        <v>0</v>
      </c>
      <c r="G27" s="2"/>
      <c r="H27" s="7">
        <v>1325.76923076923</v>
      </c>
      <c r="I27" s="2"/>
      <c r="J27" s="6">
        <f t="shared" si="1"/>
        <v>0</v>
      </c>
      <c r="K27" s="2"/>
      <c r="L27" s="7">
        <f t="shared" si="2"/>
        <v>-29.339230769229971</v>
      </c>
      <c r="M27" s="2"/>
      <c r="N27" s="6">
        <f t="shared" si="3"/>
        <v>-2.212996808819204E-2</v>
      </c>
      <c r="O27" s="11"/>
      <c r="P27" s="7">
        <v>10687.55</v>
      </c>
      <c r="Q27" s="2"/>
      <c r="R27" s="6">
        <f t="shared" si="4"/>
        <v>0</v>
      </c>
      <c r="S27" s="2"/>
      <c r="T27" s="7">
        <v>8175.7692307692096</v>
      </c>
      <c r="U27" s="2"/>
      <c r="V27" s="6">
        <f t="shared" si="5"/>
        <v>0</v>
      </c>
      <c r="W27" s="2"/>
      <c r="X27" s="7">
        <f t="shared" si="6"/>
        <v>2511.7807692307897</v>
      </c>
      <c r="Y27" s="2"/>
      <c r="Z27" s="6">
        <f t="shared" si="7"/>
        <v>0.30722256197958647</v>
      </c>
    </row>
    <row r="28" spans="1:26" s="24" customFormat="1" hidden="1" outlineLevel="2" x14ac:dyDescent="0.35">
      <c r="A28" s="29"/>
      <c r="B28" s="11" t="str">
        <f>CONCATENATE("          ", "6119", " - ", "SICK LEAVE")</f>
        <v xml:space="preserve">          6119 - SICK LEAVE</v>
      </c>
      <c r="C28" s="11"/>
      <c r="D28" s="7">
        <v>844.06</v>
      </c>
      <c r="E28" s="2"/>
      <c r="F28" s="6">
        <f t="shared" si="0"/>
        <v>0</v>
      </c>
      <c r="G28" s="2"/>
      <c r="H28" s="7">
        <v>1325.76923076923</v>
      </c>
      <c r="I28" s="2"/>
      <c r="J28" s="6">
        <f t="shared" si="1"/>
        <v>0</v>
      </c>
      <c r="K28" s="2"/>
      <c r="L28" s="7">
        <f t="shared" si="2"/>
        <v>-481.70923076923009</v>
      </c>
      <c r="M28" s="2"/>
      <c r="N28" s="6">
        <f t="shared" si="3"/>
        <v>-0.36334319698288337</v>
      </c>
      <c r="O28" s="11"/>
      <c r="P28" s="7">
        <v>7105.35</v>
      </c>
      <c r="Q28" s="2"/>
      <c r="R28" s="6">
        <f t="shared" si="4"/>
        <v>0</v>
      </c>
      <c r="S28" s="2"/>
      <c r="T28" s="7">
        <v>8175.7692307692096</v>
      </c>
      <c r="U28" s="2"/>
      <c r="V28" s="6">
        <f t="shared" si="5"/>
        <v>0</v>
      </c>
      <c r="W28" s="2"/>
      <c r="X28" s="7">
        <f t="shared" si="6"/>
        <v>-1070.4192307692092</v>
      </c>
      <c r="Y28" s="2"/>
      <c r="Z28" s="6">
        <f t="shared" si="7"/>
        <v>-0.13092581267346998</v>
      </c>
    </row>
    <row r="29" spans="1:26" s="24" customFormat="1" hidden="1" outlineLevel="2" x14ac:dyDescent="0.35">
      <c r="A29" s="29"/>
      <c r="B29" s="11" t="str">
        <f>CONCATENATE("          ", "6156", " - ", "EMPLOYEE MEALS")</f>
        <v xml:space="preserve">          6156 - EMPLOYEE MEALS</v>
      </c>
      <c r="C29" s="11"/>
      <c r="D29" s="7">
        <v>36.44</v>
      </c>
      <c r="E29" s="2"/>
      <c r="F29" s="6">
        <f t="shared" si="0"/>
        <v>0</v>
      </c>
      <c r="G29" s="2"/>
      <c r="H29" s="7">
        <v>600</v>
      </c>
      <c r="I29" s="2"/>
      <c r="J29" s="6">
        <f t="shared" si="1"/>
        <v>0</v>
      </c>
      <c r="K29" s="2"/>
      <c r="L29" s="7">
        <f t="shared" si="2"/>
        <v>-563.55999999999995</v>
      </c>
      <c r="M29" s="2"/>
      <c r="N29" s="6">
        <f t="shared" si="3"/>
        <v>-0.93926666666666658</v>
      </c>
      <c r="O29" s="11"/>
      <c r="P29" s="7">
        <v>1324.75</v>
      </c>
      <c r="Q29" s="2"/>
      <c r="R29" s="6">
        <f t="shared" si="4"/>
        <v>0</v>
      </c>
      <c r="S29" s="2"/>
      <c r="T29" s="7">
        <v>4200</v>
      </c>
      <c r="U29" s="2"/>
      <c r="V29" s="6">
        <f t="shared" si="5"/>
        <v>0</v>
      </c>
      <c r="W29" s="2"/>
      <c r="X29" s="7">
        <f t="shared" si="6"/>
        <v>-2875.25</v>
      </c>
      <c r="Y29" s="2"/>
      <c r="Z29" s="6">
        <f t="shared" si="7"/>
        <v>-0.68458333333333332</v>
      </c>
    </row>
    <row r="30" spans="1:26" s="28" customFormat="1" outlineLevel="1" collapsed="1" x14ac:dyDescent="0.3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21531.85</v>
      </c>
      <c r="E30" s="1"/>
      <c r="F30" s="5">
        <f t="shared" ref="F30:F40" si="8">IF(D$12=0,0,D30/D$12)</f>
        <v>0</v>
      </c>
      <c r="G30" s="1"/>
      <c r="H30" s="1">
        <f>SUM(OSRRefH22_1x_0)</f>
        <v>23863.8461538462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-2331.9961538462012</v>
      </c>
      <c r="M30" s="1"/>
      <c r="N30" s="5">
        <f t="shared" ref="N30:N40" si="11">IF(H30=0,0,L30/H30)</f>
        <v>-9.7720884505046443E-2</v>
      </c>
      <c r="O30" s="14"/>
      <c r="P30" s="1">
        <f>SUM(OSRRefP22_1x_0)</f>
        <v>145758.19999999998</v>
      </c>
      <c r="Q30" s="1"/>
      <c r="R30" s="5">
        <f t="shared" ref="R30:R40" si="12">IF(P$12=0,0,P30/P$12)</f>
        <v>0</v>
      </c>
      <c r="S30" s="1"/>
      <c r="T30" s="1">
        <f>SUM(OSRRefT22_1x_0)</f>
        <v>152163.84615384621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-6405.6461538462318</v>
      </c>
      <c r="Y30" s="1"/>
      <c r="Z30" s="5">
        <f t="shared" ref="Z30:Z40" si="15">IF(T30=0,0,X30/T30)</f>
        <v>-4.2097031034361229E-2</v>
      </c>
    </row>
    <row r="31" spans="1:26" s="24" customFormat="1" hidden="1" outlineLevel="2" x14ac:dyDescent="0.3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35">
      <c r="A32" s="29"/>
      <c r="B32" s="11" t="str">
        <f>CONCATENATE("          ", "6002", " - ", "STAFF SALARIES")</f>
        <v xml:space="preserve">          6002 - STAFF SALARIES</v>
      </c>
      <c r="C32" s="11"/>
      <c r="D32" s="7">
        <v>21531.85</v>
      </c>
      <c r="E32" s="2"/>
      <c r="F32" s="6">
        <f t="shared" si="8"/>
        <v>0</v>
      </c>
      <c r="G32" s="2"/>
      <c r="H32" s="7">
        <v>19903.8461538462</v>
      </c>
      <c r="I32" s="2"/>
      <c r="J32" s="6">
        <f t="shared" si="9"/>
        <v>0</v>
      </c>
      <c r="K32" s="2"/>
      <c r="L32" s="7">
        <f t="shared" si="10"/>
        <v>1628.0038461537988</v>
      </c>
      <c r="M32" s="2"/>
      <c r="N32" s="6">
        <f t="shared" si="11"/>
        <v>8.1793429951688257E-2</v>
      </c>
      <c r="O32" s="11"/>
      <c r="P32" s="7">
        <v>131544.95999999999</v>
      </c>
      <c r="Q32" s="2"/>
      <c r="R32" s="6">
        <f t="shared" si="12"/>
        <v>0</v>
      </c>
      <c r="S32" s="2"/>
      <c r="T32" s="7">
        <v>123403.84615384621</v>
      </c>
      <c r="U32" s="2"/>
      <c r="V32" s="6">
        <f t="shared" si="13"/>
        <v>0</v>
      </c>
      <c r="W32" s="2"/>
      <c r="X32" s="7">
        <f t="shared" si="14"/>
        <v>8141.1138461537776</v>
      </c>
      <c r="Y32" s="2"/>
      <c r="Z32" s="6">
        <f t="shared" si="15"/>
        <v>6.5971313697989128E-2</v>
      </c>
    </row>
    <row r="33" spans="1:26" s="24" customFormat="1" hidden="1" outlineLevel="2" x14ac:dyDescent="0.3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35">
      <c r="A34" s="29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8"/>
        <v>0</v>
      </c>
      <c r="G34" s="2"/>
      <c r="H34" s="7">
        <v>3960</v>
      </c>
      <c r="I34" s="2"/>
      <c r="J34" s="6">
        <f t="shared" si="9"/>
        <v>0</v>
      </c>
      <c r="K34" s="2"/>
      <c r="L34" s="7">
        <f t="shared" si="10"/>
        <v>-3960</v>
      </c>
      <c r="M34" s="2"/>
      <c r="N34" s="6">
        <f t="shared" si="11"/>
        <v>-1</v>
      </c>
      <c r="O34" s="11"/>
      <c r="P34" s="7">
        <v>14213.24</v>
      </c>
      <c r="Q34" s="2"/>
      <c r="R34" s="6">
        <f t="shared" si="12"/>
        <v>0</v>
      </c>
      <c r="S34" s="2"/>
      <c r="T34" s="7">
        <v>28760</v>
      </c>
      <c r="U34" s="2"/>
      <c r="V34" s="6">
        <f t="shared" si="13"/>
        <v>0</v>
      </c>
      <c r="W34" s="2"/>
      <c r="X34" s="7">
        <f t="shared" si="14"/>
        <v>-14546.76</v>
      </c>
      <c r="Y34" s="2"/>
      <c r="Z34" s="6">
        <f t="shared" si="15"/>
        <v>-0.50579833101529903</v>
      </c>
    </row>
    <row r="35" spans="1:26" s="24" customFormat="1" hidden="1" outlineLevel="2" x14ac:dyDescent="0.3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35">
      <c r="A36" s="29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35">
      <c r="A37" s="29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>
        <v>0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3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3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3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8" customFormat="1" outlineLevel="1" collapsed="1" x14ac:dyDescent="0.3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45" si="16">IF(D$12=0,0,D41/D$12)</f>
        <v>0</v>
      </c>
      <c r="G41" s="1"/>
      <c r="H41" s="1">
        <f>SUM(OSRRefH22_2x_0)</f>
        <v>0</v>
      </c>
      <c r="I41" s="1"/>
      <c r="J41" s="5">
        <f t="shared" ref="J41:J45" si="17">IF(H$12=0,0,H41/H$12)</f>
        <v>0</v>
      </c>
      <c r="K41" s="1"/>
      <c r="L41" s="1">
        <f t="shared" ref="L41:L45" si="18">+D41-H41</f>
        <v>0</v>
      </c>
      <c r="M41" s="1"/>
      <c r="N41" s="5">
        <f t="shared" ref="N41:N45" si="19">IF(H41=0,0,L41/H41)</f>
        <v>0</v>
      </c>
      <c r="O41" s="14"/>
      <c r="P41" s="1">
        <f>SUM(OSRRefP22_2x_0)</f>
        <v>0</v>
      </c>
      <c r="Q41" s="1"/>
      <c r="R41" s="5">
        <f t="shared" ref="R41:R45" si="20">IF(P$12=0,0,P41/P$12)</f>
        <v>0</v>
      </c>
      <c r="S41" s="1"/>
      <c r="T41" s="1">
        <f>SUM(OSRRefT22_2x_0)</f>
        <v>100</v>
      </c>
      <c r="U41" s="1"/>
      <c r="V41" s="5">
        <f t="shared" ref="V41:V45" si="21">IF(T$12=0,0,T41/T$12)</f>
        <v>0</v>
      </c>
      <c r="W41" s="1"/>
      <c r="X41" s="1">
        <f t="shared" ref="X41:X45" si="22">+P41-T41</f>
        <v>-100</v>
      </c>
      <c r="Y41" s="1"/>
      <c r="Z41" s="5">
        <f t="shared" ref="Z41:Z45" si="23">IF(T41=0,0,X41/T41)</f>
        <v>-1</v>
      </c>
    </row>
    <row r="42" spans="1:26" s="24" customFormat="1" hidden="1" outlineLevel="2" x14ac:dyDescent="0.35">
      <c r="A42" s="29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/>
      <c r="Q42" s="2"/>
      <c r="R42" s="6">
        <f t="shared" si="20"/>
        <v>0</v>
      </c>
      <c r="S42" s="2"/>
      <c r="T42" s="7">
        <v>100</v>
      </c>
      <c r="U42" s="2"/>
      <c r="V42" s="6">
        <f t="shared" si="21"/>
        <v>0</v>
      </c>
      <c r="W42" s="2"/>
      <c r="X42" s="7">
        <f t="shared" si="22"/>
        <v>-100</v>
      </c>
      <c r="Y42" s="2"/>
      <c r="Z42" s="6">
        <f t="shared" si="23"/>
        <v>-1</v>
      </c>
    </row>
    <row r="43" spans="1:26" s="28" customFormat="1" outlineLevel="1" collapsed="1" x14ac:dyDescent="0.35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SUM(OSRRefD22_3x_0)</f>
        <v>4994.03</v>
      </c>
      <c r="E43" s="1"/>
      <c r="F43" s="5">
        <f t="shared" si="16"/>
        <v>0</v>
      </c>
      <c r="G43" s="1"/>
      <c r="H43" s="1">
        <f>SUM(OSRRefH22_3x_0)</f>
        <v>4994</v>
      </c>
      <c r="I43" s="1"/>
      <c r="J43" s="5">
        <f t="shared" si="17"/>
        <v>0</v>
      </c>
      <c r="K43" s="1"/>
      <c r="L43" s="1">
        <f t="shared" si="18"/>
        <v>2.9999999999745341E-2</v>
      </c>
      <c r="M43" s="1"/>
      <c r="N43" s="5">
        <f t="shared" si="19"/>
        <v>6.0072086503294633E-6</v>
      </c>
      <c r="O43" s="14"/>
      <c r="P43" s="1">
        <f>SUM(OSRRefP22_3x_0)</f>
        <v>36528.729999999996</v>
      </c>
      <c r="Q43" s="1"/>
      <c r="R43" s="5">
        <f t="shared" si="20"/>
        <v>0</v>
      </c>
      <c r="S43" s="1"/>
      <c r="T43" s="1">
        <f>SUM(OSRRefT22_3x_0)</f>
        <v>31266</v>
      </c>
      <c r="U43" s="1"/>
      <c r="V43" s="5">
        <f t="shared" si="21"/>
        <v>0</v>
      </c>
      <c r="W43" s="1"/>
      <c r="X43" s="1">
        <f t="shared" si="22"/>
        <v>5262.7299999999959</v>
      </c>
      <c r="Y43" s="1"/>
      <c r="Z43" s="5">
        <f t="shared" si="23"/>
        <v>0.16832117955606715</v>
      </c>
    </row>
    <row r="44" spans="1:26" s="24" customFormat="1" hidden="1" outlineLevel="2" x14ac:dyDescent="0.35">
      <c r="A44" s="29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4994.03</v>
      </c>
      <c r="E44" s="2"/>
      <c r="F44" s="6">
        <f t="shared" si="16"/>
        <v>0</v>
      </c>
      <c r="G44" s="2"/>
      <c r="H44" s="7">
        <v>4994</v>
      </c>
      <c r="I44" s="2"/>
      <c r="J44" s="6">
        <f t="shared" si="17"/>
        <v>0</v>
      </c>
      <c r="K44" s="2"/>
      <c r="L44" s="7">
        <f t="shared" si="18"/>
        <v>2.9999999999745341E-2</v>
      </c>
      <c r="M44" s="2"/>
      <c r="N44" s="6">
        <f t="shared" si="19"/>
        <v>6.0072086503294633E-6</v>
      </c>
      <c r="O44" s="11"/>
      <c r="P44" s="7">
        <v>36528.729999999996</v>
      </c>
      <c r="Q44" s="2"/>
      <c r="R44" s="6">
        <f t="shared" si="20"/>
        <v>0</v>
      </c>
      <c r="S44" s="2"/>
      <c r="T44" s="7">
        <v>31166</v>
      </c>
      <c r="U44" s="2"/>
      <c r="V44" s="6">
        <f t="shared" si="21"/>
        <v>0</v>
      </c>
      <c r="W44" s="2"/>
      <c r="X44" s="7">
        <f t="shared" si="22"/>
        <v>5362.7299999999959</v>
      </c>
      <c r="Y44" s="2"/>
      <c r="Z44" s="6">
        <f t="shared" si="23"/>
        <v>0.17206988384778271</v>
      </c>
    </row>
    <row r="45" spans="1:26" s="24" customFormat="1" hidden="1" outlineLevel="2" x14ac:dyDescent="0.35">
      <c r="A45" s="29"/>
      <c r="B45" s="11" t="str">
        <f>CONCATENATE("          ", "6324", " - ", "FURNITURE + FIXT DEPRECIATION")</f>
        <v xml:space="preserve">          6324 - FURNITURE + FIXT DEPRECIATION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/>
      <c r="Q45" s="2"/>
      <c r="R45" s="6">
        <f t="shared" si="20"/>
        <v>0</v>
      </c>
      <c r="S45" s="2"/>
      <c r="T45" s="7">
        <v>100</v>
      </c>
      <c r="U45" s="2"/>
      <c r="V45" s="6">
        <f t="shared" si="21"/>
        <v>0</v>
      </c>
      <c r="W45" s="2"/>
      <c r="X45" s="7">
        <f t="shared" si="22"/>
        <v>-100</v>
      </c>
      <c r="Y45" s="2"/>
      <c r="Z45" s="6">
        <f t="shared" si="23"/>
        <v>-1</v>
      </c>
    </row>
    <row r="46" spans="1:26" s="28" customFormat="1" outlineLevel="1" collapsed="1" x14ac:dyDescent="0.35">
      <c r="A46" s="27"/>
      <c r="B46" s="14" t="str">
        <f>CONCATENATE("     ","Freight out/Postage                               ")</f>
        <v xml:space="preserve">     Freight out/Postage                               </v>
      </c>
      <c r="C46" s="14"/>
      <c r="D46" s="1">
        <f>SUM(OSRRefD22_4x_0)</f>
        <v>0</v>
      </c>
      <c r="E46" s="1"/>
      <c r="F46" s="5">
        <f t="shared" ref="F46:F55" si="24">IF(D$12=0,0,D46/D$12)</f>
        <v>0</v>
      </c>
      <c r="G46" s="1"/>
      <c r="H46" s="1">
        <f>SUM(OSRRefH22_4x_0)</f>
        <v>0</v>
      </c>
      <c r="I46" s="1"/>
      <c r="J46" s="5">
        <f t="shared" ref="J46:J55" si="25">IF(H$12=0,0,H46/H$12)</f>
        <v>0</v>
      </c>
      <c r="K46" s="1"/>
      <c r="L46" s="1">
        <f t="shared" ref="L46:L55" si="26">+D46-H46</f>
        <v>0</v>
      </c>
      <c r="M46" s="1"/>
      <c r="N46" s="5">
        <f t="shared" ref="N46:N55" si="27">IF(H46=0,0,L46/H46)</f>
        <v>0</v>
      </c>
      <c r="O46" s="14"/>
      <c r="P46" s="1">
        <f>SUM(OSRRefP22_4x_0)</f>
        <v>5.7</v>
      </c>
      <c r="Q46" s="1"/>
      <c r="R46" s="5">
        <f t="shared" ref="R46:R55" si="28">IF(P$12=0,0,P46/P$12)</f>
        <v>0</v>
      </c>
      <c r="S46" s="1"/>
      <c r="T46" s="1">
        <f>SUM(OSRRefT22_4x_0)</f>
        <v>0</v>
      </c>
      <c r="U46" s="1"/>
      <c r="V46" s="5">
        <f t="shared" ref="V46:V55" si="29">IF(T$12=0,0,T46/T$12)</f>
        <v>0</v>
      </c>
      <c r="W46" s="1"/>
      <c r="X46" s="1">
        <f t="shared" ref="X46:X55" si="30">+P46-T46</f>
        <v>5.7</v>
      </c>
      <c r="Y46" s="1"/>
      <c r="Z46" s="5">
        <f t="shared" ref="Z46:Z55" si="31">IF(T46=0,0,X46/T46)</f>
        <v>0</v>
      </c>
    </row>
    <row r="47" spans="1:26" s="24" customFormat="1" hidden="1" outlineLevel="2" x14ac:dyDescent="0.35">
      <c r="A47" s="29"/>
      <c r="B47" s="11" t="str">
        <f>CONCATENATE("          ", "6307", " - ", "POSTAGE")</f>
        <v xml:space="preserve">          6307 - POSTAGE</v>
      </c>
      <c r="C47" s="11"/>
      <c r="D47" s="7"/>
      <c r="E47" s="2"/>
      <c r="F47" s="6">
        <f t="shared" si="24"/>
        <v>0</v>
      </c>
      <c r="G47" s="2"/>
      <c r="H47" s="7"/>
      <c r="I47" s="2"/>
      <c r="J47" s="6">
        <f t="shared" si="25"/>
        <v>0</v>
      </c>
      <c r="K47" s="2"/>
      <c r="L47" s="7">
        <f t="shared" si="26"/>
        <v>0</v>
      </c>
      <c r="M47" s="2"/>
      <c r="N47" s="6">
        <f t="shared" si="27"/>
        <v>0</v>
      </c>
      <c r="O47" s="11"/>
      <c r="P47" s="7">
        <v>5.7</v>
      </c>
      <c r="Q47" s="2"/>
      <c r="R47" s="6">
        <f t="shared" si="28"/>
        <v>0</v>
      </c>
      <c r="S47" s="2"/>
      <c r="T47" s="7"/>
      <c r="U47" s="2"/>
      <c r="V47" s="6">
        <f t="shared" si="29"/>
        <v>0</v>
      </c>
      <c r="W47" s="2"/>
      <c r="X47" s="7">
        <f t="shared" si="30"/>
        <v>5.7</v>
      </c>
      <c r="Y47" s="2"/>
      <c r="Z47" s="6">
        <f t="shared" si="31"/>
        <v>0</v>
      </c>
    </row>
    <row r="48" spans="1:26" s="28" customFormat="1" outlineLevel="1" collapsed="1" x14ac:dyDescent="0.35">
      <c r="A48" s="27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SUM(OSRRefD22_5x_0)</f>
        <v>0</v>
      </c>
      <c r="E48" s="1"/>
      <c r="F48" s="5">
        <f t="shared" si="24"/>
        <v>0</v>
      </c>
      <c r="G48" s="1"/>
      <c r="H48" s="1">
        <f>SUM(OSRRefH22_5x_0)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4"/>
      <c r="P48" s="1">
        <f>SUM(OSRRefP22_5x_0)</f>
        <v>0</v>
      </c>
      <c r="Q48" s="1"/>
      <c r="R48" s="5">
        <f t="shared" si="28"/>
        <v>0</v>
      </c>
      <c r="S48" s="1"/>
      <c r="T48" s="1">
        <f>SUM(OSRRefT22_5x_0)</f>
        <v>500</v>
      </c>
      <c r="U48" s="1"/>
      <c r="V48" s="5">
        <f t="shared" si="29"/>
        <v>0</v>
      </c>
      <c r="W48" s="1"/>
      <c r="X48" s="1">
        <f t="shared" si="30"/>
        <v>-500</v>
      </c>
      <c r="Y48" s="1"/>
      <c r="Z48" s="5">
        <f t="shared" si="31"/>
        <v>-1</v>
      </c>
    </row>
    <row r="49" spans="1:26" s="24" customFormat="1" hidden="1" outlineLevel="2" x14ac:dyDescent="0.35">
      <c r="A49" s="29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24"/>
        <v>0</v>
      </c>
      <c r="G49" s="2"/>
      <c r="H49" s="7"/>
      <c r="I49" s="2"/>
      <c r="J49" s="6">
        <f t="shared" si="25"/>
        <v>0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/>
      <c r="Q49" s="2"/>
      <c r="R49" s="6">
        <f t="shared" si="28"/>
        <v>0</v>
      </c>
      <c r="S49" s="2"/>
      <c r="T49" s="7">
        <v>500</v>
      </c>
      <c r="U49" s="2"/>
      <c r="V49" s="6">
        <f t="shared" si="29"/>
        <v>0</v>
      </c>
      <c r="W49" s="2"/>
      <c r="X49" s="7">
        <f t="shared" si="30"/>
        <v>-500</v>
      </c>
      <c r="Y49" s="2"/>
      <c r="Z49" s="6">
        <f t="shared" si="31"/>
        <v>-1</v>
      </c>
    </row>
    <row r="50" spans="1:26" s="28" customFormat="1" outlineLevel="1" collapsed="1" x14ac:dyDescent="0.35">
      <c r="A50" s="27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SUM(OSRRefD22_6x_0)</f>
        <v>56.34</v>
      </c>
      <c r="E50" s="1"/>
      <c r="F50" s="5">
        <f t="shared" si="24"/>
        <v>0</v>
      </c>
      <c r="G50" s="1"/>
      <c r="H50" s="1">
        <f>SUM(OSRRefH22_6x_0)</f>
        <v>61</v>
      </c>
      <c r="I50" s="1"/>
      <c r="J50" s="5">
        <f t="shared" si="25"/>
        <v>0</v>
      </c>
      <c r="K50" s="1"/>
      <c r="L50" s="1">
        <f t="shared" si="26"/>
        <v>-4.6599999999999966</v>
      </c>
      <c r="M50" s="1"/>
      <c r="N50" s="5">
        <f t="shared" si="27"/>
        <v>-7.6393442622950766E-2</v>
      </c>
      <c r="O50" s="14"/>
      <c r="P50" s="1">
        <f>SUM(OSRRefP22_6x_0)</f>
        <v>394.38</v>
      </c>
      <c r="Q50" s="1"/>
      <c r="R50" s="5">
        <f t="shared" si="28"/>
        <v>0</v>
      </c>
      <c r="S50" s="1"/>
      <c r="T50" s="1">
        <f>SUM(OSRRefT22_6x_0)</f>
        <v>966</v>
      </c>
      <c r="U50" s="1"/>
      <c r="V50" s="5">
        <f t="shared" si="29"/>
        <v>0</v>
      </c>
      <c r="W50" s="1"/>
      <c r="X50" s="1">
        <f t="shared" si="30"/>
        <v>-571.62</v>
      </c>
      <c r="Y50" s="1"/>
      <c r="Z50" s="5">
        <f t="shared" si="31"/>
        <v>-0.59173913043478266</v>
      </c>
    </row>
    <row r="51" spans="1:26" s="24" customFormat="1" hidden="1" outlineLevel="2" x14ac:dyDescent="0.35">
      <c r="A51" s="29"/>
      <c r="B51" s="11" t="str">
        <f>CONCATENATE("          ", "6314", " - ", "LIABILITY INSURANCE")</f>
        <v xml:space="preserve">          6314 - LIABILITY INSURANCE</v>
      </c>
      <c r="C51" s="11"/>
      <c r="D51" s="7">
        <v>56.34</v>
      </c>
      <c r="E51" s="2"/>
      <c r="F51" s="6">
        <f t="shared" si="24"/>
        <v>0</v>
      </c>
      <c r="G51" s="2"/>
      <c r="H51" s="7">
        <v>61</v>
      </c>
      <c r="I51" s="2"/>
      <c r="J51" s="6">
        <f t="shared" si="25"/>
        <v>0</v>
      </c>
      <c r="K51" s="2"/>
      <c r="L51" s="7">
        <f t="shared" si="26"/>
        <v>-4.6599999999999966</v>
      </c>
      <c r="M51" s="2"/>
      <c r="N51" s="6">
        <f t="shared" si="27"/>
        <v>-7.6393442622950766E-2</v>
      </c>
      <c r="O51" s="11"/>
      <c r="P51" s="7">
        <v>394.38</v>
      </c>
      <c r="Q51" s="2"/>
      <c r="R51" s="6">
        <f t="shared" si="28"/>
        <v>0</v>
      </c>
      <c r="S51" s="2"/>
      <c r="T51" s="7">
        <v>966</v>
      </c>
      <c r="U51" s="2"/>
      <c r="V51" s="6">
        <f t="shared" si="29"/>
        <v>0</v>
      </c>
      <c r="W51" s="2"/>
      <c r="X51" s="7">
        <f t="shared" si="30"/>
        <v>-571.62</v>
      </c>
      <c r="Y51" s="2"/>
      <c r="Z51" s="6">
        <f t="shared" si="31"/>
        <v>-0.59173913043478266</v>
      </c>
    </row>
    <row r="52" spans="1:26" s="28" customFormat="1" outlineLevel="1" collapsed="1" x14ac:dyDescent="0.35">
      <c r="A52" s="27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SUM(OSRRefD22_7x_0)</f>
        <v>11992</v>
      </c>
      <c r="E52" s="1"/>
      <c r="F52" s="5">
        <f t="shared" si="24"/>
        <v>0</v>
      </c>
      <c r="G52" s="1"/>
      <c r="H52" s="1">
        <f>SUM(OSRRefH22_7x_0)</f>
        <v>14910</v>
      </c>
      <c r="I52" s="1"/>
      <c r="J52" s="5">
        <f t="shared" si="25"/>
        <v>0</v>
      </c>
      <c r="K52" s="1"/>
      <c r="L52" s="1">
        <f t="shared" si="26"/>
        <v>-2918</v>
      </c>
      <c r="M52" s="1"/>
      <c r="N52" s="5">
        <f t="shared" si="27"/>
        <v>-0.19570757880617035</v>
      </c>
      <c r="O52" s="14"/>
      <c r="P52" s="1">
        <f>SUM(OSRRefP22_7x_0)</f>
        <v>83160.160000000003</v>
      </c>
      <c r="Q52" s="1"/>
      <c r="R52" s="5">
        <f t="shared" si="28"/>
        <v>0</v>
      </c>
      <c r="S52" s="1"/>
      <c r="T52" s="1">
        <f>SUM(OSRRefT22_7x_0)</f>
        <v>91920</v>
      </c>
      <c r="U52" s="1"/>
      <c r="V52" s="5">
        <f t="shared" si="29"/>
        <v>0</v>
      </c>
      <c r="W52" s="1"/>
      <c r="X52" s="1">
        <f t="shared" si="30"/>
        <v>-8759.8399999999965</v>
      </c>
      <c r="Y52" s="1"/>
      <c r="Z52" s="5">
        <f t="shared" si="31"/>
        <v>-9.5298520452567412E-2</v>
      </c>
    </row>
    <row r="53" spans="1:26" s="24" customFormat="1" hidden="1" outlineLevel="2" x14ac:dyDescent="0.35">
      <c r="A53" s="29"/>
      <c r="B53" s="11" t="str">
        <f>CONCATENATE("          ", "6371", " - ", "COMPUTER SOFTWARE MAINTENANCE")</f>
        <v xml:space="preserve">          6371 - COMPUTER SOFTWARE MAINTENANCE</v>
      </c>
      <c r="C53" s="11"/>
      <c r="D53" s="7"/>
      <c r="E53" s="2"/>
      <c r="F53" s="6">
        <f t="shared" si="24"/>
        <v>0</v>
      </c>
      <c r="G53" s="2"/>
      <c r="H53" s="7">
        <v>660</v>
      </c>
      <c r="I53" s="2"/>
      <c r="J53" s="6">
        <f t="shared" si="25"/>
        <v>0</v>
      </c>
      <c r="K53" s="2"/>
      <c r="L53" s="7">
        <f t="shared" si="26"/>
        <v>-660</v>
      </c>
      <c r="M53" s="2"/>
      <c r="N53" s="6">
        <f t="shared" si="27"/>
        <v>-1</v>
      </c>
      <c r="O53" s="11"/>
      <c r="P53" s="7">
        <v>416.16</v>
      </c>
      <c r="Q53" s="2"/>
      <c r="R53" s="6">
        <f t="shared" si="28"/>
        <v>0</v>
      </c>
      <c r="S53" s="2"/>
      <c r="T53" s="7">
        <v>4620</v>
      </c>
      <c r="U53" s="2"/>
      <c r="V53" s="6">
        <f t="shared" si="29"/>
        <v>0</v>
      </c>
      <c r="W53" s="2"/>
      <c r="X53" s="7">
        <f t="shared" si="30"/>
        <v>-4203.84</v>
      </c>
      <c r="Y53" s="2"/>
      <c r="Z53" s="6">
        <f t="shared" si="31"/>
        <v>-0.90992207792207791</v>
      </c>
    </row>
    <row r="54" spans="1:26" s="24" customFormat="1" hidden="1" outlineLevel="2" x14ac:dyDescent="0.35">
      <c r="A54" s="29"/>
      <c r="B54" s="11" t="str">
        <f>CONCATENATE("          ", "6372", " - ", "COMPUTER HARDWARE MAINTENANCE")</f>
        <v xml:space="preserve">          6372 - COMPUTER HARDWARE MAINTENANCE</v>
      </c>
      <c r="C54" s="11"/>
      <c r="D54" s="7"/>
      <c r="E54" s="2"/>
      <c r="F54" s="6">
        <f t="shared" si="24"/>
        <v>0</v>
      </c>
      <c r="G54" s="2"/>
      <c r="H54" s="7">
        <v>1600</v>
      </c>
      <c r="I54" s="2"/>
      <c r="J54" s="6">
        <f t="shared" si="25"/>
        <v>0</v>
      </c>
      <c r="K54" s="2"/>
      <c r="L54" s="7">
        <f t="shared" si="26"/>
        <v>-1600</v>
      </c>
      <c r="M54" s="2"/>
      <c r="N54" s="6">
        <f t="shared" si="27"/>
        <v>-1</v>
      </c>
      <c r="O54" s="11"/>
      <c r="P54" s="7"/>
      <c r="Q54" s="2"/>
      <c r="R54" s="6">
        <f t="shared" si="28"/>
        <v>0</v>
      </c>
      <c r="S54" s="2"/>
      <c r="T54" s="7">
        <v>11200</v>
      </c>
      <c r="U54" s="2"/>
      <c r="V54" s="6">
        <f t="shared" si="29"/>
        <v>0</v>
      </c>
      <c r="W54" s="2"/>
      <c r="X54" s="7">
        <f t="shared" si="30"/>
        <v>-11200</v>
      </c>
      <c r="Y54" s="2"/>
      <c r="Z54" s="6">
        <f t="shared" si="31"/>
        <v>-1</v>
      </c>
    </row>
    <row r="55" spans="1:26" s="24" customFormat="1" hidden="1" outlineLevel="2" x14ac:dyDescent="0.35">
      <c r="A55" s="29"/>
      <c r="B55" s="11" t="str">
        <f>CONCATENATE("          ", "6373", " - ", "MAINTENANCE CONTRACTS")</f>
        <v xml:space="preserve">          6373 - MAINTENANCE CONTRACTS</v>
      </c>
      <c r="C55" s="11"/>
      <c r="D55" s="7">
        <v>11992</v>
      </c>
      <c r="E55" s="2"/>
      <c r="F55" s="6">
        <f t="shared" si="24"/>
        <v>0</v>
      </c>
      <c r="G55" s="2"/>
      <c r="H55" s="7">
        <v>12650</v>
      </c>
      <c r="I55" s="2"/>
      <c r="J55" s="6">
        <f t="shared" si="25"/>
        <v>0</v>
      </c>
      <c r="K55" s="2"/>
      <c r="L55" s="7">
        <f t="shared" si="26"/>
        <v>-658</v>
      </c>
      <c r="M55" s="2"/>
      <c r="N55" s="6">
        <f t="shared" si="27"/>
        <v>-5.2015810276679841E-2</v>
      </c>
      <c r="O55" s="11"/>
      <c r="P55" s="7">
        <v>82744</v>
      </c>
      <c r="Q55" s="2"/>
      <c r="R55" s="6">
        <f t="shared" si="28"/>
        <v>0</v>
      </c>
      <c r="S55" s="2"/>
      <c r="T55" s="7">
        <v>76100</v>
      </c>
      <c r="U55" s="2"/>
      <c r="V55" s="6">
        <f t="shared" si="29"/>
        <v>0</v>
      </c>
      <c r="W55" s="2"/>
      <c r="X55" s="7">
        <f t="shared" si="30"/>
        <v>6644</v>
      </c>
      <c r="Y55" s="2"/>
      <c r="Z55" s="6">
        <f t="shared" si="31"/>
        <v>8.7306176084099865E-2</v>
      </c>
    </row>
    <row r="56" spans="1:26" s="28" customFormat="1" outlineLevel="1" collapsed="1" x14ac:dyDescent="0.35">
      <c r="A56" s="27"/>
      <c r="B56" s="14" t="str">
        <f>CONCATENATE("     ","Subscriptions &amp; Dues                              ")</f>
        <v xml:space="preserve">     Subscriptions &amp; Dues                              </v>
      </c>
      <c r="C56" s="14"/>
      <c r="D56" s="1">
        <f>SUM(OSRRefD22_8x_0)</f>
        <v>0</v>
      </c>
      <c r="E56" s="1"/>
      <c r="F56" s="5">
        <f t="shared" ref="F56:F58" si="32">IF(D$12=0,0,D56/D$12)</f>
        <v>0</v>
      </c>
      <c r="G56" s="1"/>
      <c r="H56" s="1">
        <f>SUM(OSRRefH22_8x_0)</f>
        <v>100</v>
      </c>
      <c r="I56" s="1"/>
      <c r="J56" s="5">
        <f t="shared" ref="J56:J58" si="33">IF(H$12=0,0,H56/H$12)</f>
        <v>0</v>
      </c>
      <c r="K56" s="1"/>
      <c r="L56" s="1">
        <f t="shared" ref="L56:L58" si="34">+D56-H56</f>
        <v>-100</v>
      </c>
      <c r="M56" s="1"/>
      <c r="N56" s="5">
        <f t="shared" ref="N56:N58" si="35">IF(H56=0,0,L56/H56)</f>
        <v>-1</v>
      </c>
      <c r="O56" s="14"/>
      <c r="P56" s="1">
        <f>SUM(OSRRefP22_8x_0)</f>
        <v>0</v>
      </c>
      <c r="Q56" s="1"/>
      <c r="R56" s="5">
        <f t="shared" ref="R56:R58" si="36">IF(P$12=0,0,P56/P$12)</f>
        <v>0</v>
      </c>
      <c r="S56" s="1"/>
      <c r="T56" s="1">
        <f>SUM(OSRRefT22_8x_0)</f>
        <v>1600</v>
      </c>
      <c r="U56" s="1"/>
      <c r="V56" s="5">
        <f t="shared" ref="V56:V58" si="37">IF(T$12=0,0,T56/T$12)</f>
        <v>0</v>
      </c>
      <c r="W56" s="1"/>
      <c r="X56" s="1">
        <f t="shared" ref="X56:X58" si="38">+P56-T56</f>
        <v>-1600</v>
      </c>
      <c r="Y56" s="1"/>
      <c r="Z56" s="5">
        <f t="shared" ref="Z56:Z58" si="39">IF(T56=0,0,X56/T56)</f>
        <v>-1</v>
      </c>
    </row>
    <row r="57" spans="1:26" s="24" customFormat="1" hidden="1" outlineLevel="2" x14ac:dyDescent="0.35">
      <c r="A57" s="29"/>
      <c r="B57" s="11" t="str">
        <f>CONCATENATE("          ", "6258", " - ", "MEMBERSHIP DUES")</f>
        <v xml:space="preserve">          6258 - MEMBERSHIP DUES</v>
      </c>
      <c r="C57" s="11"/>
      <c r="D57" s="7"/>
      <c r="E57" s="2"/>
      <c r="F57" s="6">
        <f t="shared" si="32"/>
        <v>0</v>
      </c>
      <c r="G57" s="2"/>
      <c r="H57" s="7"/>
      <c r="I57" s="2"/>
      <c r="J57" s="6">
        <f t="shared" si="33"/>
        <v>0</v>
      </c>
      <c r="K57" s="2"/>
      <c r="L57" s="7">
        <f t="shared" si="34"/>
        <v>0</v>
      </c>
      <c r="M57" s="2"/>
      <c r="N57" s="6">
        <f t="shared" si="35"/>
        <v>0</v>
      </c>
      <c r="O57" s="11"/>
      <c r="P57" s="7"/>
      <c r="Q57" s="2"/>
      <c r="R57" s="6">
        <f t="shared" si="36"/>
        <v>0</v>
      </c>
      <c r="S57" s="2"/>
      <c r="T57" s="7">
        <v>900</v>
      </c>
      <c r="U57" s="2"/>
      <c r="V57" s="6">
        <f t="shared" si="37"/>
        <v>0</v>
      </c>
      <c r="W57" s="2"/>
      <c r="X57" s="7">
        <f t="shared" si="38"/>
        <v>-900</v>
      </c>
      <c r="Y57" s="2"/>
      <c r="Z57" s="6">
        <f t="shared" si="39"/>
        <v>-1</v>
      </c>
    </row>
    <row r="58" spans="1:26" s="24" customFormat="1" hidden="1" outlineLevel="2" x14ac:dyDescent="0.35">
      <c r="A58" s="29"/>
      <c r="B58" s="11" t="str">
        <f>CONCATENATE("          ", "6275", " - ", "SUBSCRIPTIONS")</f>
        <v xml:space="preserve">          6275 - SUBSCRIPTIONS</v>
      </c>
      <c r="C58" s="11"/>
      <c r="D58" s="7"/>
      <c r="E58" s="2"/>
      <c r="F58" s="6">
        <f t="shared" si="32"/>
        <v>0</v>
      </c>
      <c r="G58" s="2"/>
      <c r="H58" s="7">
        <v>100</v>
      </c>
      <c r="I58" s="2"/>
      <c r="J58" s="6">
        <f t="shared" si="33"/>
        <v>0</v>
      </c>
      <c r="K58" s="2"/>
      <c r="L58" s="7">
        <f t="shared" si="34"/>
        <v>-100</v>
      </c>
      <c r="M58" s="2"/>
      <c r="N58" s="6">
        <f t="shared" si="35"/>
        <v>-1</v>
      </c>
      <c r="O58" s="11"/>
      <c r="P58" s="7"/>
      <c r="Q58" s="2"/>
      <c r="R58" s="6">
        <f t="shared" si="36"/>
        <v>0</v>
      </c>
      <c r="S58" s="2"/>
      <c r="T58" s="7">
        <v>700</v>
      </c>
      <c r="U58" s="2"/>
      <c r="V58" s="6">
        <f t="shared" si="37"/>
        <v>0</v>
      </c>
      <c r="W58" s="2"/>
      <c r="X58" s="7">
        <f t="shared" si="38"/>
        <v>-700</v>
      </c>
      <c r="Y58" s="2"/>
      <c r="Z58" s="6">
        <f t="shared" si="39"/>
        <v>-1</v>
      </c>
    </row>
    <row r="59" spans="1:26" s="28" customFormat="1" outlineLevel="1" collapsed="1" x14ac:dyDescent="0.35">
      <c r="A59" s="27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SUM(OSRRefD22_9x_0)</f>
        <v>178.65</v>
      </c>
      <c r="E59" s="1"/>
      <c r="F59" s="5">
        <f t="shared" ref="F59:F63" si="40">IF(D$12=0,0,D59/D$12)</f>
        <v>0</v>
      </c>
      <c r="G59" s="1"/>
      <c r="H59" s="1">
        <f>SUM(OSRRefH22_9x_0)</f>
        <v>300</v>
      </c>
      <c r="I59" s="1"/>
      <c r="J59" s="5">
        <f t="shared" ref="J59:J63" si="41">IF(H$12=0,0,H59/H$12)</f>
        <v>0</v>
      </c>
      <c r="K59" s="1"/>
      <c r="L59" s="1">
        <f t="shared" ref="L59:L63" si="42">+D59-H59</f>
        <v>-121.35</v>
      </c>
      <c r="M59" s="1"/>
      <c r="N59" s="5">
        <f t="shared" ref="N59:N63" si="43">IF(H59=0,0,L59/H59)</f>
        <v>-0.40449999999999997</v>
      </c>
      <c r="O59" s="14"/>
      <c r="P59" s="1">
        <f>SUM(OSRRefP22_9x_0)</f>
        <v>-2825.53</v>
      </c>
      <c r="Q59" s="1"/>
      <c r="R59" s="5">
        <f t="shared" ref="R59:R63" si="44">IF(P$12=0,0,P59/P$12)</f>
        <v>0</v>
      </c>
      <c r="S59" s="1"/>
      <c r="T59" s="1">
        <f>SUM(OSRRefT22_9x_0)</f>
        <v>2100</v>
      </c>
      <c r="U59" s="1"/>
      <c r="V59" s="5">
        <f t="shared" ref="V59:V63" si="45">IF(T$12=0,0,T59/T$12)</f>
        <v>0</v>
      </c>
      <c r="W59" s="1"/>
      <c r="X59" s="1">
        <f t="shared" ref="X59:X63" si="46">+P59-T59</f>
        <v>-4925.5300000000007</v>
      </c>
      <c r="Y59" s="1"/>
      <c r="Z59" s="5">
        <f t="shared" ref="Z59:Z63" si="47">IF(T59=0,0,X59/T59)</f>
        <v>-2.3454904761904767</v>
      </c>
    </row>
    <row r="60" spans="1:26" s="24" customFormat="1" hidden="1" outlineLevel="2" x14ac:dyDescent="0.35">
      <c r="A60" s="29"/>
      <c r="B60" s="11" t="str">
        <f>CONCATENATE("          ", "6241", " - ", "OFFICE EXPENSE")</f>
        <v xml:space="preserve">          6241 - OFFICE EXPENSE</v>
      </c>
      <c r="C60" s="11"/>
      <c r="D60" s="7">
        <v>178.65</v>
      </c>
      <c r="E60" s="2"/>
      <c r="F60" s="6">
        <f t="shared" si="40"/>
        <v>0</v>
      </c>
      <c r="G60" s="2"/>
      <c r="H60" s="7">
        <v>300</v>
      </c>
      <c r="I60" s="2"/>
      <c r="J60" s="6">
        <f t="shared" si="41"/>
        <v>0</v>
      </c>
      <c r="K60" s="2"/>
      <c r="L60" s="7">
        <f t="shared" si="42"/>
        <v>-121.35</v>
      </c>
      <c r="M60" s="2"/>
      <c r="N60" s="6">
        <f t="shared" si="43"/>
        <v>-0.40449999999999997</v>
      </c>
      <c r="O60" s="11"/>
      <c r="P60" s="7">
        <v>-2825.53</v>
      </c>
      <c r="Q60" s="2"/>
      <c r="R60" s="6">
        <f t="shared" si="44"/>
        <v>0</v>
      </c>
      <c r="S60" s="2"/>
      <c r="T60" s="7">
        <v>2100</v>
      </c>
      <c r="U60" s="2"/>
      <c r="V60" s="6">
        <f t="shared" si="45"/>
        <v>0</v>
      </c>
      <c r="W60" s="2"/>
      <c r="X60" s="7">
        <f t="shared" si="46"/>
        <v>-4925.5300000000007</v>
      </c>
      <c r="Y60" s="2"/>
      <c r="Z60" s="6">
        <f t="shared" si="47"/>
        <v>-2.3454904761904767</v>
      </c>
    </row>
    <row r="61" spans="1:26" s="28" customFormat="1" outlineLevel="1" collapsed="1" x14ac:dyDescent="0.35">
      <c r="A61" s="27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SUM(OSRRefD22_10x_0)</f>
        <v>614.14</v>
      </c>
      <c r="E61" s="1"/>
      <c r="F61" s="5">
        <f t="shared" si="40"/>
        <v>0</v>
      </c>
      <c r="G61" s="1"/>
      <c r="H61" s="1">
        <f>SUM(OSRRefH22_10x_0)</f>
        <v>395</v>
      </c>
      <c r="I61" s="1"/>
      <c r="J61" s="5">
        <f t="shared" si="41"/>
        <v>0</v>
      </c>
      <c r="K61" s="1"/>
      <c r="L61" s="1">
        <f t="shared" si="42"/>
        <v>219.14</v>
      </c>
      <c r="M61" s="1"/>
      <c r="N61" s="5">
        <f t="shared" si="43"/>
        <v>0.55478481012658221</v>
      </c>
      <c r="O61" s="14"/>
      <c r="P61" s="1">
        <f>SUM(OSRRefP22_10x_0)</f>
        <v>5712.68</v>
      </c>
      <c r="Q61" s="1"/>
      <c r="R61" s="5">
        <f t="shared" si="44"/>
        <v>0</v>
      </c>
      <c r="S61" s="1"/>
      <c r="T61" s="1">
        <f>SUM(OSRRefT22_10x_0)</f>
        <v>2765</v>
      </c>
      <c r="U61" s="1"/>
      <c r="V61" s="5">
        <f t="shared" si="45"/>
        <v>0</v>
      </c>
      <c r="W61" s="1"/>
      <c r="X61" s="1">
        <f t="shared" si="46"/>
        <v>2947.6800000000003</v>
      </c>
      <c r="Y61" s="1"/>
      <c r="Z61" s="5">
        <f t="shared" si="47"/>
        <v>1.0660687160940328</v>
      </c>
    </row>
    <row r="62" spans="1:26" s="24" customFormat="1" hidden="1" outlineLevel="2" x14ac:dyDescent="0.35">
      <c r="A62" s="29"/>
      <c r="B62" s="11" t="str">
        <f>CONCATENATE("          ", "6303", " - ", "DATA PHONE LINES")</f>
        <v xml:space="preserve">          6303 - DATA PHONE LINES</v>
      </c>
      <c r="C62" s="11"/>
      <c r="D62" s="7">
        <v>158.97999999999999</v>
      </c>
      <c r="E62" s="2"/>
      <c r="F62" s="6">
        <f t="shared" si="40"/>
        <v>0</v>
      </c>
      <c r="G62" s="2"/>
      <c r="H62" s="7">
        <v>335</v>
      </c>
      <c r="I62" s="2"/>
      <c r="J62" s="6">
        <f t="shared" si="41"/>
        <v>0</v>
      </c>
      <c r="K62" s="2"/>
      <c r="L62" s="7">
        <f t="shared" si="42"/>
        <v>-176.02</v>
      </c>
      <c r="M62" s="2"/>
      <c r="N62" s="6">
        <f t="shared" si="43"/>
        <v>-0.52543283582089551</v>
      </c>
      <c r="O62" s="11"/>
      <c r="P62" s="7">
        <v>923.88</v>
      </c>
      <c r="Q62" s="2"/>
      <c r="R62" s="6">
        <f t="shared" si="44"/>
        <v>0</v>
      </c>
      <c r="S62" s="2"/>
      <c r="T62" s="7">
        <v>2345</v>
      </c>
      <c r="U62" s="2"/>
      <c r="V62" s="6">
        <f t="shared" si="45"/>
        <v>0</v>
      </c>
      <c r="W62" s="2"/>
      <c r="X62" s="7">
        <f t="shared" si="46"/>
        <v>-1421.12</v>
      </c>
      <c r="Y62" s="2"/>
      <c r="Z62" s="6">
        <f t="shared" si="47"/>
        <v>-0.6060213219616204</v>
      </c>
    </row>
    <row r="63" spans="1:26" s="24" customFormat="1" hidden="1" outlineLevel="2" x14ac:dyDescent="0.35">
      <c r="A63" s="29"/>
      <c r="B63" s="11" t="str">
        <f>CONCATENATE("          ", "6309", " - ", "TELEPHONE")</f>
        <v xml:space="preserve">          6309 - TELEPHONE</v>
      </c>
      <c r="C63" s="11"/>
      <c r="D63" s="7">
        <v>455.16</v>
      </c>
      <c r="E63" s="2"/>
      <c r="F63" s="6">
        <f t="shared" si="40"/>
        <v>0</v>
      </c>
      <c r="G63" s="2"/>
      <c r="H63" s="7">
        <v>60</v>
      </c>
      <c r="I63" s="2"/>
      <c r="J63" s="6">
        <f t="shared" si="41"/>
        <v>0</v>
      </c>
      <c r="K63" s="2"/>
      <c r="L63" s="7">
        <f t="shared" si="42"/>
        <v>395.16</v>
      </c>
      <c r="M63" s="2"/>
      <c r="N63" s="6">
        <f t="shared" si="43"/>
        <v>6.5860000000000003</v>
      </c>
      <c r="O63" s="11"/>
      <c r="P63" s="7">
        <v>4788.8</v>
      </c>
      <c r="Q63" s="2"/>
      <c r="R63" s="6">
        <f t="shared" si="44"/>
        <v>0</v>
      </c>
      <c r="S63" s="2"/>
      <c r="T63" s="7">
        <v>420</v>
      </c>
      <c r="U63" s="2"/>
      <c r="V63" s="6">
        <f t="shared" si="45"/>
        <v>0</v>
      </c>
      <c r="W63" s="2"/>
      <c r="X63" s="7">
        <f t="shared" si="46"/>
        <v>4368.8</v>
      </c>
      <c r="Y63" s="2"/>
      <c r="Z63" s="6">
        <f t="shared" si="47"/>
        <v>10.401904761904762</v>
      </c>
    </row>
    <row r="64" spans="1:26" s="28" customFormat="1" outlineLevel="1" collapsed="1" x14ac:dyDescent="0.35">
      <c r="A64" s="27"/>
      <c r="B64" s="14" t="str">
        <f>CONCATENATE("     ","Training                                          ")</f>
        <v xml:space="preserve">     Training                                          </v>
      </c>
      <c r="C64" s="14"/>
      <c r="D64" s="1">
        <f>SUM(OSRRefD22_11x_0)</f>
        <v>0</v>
      </c>
      <c r="E64" s="1"/>
      <c r="F64" s="5">
        <f t="shared" ref="F64:F67" si="48">IF(D$12=0,0,D64/D$12)</f>
        <v>0</v>
      </c>
      <c r="G64" s="1"/>
      <c r="H64" s="1">
        <f>SUM(OSRRefH22_11x_0)</f>
        <v>0</v>
      </c>
      <c r="I64" s="1"/>
      <c r="J64" s="5">
        <f t="shared" ref="J64:J67" si="49">IF(H$12=0,0,H64/H$12)</f>
        <v>0</v>
      </c>
      <c r="K64" s="1"/>
      <c r="L64" s="1">
        <f t="shared" ref="L64:L67" si="50">+D64-H64</f>
        <v>0</v>
      </c>
      <c r="M64" s="1"/>
      <c r="N64" s="5">
        <f t="shared" ref="N64:N67" si="51">IF(H64=0,0,L64/H64)</f>
        <v>0</v>
      </c>
      <c r="O64" s="14"/>
      <c r="P64" s="1">
        <f>SUM(OSRRefP22_11x_0)</f>
        <v>99</v>
      </c>
      <c r="Q64" s="1"/>
      <c r="R64" s="5">
        <f t="shared" ref="R64:R67" si="52">IF(P$12=0,0,P64/P$12)</f>
        <v>0</v>
      </c>
      <c r="S64" s="1"/>
      <c r="T64" s="1">
        <f>SUM(OSRRefT22_11x_0)</f>
        <v>0</v>
      </c>
      <c r="U64" s="1"/>
      <c r="V64" s="5">
        <f t="shared" ref="V64:V67" si="53">IF(T$12=0,0,T64/T$12)</f>
        <v>0</v>
      </c>
      <c r="W64" s="1"/>
      <c r="X64" s="1">
        <f t="shared" ref="X64:X67" si="54">+P64-T64</f>
        <v>99</v>
      </c>
      <c r="Y64" s="1"/>
      <c r="Z64" s="5">
        <f t="shared" ref="Z64:Z67" si="55">IF(T64=0,0,X64/T64)</f>
        <v>0</v>
      </c>
    </row>
    <row r="65" spans="1:26" s="24" customFormat="1" hidden="1" outlineLevel="2" x14ac:dyDescent="0.35">
      <c r="A65" s="29"/>
      <c r="B65" s="11" t="str">
        <f>CONCATENATE("          ", "6376", " - ", "TRAINING")</f>
        <v xml:space="preserve">          6376 - TRAINING</v>
      </c>
      <c r="C65" s="11"/>
      <c r="D65" s="7"/>
      <c r="E65" s="2"/>
      <c r="F65" s="6">
        <f t="shared" si="48"/>
        <v>0</v>
      </c>
      <c r="G65" s="2"/>
      <c r="H65" s="7"/>
      <c r="I65" s="2"/>
      <c r="J65" s="6">
        <f t="shared" si="49"/>
        <v>0</v>
      </c>
      <c r="K65" s="2"/>
      <c r="L65" s="7">
        <f t="shared" si="50"/>
        <v>0</v>
      </c>
      <c r="M65" s="2"/>
      <c r="N65" s="6">
        <f t="shared" si="51"/>
        <v>0</v>
      </c>
      <c r="O65" s="11"/>
      <c r="P65" s="7">
        <v>99</v>
      </c>
      <c r="Q65" s="2"/>
      <c r="R65" s="6">
        <f t="shared" si="52"/>
        <v>0</v>
      </c>
      <c r="S65" s="2"/>
      <c r="T65" s="7"/>
      <c r="U65" s="2"/>
      <c r="V65" s="6">
        <f t="shared" si="53"/>
        <v>0</v>
      </c>
      <c r="W65" s="2"/>
      <c r="X65" s="7">
        <f t="shared" si="54"/>
        <v>99</v>
      </c>
      <c r="Y65" s="2"/>
      <c r="Z65" s="6">
        <f t="shared" si="55"/>
        <v>0</v>
      </c>
    </row>
    <row r="66" spans="1:26" s="28" customFormat="1" outlineLevel="1" collapsed="1" x14ac:dyDescent="0.35">
      <c r="A66" s="27"/>
      <c r="B66" s="14" t="str">
        <f>CONCATENATE("     ","Travel                                            ")</f>
        <v xml:space="preserve">     Travel                                            </v>
      </c>
      <c r="C66" s="14"/>
      <c r="D66" s="1">
        <f>SUM(OSRRefD22_12x_0)</f>
        <v>0</v>
      </c>
      <c r="E66" s="1"/>
      <c r="F66" s="5">
        <f t="shared" si="48"/>
        <v>0</v>
      </c>
      <c r="G66" s="1"/>
      <c r="H66" s="1">
        <f>SUM(OSRRefH22_12x_0)</f>
        <v>625</v>
      </c>
      <c r="I66" s="1"/>
      <c r="J66" s="5">
        <f t="shared" si="49"/>
        <v>0</v>
      </c>
      <c r="K66" s="1"/>
      <c r="L66" s="1">
        <f t="shared" si="50"/>
        <v>-625</v>
      </c>
      <c r="M66" s="1"/>
      <c r="N66" s="5">
        <f t="shared" si="51"/>
        <v>-1</v>
      </c>
      <c r="O66" s="14"/>
      <c r="P66" s="1">
        <f>SUM(OSRRefP22_12x_0)</f>
        <v>0</v>
      </c>
      <c r="Q66" s="1"/>
      <c r="R66" s="5">
        <f t="shared" si="52"/>
        <v>0</v>
      </c>
      <c r="S66" s="1"/>
      <c r="T66" s="1">
        <f>SUM(OSRRefT22_12x_0)</f>
        <v>4375</v>
      </c>
      <c r="U66" s="1"/>
      <c r="V66" s="5">
        <f t="shared" si="53"/>
        <v>0</v>
      </c>
      <c r="W66" s="1"/>
      <c r="X66" s="1">
        <f t="shared" si="54"/>
        <v>-4375</v>
      </c>
      <c r="Y66" s="1"/>
      <c r="Z66" s="5">
        <f t="shared" si="55"/>
        <v>-1</v>
      </c>
    </row>
    <row r="67" spans="1:26" s="24" customFormat="1" hidden="1" outlineLevel="2" x14ac:dyDescent="0.35">
      <c r="A67" s="29"/>
      <c r="B67" s="11" t="str">
        <f>CONCATENATE("          ", "6292", " - ", "TRAVEL/CONFERENCE")</f>
        <v xml:space="preserve">          6292 - TRAVEL/CONFERENCE</v>
      </c>
      <c r="C67" s="11"/>
      <c r="D67" s="7"/>
      <c r="E67" s="2"/>
      <c r="F67" s="6">
        <f t="shared" si="48"/>
        <v>0</v>
      </c>
      <c r="G67" s="2"/>
      <c r="H67" s="7">
        <v>625</v>
      </c>
      <c r="I67" s="2"/>
      <c r="J67" s="6">
        <f t="shared" si="49"/>
        <v>0</v>
      </c>
      <c r="K67" s="2"/>
      <c r="L67" s="7">
        <f t="shared" si="50"/>
        <v>-625</v>
      </c>
      <c r="M67" s="2"/>
      <c r="N67" s="6">
        <f t="shared" si="51"/>
        <v>-1</v>
      </c>
      <c r="O67" s="11"/>
      <c r="P67" s="7"/>
      <c r="Q67" s="2"/>
      <c r="R67" s="6">
        <f t="shared" si="52"/>
        <v>0</v>
      </c>
      <c r="S67" s="2"/>
      <c r="T67" s="7">
        <v>4375</v>
      </c>
      <c r="U67" s="2"/>
      <c r="V67" s="6">
        <f t="shared" si="53"/>
        <v>0</v>
      </c>
      <c r="W67" s="2"/>
      <c r="X67" s="7">
        <f t="shared" si="54"/>
        <v>-4375</v>
      </c>
      <c r="Y67" s="2"/>
      <c r="Z67" s="6">
        <f t="shared" si="55"/>
        <v>-1</v>
      </c>
    </row>
    <row r="68" spans="1:26" s="55" customFormat="1" x14ac:dyDescent="0.3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35">
      <c r="A69" s="10"/>
      <c r="B69" s="25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3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35">
      <c r="A71" s="10"/>
      <c r="B71" s="26" t="s">
        <v>3</v>
      </c>
      <c r="C71" s="26"/>
      <c r="D71" s="19">
        <f>+D16-D18+D69</f>
        <v>-50620.130000000005</v>
      </c>
      <c r="E71" s="13"/>
      <c r="F71" s="21">
        <f>IF(D$12=0,0,D71/D$12)</f>
        <v>0</v>
      </c>
      <c r="G71" s="13"/>
      <c r="H71" s="19">
        <f>+H16-H18+H69</f>
        <v>-57810.278538461578</v>
      </c>
      <c r="I71" s="13"/>
      <c r="J71" s="21">
        <f>IF(H$12=0,0,H71/H$12)</f>
        <v>0</v>
      </c>
      <c r="K71" s="16"/>
      <c r="L71" s="19">
        <f>+D71-H71</f>
        <v>7190.1485384615735</v>
      </c>
      <c r="M71" s="16"/>
      <c r="N71" s="21">
        <f>IF(H71=0,0,L71/H71)</f>
        <v>-0.12437491602255329</v>
      </c>
      <c r="O71" s="25"/>
      <c r="P71" s="19">
        <f>+P16-P18+P69</f>
        <v>-357175.36999999994</v>
      </c>
      <c r="Q71" s="13"/>
      <c r="R71" s="21">
        <f>IF(P$12=0,0,P71/P$12)</f>
        <v>0</v>
      </c>
      <c r="S71" s="13"/>
      <c r="T71" s="19">
        <f>+T16-T18+T69</f>
        <v>-372063.49238461541</v>
      </c>
      <c r="U71" s="13"/>
      <c r="V71" s="21">
        <f>IF(T$12=0,0,T71/T$12)</f>
        <v>0</v>
      </c>
      <c r="W71" s="16"/>
      <c r="X71" s="19">
        <f>+P71-T71</f>
        <v>14888.122384615475</v>
      </c>
      <c r="Y71" s="16"/>
      <c r="Z71" s="21">
        <f>IF(T71=0,0,X71/T71)</f>
        <v>-4.001500466814166E-2</v>
      </c>
    </row>
    <row r="72" spans="1:26" x14ac:dyDescent="0.3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35">
      <c r="A73" s="52"/>
      <c r="B73" s="10" t="s">
        <v>14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3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" thickBot="1" x14ac:dyDescent="0.4">
      <c r="A75" s="10"/>
      <c r="B75" s="26" t="s">
        <v>4</v>
      </c>
      <c r="C75" s="26"/>
      <c r="D75" s="33">
        <f>+D71-D73</f>
        <v>-50620.130000000005</v>
      </c>
      <c r="E75" s="13"/>
      <c r="F75" s="31">
        <f>IF(D$12=0,0,D75/D$12)</f>
        <v>0</v>
      </c>
      <c r="G75" s="13"/>
      <c r="H75" s="33">
        <f>+H71-H73</f>
        <v>-57810.278538461578</v>
      </c>
      <c r="I75" s="13"/>
      <c r="J75" s="31">
        <f>IF(H$12=0,0,H75/H$12)</f>
        <v>0</v>
      </c>
      <c r="K75" s="16"/>
      <c r="L75" s="33">
        <f>D75-H75</f>
        <v>7190.1485384615735</v>
      </c>
      <c r="M75" s="16"/>
      <c r="N75" s="31">
        <f>IF(H75=0,0,L75/H75)</f>
        <v>-0.12437491602255329</v>
      </c>
      <c r="O75" s="25"/>
      <c r="P75" s="33">
        <f>+P71-P73</f>
        <v>-357175.36999999994</v>
      </c>
      <c r="Q75" s="13"/>
      <c r="R75" s="31">
        <f>IF(P$12=0,0,P75/P$12)</f>
        <v>0</v>
      </c>
      <c r="S75" s="13"/>
      <c r="T75" s="33">
        <f>+T71-T73</f>
        <v>-372063.49238461541</v>
      </c>
      <c r="U75" s="13"/>
      <c r="V75" s="31">
        <f>IF(T$12=0,0,T75/T$12)</f>
        <v>0</v>
      </c>
      <c r="W75" s="16"/>
      <c r="X75" s="33">
        <f>P75-T75</f>
        <v>14888.122384615475</v>
      </c>
      <c r="Y75" s="16"/>
      <c r="Z75" s="31">
        <f>IF(T75=0,0,X75/T75)</f>
        <v>-4.001500466814166E-2</v>
      </c>
    </row>
    <row r="76" spans="1:26" ht="15" thickTop="1" x14ac:dyDescent="0.3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3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" thickBot="1" x14ac:dyDescent="0.4">
      <c r="A78" s="10"/>
      <c r="B78" s="26" t="s">
        <v>5</v>
      </c>
      <c r="C78" s="26"/>
      <c r="D78" s="34">
        <f>SUM(D75:D77)</f>
        <v>-50620.130000000005</v>
      </c>
      <c r="E78" s="13"/>
      <c r="F78" s="32">
        <f>IF(D$12=0,0,D78/D$12)</f>
        <v>0</v>
      </c>
      <c r="G78" s="13"/>
      <c r="H78" s="34">
        <f>SUM(H75:H77)</f>
        <v>-57810.278538461578</v>
      </c>
      <c r="I78" s="13"/>
      <c r="J78" s="32">
        <f>IF(H$12=0,0,H78/H$12)</f>
        <v>0</v>
      </c>
      <c r="K78" s="16"/>
      <c r="L78" s="34">
        <f>+D78-H78</f>
        <v>7190.1485384615735</v>
      </c>
      <c r="M78" s="16"/>
      <c r="N78" s="32">
        <f>IF(H78=0,0,L78/H78)</f>
        <v>-0.12437491602255329</v>
      </c>
      <c r="O78" s="25"/>
      <c r="P78" s="34">
        <f>SUM(P75:P77)</f>
        <v>-357175.36999999994</v>
      </c>
      <c r="Q78" s="13"/>
      <c r="R78" s="32">
        <f>IF(P$12=0,0,P78/P$12)</f>
        <v>0</v>
      </c>
      <c r="S78" s="13"/>
      <c r="T78" s="34">
        <f>SUM(T75:T77)</f>
        <v>-372063.49238461541</v>
      </c>
      <c r="U78" s="13"/>
      <c r="V78" s="32">
        <f>IF(T$12=0,0,T78/T$12)</f>
        <v>0</v>
      </c>
      <c r="W78" s="16"/>
      <c r="X78" s="34">
        <f>+P78-T78</f>
        <v>14888.122384615475</v>
      </c>
      <c r="Y78" s="16"/>
      <c r="Z78" s="32">
        <f>IF(T78=0,0,X78/T78)</f>
        <v>-4.001500466814166E-2</v>
      </c>
    </row>
    <row r="79" spans="1:26" ht="15" thickTop="1" x14ac:dyDescent="0.3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35">
      <c r="A80" s="9"/>
      <c r="B80" s="60">
        <v>44238.490307638887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35">
      <c r="A81" s="9"/>
      <c r="B81" s="59" t="s">
        <v>314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35">
      <c r="A82" s="9"/>
      <c r="B82" s="58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3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0"/>
  <sheetViews>
    <sheetView zoomScale="80" workbookViewId="0">
      <pane xSplit="3" ySplit="10" topLeftCell="D62" activePane="bottomRight" state="frozen"/>
      <selection pane="topRight" activeCell="D1" sqref="D1"/>
      <selection pane="bottomLeft" activeCell="A11" sqref="A11"/>
      <selection pane="bottomRight" activeCell="F71" sqref="F7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","205", " - ", "Maintenance")</f>
        <v>Department 205 - Maintenance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6" t="s">
        <v>6</v>
      </c>
      <c r="C16" s="26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6"/>
      <c r="L16" s="19">
        <f>+D16-H16</f>
        <v>0</v>
      </c>
      <c r="M16" s="16"/>
      <c r="N16" s="21">
        <f>IF(H16=0,0,L16/H16)</f>
        <v>0</v>
      </c>
      <c r="O16" s="25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6"/>
      <c r="X16" s="19">
        <f>+P16-T16</f>
        <v>0</v>
      </c>
      <c r="Y16" s="16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5" t="s">
        <v>9</v>
      </c>
      <c r="C18" s="10"/>
      <c r="D18" s="20">
        <f>SUM(OSRRefD22x_0)</f>
        <v>8201.44</v>
      </c>
      <c r="E18" s="20"/>
      <c r="F18" s="30">
        <f t="shared" ref="F18:F28" si="0">IF(D$12=0,0,D18/D$12)</f>
        <v>0</v>
      </c>
      <c r="G18" s="20"/>
      <c r="H18" s="20">
        <f>SUM(OSRRefH22x_0)</f>
        <v>8531.0651923076912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-329.62519230769067</v>
      </c>
      <c r="M18" s="4"/>
      <c r="N18" s="30">
        <f t="shared" ref="N18:N28" si="3">IF(H18=0,0,L18/H18)</f>
        <v>-3.8638222177097864E-2</v>
      </c>
      <c r="O18" s="10"/>
      <c r="P18" s="20">
        <f>SUM(OSRRefP22x_0)</f>
        <v>55789.599999999991</v>
      </c>
      <c r="Q18" s="20"/>
      <c r="R18" s="30">
        <f t="shared" ref="R18:R28" si="4">IF(P$12=0,0,P18/P$12)</f>
        <v>0</v>
      </c>
      <c r="S18" s="20"/>
      <c r="T18" s="20">
        <f>SUM(OSRRefT22x_0)</f>
        <v>58854.20419230769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-3064.6041923076991</v>
      </c>
      <c r="Y18" s="4"/>
      <c r="Z18" s="30">
        <f t="shared" ref="Z18:Z28" si="7">IF(T18=0,0,X18/T18)</f>
        <v>-5.2071117677405389E-2</v>
      </c>
    </row>
    <row r="19" spans="1:26" s="28" customFormat="1" outlineLevel="1" collapsed="1" x14ac:dyDescent="0.3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2535.9499999999998</v>
      </c>
      <c r="E19" s="1"/>
      <c r="F19" s="5">
        <f t="shared" si="0"/>
        <v>0</v>
      </c>
      <c r="G19" s="1"/>
      <c r="H19" s="1">
        <f>SUM(OSRRefH22_0x_0)</f>
        <v>2281.5651923076921</v>
      </c>
      <c r="I19" s="1"/>
      <c r="J19" s="5">
        <f t="shared" si="1"/>
        <v>0</v>
      </c>
      <c r="K19" s="1"/>
      <c r="L19" s="1">
        <f t="shared" si="2"/>
        <v>254.38480769230773</v>
      </c>
      <c r="M19" s="1"/>
      <c r="N19" s="5">
        <f t="shared" si="3"/>
        <v>0.11149574360179026</v>
      </c>
      <c r="O19" s="14"/>
      <c r="P19" s="1">
        <f>SUM(OSRRefP22_0x_0)</f>
        <v>17419.010000000002</v>
      </c>
      <c r="Q19" s="1"/>
      <c r="R19" s="5">
        <f t="shared" si="4"/>
        <v>0</v>
      </c>
      <c r="S19" s="1"/>
      <c r="T19" s="1">
        <f>SUM(OSRRefT22_0x_0)</f>
        <v>14145.704192307692</v>
      </c>
      <c r="U19" s="1"/>
      <c r="V19" s="5">
        <f t="shared" si="5"/>
        <v>0</v>
      </c>
      <c r="W19" s="1"/>
      <c r="X19" s="1">
        <f t="shared" si="6"/>
        <v>3273.3058076923098</v>
      </c>
      <c r="Y19" s="1"/>
      <c r="Z19" s="5">
        <f t="shared" si="7"/>
        <v>0.23139928300439822</v>
      </c>
    </row>
    <row r="20" spans="1:26" s="24" customFormat="1" hidden="1" outlineLevel="2" x14ac:dyDescent="0.35">
      <c r="A20" s="29"/>
      <c r="B20" s="11" t="str">
        <f>CONCATENATE("          ", "6111", " - ", "F.I.C.A.")</f>
        <v xml:space="preserve">          6111 - F.I.C.A.</v>
      </c>
      <c r="C20" s="11"/>
      <c r="D20" s="7">
        <v>322.3</v>
      </c>
      <c r="E20" s="2"/>
      <c r="F20" s="6">
        <f t="shared" si="0"/>
        <v>0</v>
      </c>
      <c r="G20" s="2"/>
      <c r="H20" s="7">
        <v>401.78250000000003</v>
      </c>
      <c r="I20" s="2"/>
      <c r="J20" s="6">
        <f t="shared" si="1"/>
        <v>0</v>
      </c>
      <c r="K20" s="2"/>
      <c r="L20" s="7">
        <f t="shared" si="2"/>
        <v>-79.482500000000016</v>
      </c>
      <c r="M20" s="2"/>
      <c r="N20" s="6">
        <f t="shared" si="3"/>
        <v>-0.19782469370866082</v>
      </c>
      <c r="O20" s="11"/>
      <c r="P20" s="7">
        <v>2381.7600000000002</v>
      </c>
      <c r="Q20" s="2"/>
      <c r="R20" s="6">
        <f t="shared" si="4"/>
        <v>0</v>
      </c>
      <c r="S20" s="2"/>
      <c r="T20" s="7">
        <v>2491.0515</v>
      </c>
      <c r="U20" s="2"/>
      <c r="V20" s="6">
        <f t="shared" si="5"/>
        <v>0</v>
      </c>
      <c r="W20" s="2"/>
      <c r="X20" s="7">
        <f t="shared" si="6"/>
        <v>-109.29149999999981</v>
      </c>
      <c r="Y20" s="2"/>
      <c r="Z20" s="6">
        <f t="shared" si="7"/>
        <v>-4.3873641311711065E-2</v>
      </c>
    </row>
    <row r="21" spans="1:26" s="24" customFormat="1" hidden="1" outlineLevel="2" x14ac:dyDescent="0.3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151.37</v>
      </c>
      <c r="E21" s="2"/>
      <c r="F21" s="6">
        <f t="shared" si="0"/>
        <v>0</v>
      </c>
      <c r="G21" s="2"/>
      <c r="H21" s="7">
        <v>363.82499999999999</v>
      </c>
      <c r="I21" s="2"/>
      <c r="J21" s="6">
        <f t="shared" si="1"/>
        <v>0</v>
      </c>
      <c r="K21" s="2"/>
      <c r="L21" s="7">
        <f t="shared" si="2"/>
        <v>-212.45499999999998</v>
      </c>
      <c r="M21" s="2"/>
      <c r="N21" s="6">
        <f t="shared" si="3"/>
        <v>-0.5839483268054696</v>
      </c>
      <c r="O21" s="11"/>
      <c r="P21" s="7">
        <v>2156.73</v>
      </c>
      <c r="Q21" s="2"/>
      <c r="R21" s="6">
        <f t="shared" si="4"/>
        <v>0</v>
      </c>
      <c r="S21" s="2"/>
      <c r="T21" s="7">
        <v>2255.7150000000001</v>
      </c>
      <c r="U21" s="2"/>
      <c r="V21" s="6">
        <f t="shared" si="5"/>
        <v>0</v>
      </c>
      <c r="W21" s="2"/>
      <c r="X21" s="7">
        <f t="shared" si="6"/>
        <v>-98.985000000000127</v>
      </c>
      <c r="Y21" s="2"/>
      <c r="Z21" s="6">
        <f t="shared" si="7"/>
        <v>-4.3881873374960988E-2</v>
      </c>
    </row>
    <row r="22" spans="1:26" s="24" customFormat="1" hidden="1" outlineLevel="2" x14ac:dyDescent="0.35">
      <c r="A22" s="29"/>
      <c r="B22" s="11" t="str">
        <f>CONCATENATE("          ", "6113", " - ", "GROUP INSURANCE")</f>
        <v xml:space="preserve">          6113 - GROUP INSURANCE</v>
      </c>
      <c r="C22" s="11"/>
      <c r="D22" s="7">
        <v>699.91</v>
      </c>
      <c r="E22" s="2"/>
      <c r="F22" s="6">
        <f t="shared" si="0"/>
        <v>0</v>
      </c>
      <c r="G22" s="2"/>
      <c r="H22" s="7">
        <v>767.30769230769204</v>
      </c>
      <c r="I22" s="2"/>
      <c r="J22" s="6">
        <f t="shared" si="1"/>
        <v>0</v>
      </c>
      <c r="K22" s="2"/>
      <c r="L22" s="7">
        <f t="shared" si="2"/>
        <v>-67.397692307692068</v>
      </c>
      <c r="M22" s="2"/>
      <c r="N22" s="6">
        <f t="shared" si="3"/>
        <v>-8.7836591478696463E-2</v>
      </c>
      <c r="O22" s="11"/>
      <c r="P22" s="7">
        <v>4876.87</v>
      </c>
      <c r="Q22" s="2"/>
      <c r="R22" s="6">
        <f t="shared" si="4"/>
        <v>0</v>
      </c>
      <c r="S22" s="2"/>
      <c r="T22" s="7">
        <v>4757.3076923076924</v>
      </c>
      <c r="U22" s="2"/>
      <c r="V22" s="6">
        <f t="shared" si="5"/>
        <v>0</v>
      </c>
      <c r="W22" s="2"/>
      <c r="X22" s="7">
        <f t="shared" si="6"/>
        <v>119.56230769230751</v>
      </c>
      <c r="Y22" s="2"/>
      <c r="Z22" s="6">
        <f t="shared" si="7"/>
        <v>2.513234699652353E-2</v>
      </c>
    </row>
    <row r="23" spans="1:26" s="24" customFormat="1" hidden="1" outlineLevel="2" x14ac:dyDescent="0.3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21.78</v>
      </c>
      <c r="E23" s="2"/>
      <c r="F23" s="6">
        <f t="shared" si="0"/>
        <v>0</v>
      </c>
      <c r="G23" s="2"/>
      <c r="H23" s="7">
        <v>13.65</v>
      </c>
      <c r="I23" s="2"/>
      <c r="J23" s="6">
        <f t="shared" si="1"/>
        <v>0</v>
      </c>
      <c r="K23" s="2"/>
      <c r="L23" s="7">
        <f t="shared" si="2"/>
        <v>8.1300000000000008</v>
      </c>
      <c r="M23" s="2"/>
      <c r="N23" s="6">
        <f t="shared" si="3"/>
        <v>0.5956043956043956</v>
      </c>
      <c r="O23" s="11"/>
      <c r="P23" s="7">
        <v>80.930000000000007</v>
      </c>
      <c r="Q23" s="2"/>
      <c r="R23" s="6">
        <f t="shared" si="4"/>
        <v>0</v>
      </c>
      <c r="S23" s="2"/>
      <c r="T23" s="7">
        <v>84.63</v>
      </c>
      <c r="U23" s="2"/>
      <c r="V23" s="6">
        <f t="shared" si="5"/>
        <v>0</v>
      </c>
      <c r="W23" s="2"/>
      <c r="X23" s="7">
        <f t="shared" si="6"/>
        <v>-3.6999999999999886</v>
      </c>
      <c r="Y23" s="2"/>
      <c r="Z23" s="6">
        <f t="shared" si="7"/>
        <v>-4.3719721139075844E-2</v>
      </c>
    </row>
    <row r="24" spans="1:26" s="24" customFormat="1" hidden="1" outlineLevel="2" x14ac:dyDescent="0.35">
      <c r="A24" s="29"/>
      <c r="B24" s="11" t="str">
        <f>CONCATENATE("          ", "6115", " - ", "P.E.R.S.")</f>
        <v xml:space="preserve">          6115 - P.E.R.S.</v>
      </c>
      <c r="C24" s="11"/>
      <c r="D24" s="7">
        <v>694.91</v>
      </c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694.91</v>
      </c>
      <c r="M24" s="2"/>
      <c r="N24" s="6">
        <f t="shared" si="3"/>
        <v>0</v>
      </c>
      <c r="O24" s="11"/>
      <c r="P24" s="7">
        <v>3706.17</v>
      </c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3706.17</v>
      </c>
      <c r="Y24" s="2"/>
      <c r="Z24" s="6">
        <f t="shared" si="7"/>
        <v>0</v>
      </c>
    </row>
    <row r="25" spans="1:26" s="24" customFormat="1" hidden="1" outlineLevel="2" x14ac:dyDescent="0.3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35">
      <c r="A26" s="29"/>
      <c r="B26" s="11" t="str">
        <f>CONCATENATE("          ", "6118", " - ", "VACATION")</f>
        <v xml:space="preserve">          6118 - VACATION</v>
      </c>
      <c r="C26" s="11"/>
      <c r="D26" s="7">
        <v>387.96</v>
      </c>
      <c r="E26" s="2"/>
      <c r="F26" s="6">
        <f t="shared" si="0"/>
        <v>0</v>
      </c>
      <c r="G26" s="2"/>
      <c r="H26" s="7">
        <v>525</v>
      </c>
      <c r="I26" s="2"/>
      <c r="J26" s="6">
        <f t="shared" si="1"/>
        <v>0</v>
      </c>
      <c r="K26" s="2"/>
      <c r="L26" s="7">
        <f t="shared" si="2"/>
        <v>-137.04000000000002</v>
      </c>
      <c r="M26" s="2"/>
      <c r="N26" s="6">
        <f t="shared" si="3"/>
        <v>-0.26102857142857144</v>
      </c>
      <c r="O26" s="11"/>
      <c r="P26" s="7">
        <v>1809.86</v>
      </c>
      <c r="Q26" s="2"/>
      <c r="R26" s="6">
        <f t="shared" si="4"/>
        <v>0</v>
      </c>
      <c r="S26" s="2"/>
      <c r="T26" s="7">
        <v>3255</v>
      </c>
      <c r="U26" s="2"/>
      <c r="V26" s="6">
        <f t="shared" si="5"/>
        <v>0</v>
      </c>
      <c r="W26" s="2"/>
      <c r="X26" s="7">
        <f t="shared" si="6"/>
        <v>-1445.14</v>
      </c>
      <c r="Y26" s="2"/>
      <c r="Z26" s="6">
        <f t="shared" si="7"/>
        <v>-0.44397542242703536</v>
      </c>
    </row>
    <row r="27" spans="1:26" s="24" customFormat="1" hidden="1" outlineLevel="2" x14ac:dyDescent="0.35">
      <c r="A27" s="29"/>
      <c r="B27" s="11" t="str">
        <f>CONCATENATE("          ", "6119", " - ", "SICK LEAVE")</f>
        <v xml:space="preserve">          6119 - SICK LEAVE</v>
      </c>
      <c r="C27" s="11"/>
      <c r="D27" s="7">
        <v>193.72</v>
      </c>
      <c r="E27" s="2"/>
      <c r="F27" s="6">
        <f t="shared" si="0"/>
        <v>0</v>
      </c>
      <c r="G27" s="2"/>
      <c r="H27" s="7">
        <v>210</v>
      </c>
      <c r="I27" s="2"/>
      <c r="J27" s="6">
        <f t="shared" si="1"/>
        <v>0</v>
      </c>
      <c r="K27" s="2"/>
      <c r="L27" s="7">
        <f t="shared" si="2"/>
        <v>-16.28</v>
      </c>
      <c r="M27" s="2"/>
      <c r="N27" s="6">
        <f t="shared" si="3"/>
        <v>-7.7523809523809523E-2</v>
      </c>
      <c r="O27" s="11"/>
      <c r="P27" s="7">
        <v>1452.9</v>
      </c>
      <c r="Q27" s="2"/>
      <c r="R27" s="6">
        <f t="shared" si="4"/>
        <v>0</v>
      </c>
      <c r="S27" s="2"/>
      <c r="T27" s="7">
        <v>1302</v>
      </c>
      <c r="U27" s="2"/>
      <c r="V27" s="6">
        <f t="shared" si="5"/>
        <v>0</v>
      </c>
      <c r="W27" s="2"/>
      <c r="X27" s="7">
        <f t="shared" si="6"/>
        <v>150.90000000000009</v>
      </c>
      <c r="Y27" s="2"/>
      <c r="Z27" s="6">
        <f t="shared" si="7"/>
        <v>0.11589861751152081</v>
      </c>
    </row>
    <row r="28" spans="1:26" s="24" customFormat="1" hidden="1" outlineLevel="2" x14ac:dyDescent="0.35">
      <c r="A28" s="29"/>
      <c r="B28" s="11" t="str">
        <f>CONCATENATE("          ", "6156", " - ", "EMPLOYEE MEALS")</f>
        <v xml:space="preserve">          6156 - EMPLOYEE MEALS</v>
      </c>
      <c r="C28" s="11"/>
      <c r="D28" s="7">
        <v>64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64</v>
      </c>
      <c r="M28" s="2"/>
      <c r="N28" s="6">
        <f t="shared" si="3"/>
        <v>0</v>
      </c>
      <c r="O28" s="11"/>
      <c r="P28" s="7">
        <v>953.79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953.79</v>
      </c>
      <c r="Y28" s="2"/>
      <c r="Z28" s="6">
        <f t="shared" si="7"/>
        <v>0</v>
      </c>
    </row>
    <row r="29" spans="1:26" s="28" customFormat="1" outlineLevel="1" collapsed="1" x14ac:dyDescent="0.3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5114.75</v>
      </c>
      <c r="E29" s="1"/>
      <c r="F29" s="5">
        <f t="shared" ref="F29:F39" si="8">IF(D$12=0,0,D29/D$12)</f>
        <v>0</v>
      </c>
      <c r="G29" s="1"/>
      <c r="H29" s="1">
        <f>SUM(OSRRefH22_1x_0)</f>
        <v>4672.5</v>
      </c>
      <c r="I29" s="1"/>
      <c r="J29" s="5">
        <f t="shared" ref="J29:J39" si="9">IF(H$12=0,0,H29/H$12)</f>
        <v>0</v>
      </c>
      <c r="K29" s="1"/>
      <c r="L29" s="1">
        <f t="shared" ref="L29:L39" si="10">+D29-H29</f>
        <v>442.25</v>
      </c>
      <c r="M29" s="1"/>
      <c r="N29" s="5">
        <f t="shared" ref="N29:N39" si="11">IF(H29=0,0,L29/H29)</f>
        <v>9.4649545211342959E-2</v>
      </c>
      <c r="O29" s="14"/>
      <c r="P29" s="1">
        <f>SUM(OSRRefP22_1x_0)</f>
        <v>30523.16</v>
      </c>
      <c r="Q29" s="1"/>
      <c r="R29" s="5">
        <f t="shared" ref="R29:R39" si="12">IF(P$12=0,0,P29/P$12)</f>
        <v>0</v>
      </c>
      <c r="S29" s="1"/>
      <c r="T29" s="1">
        <f>SUM(OSRRefT22_1x_0)</f>
        <v>28969.5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1553.6599999999999</v>
      </c>
      <c r="Y29" s="1"/>
      <c r="Z29" s="5">
        <f t="shared" ref="Z29:Z39" si="15">IF(T29=0,0,X29/T29)</f>
        <v>5.3630887657708966E-2</v>
      </c>
    </row>
    <row r="30" spans="1:26" s="24" customFormat="1" hidden="1" outlineLevel="2" x14ac:dyDescent="0.3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35">
      <c r="A31" s="29"/>
      <c r="B31" s="11" t="str">
        <f>CONCATENATE("          ", "6002", " - ", "STAFF SALARIES")</f>
        <v xml:space="preserve">          6002 - STAFF SALARIES</v>
      </c>
      <c r="C31" s="11"/>
      <c r="D31" s="7">
        <v>5114.75</v>
      </c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5114.75</v>
      </c>
      <c r="M31" s="2"/>
      <c r="N31" s="6">
        <f t="shared" si="11"/>
        <v>0</v>
      </c>
      <c r="O31" s="11"/>
      <c r="P31" s="7">
        <v>30523.16</v>
      </c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30523.16</v>
      </c>
      <c r="Y31" s="2"/>
      <c r="Z31" s="6">
        <f t="shared" si="15"/>
        <v>0</v>
      </c>
    </row>
    <row r="32" spans="1:26" s="24" customFormat="1" hidden="1" outlineLevel="2" x14ac:dyDescent="0.35">
      <c r="A32" s="29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35">
      <c r="A33" s="29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4672.5</v>
      </c>
      <c r="I33" s="2"/>
      <c r="J33" s="6">
        <f t="shared" si="9"/>
        <v>0</v>
      </c>
      <c r="K33" s="2"/>
      <c r="L33" s="7">
        <f t="shared" si="10"/>
        <v>-4672.5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28969.5</v>
      </c>
      <c r="U33" s="2"/>
      <c r="V33" s="6">
        <f t="shared" si="13"/>
        <v>0</v>
      </c>
      <c r="W33" s="2"/>
      <c r="X33" s="7">
        <f t="shared" si="14"/>
        <v>-28969.5</v>
      </c>
      <c r="Y33" s="2"/>
      <c r="Z33" s="6">
        <f t="shared" si="15"/>
        <v>-1</v>
      </c>
    </row>
    <row r="34" spans="1:26" s="24" customFormat="1" hidden="1" outlineLevel="2" x14ac:dyDescent="0.3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3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35">
      <c r="A36" s="29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3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35">
      <c r="A38" s="29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35">
      <c r="A39" s="29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35">
      <c r="A40" s="27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-238.8</v>
      </c>
      <c r="E40" s="1"/>
      <c r="F40" s="5">
        <f t="shared" ref="F40:F46" si="16">IF(D$12=0,0,D40/D$12)</f>
        <v>0</v>
      </c>
      <c r="G40" s="1"/>
      <c r="H40" s="1">
        <f>SUM(OSRRefH22_2x_0)</f>
        <v>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-238.8</v>
      </c>
      <c r="M40" s="1"/>
      <c r="N40" s="5">
        <f t="shared" ref="N40:N46" si="19">IF(H40=0,0,L40/H40)</f>
        <v>0</v>
      </c>
      <c r="O40" s="14"/>
      <c r="P40" s="1">
        <f>SUM(OSRRefP22_2x_0)</f>
        <v>-238.8</v>
      </c>
      <c r="Q40" s="1"/>
      <c r="R40" s="5">
        <f t="shared" ref="R40:R46" si="20">IF(P$12=0,0,P40/P$12)</f>
        <v>0</v>
      </c>
      <c r="S40" s="1"/>
      <c r="T40" s="1">
        <f>SUM(OSRRefT22_2x_0)</f>
        <v>-600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361.2</v>
      </c>
      <c r="Y40" s="1"/>
      <c r="Z40" s="5">
        <f t="shared" ref="Z40:Z46" si="23">IF(T40=0,0,X40/T40)</f>
        <v>-0.60199999999999998</v>
      </c>
    </row>
    <row r="41" spans="1:26" s="24" customFormat="1" hidden="1" outlineLevel="2" x14ac:dyDescent="0.35">
      <c r="A41" s="29"/>
      <c r="B41" s="11" t="str">
        <f>CONCATENATE("          ", "6279", " - ", "GENERAL EXPENSE")</f>
        <v xml:space="preserve">          6279 - GENERAL EXPENSE</v>
      </c>
      <c r="C41" s="11"/>
      <c r="D41" s="7">
        <v>-238.8</v>
      </c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-238.8</v>
      </c>
      <c r="M41" s="2"/>
      <c r="N41" s="6">
        <f t="shared" si="19"/>
        <v>0</v>
      </c>
      <c r="O41" s="11"/>
      <c r="P41" s="7">
        <v>-238.8</v>
      </c>
      <c r="Q41" s="2"/>
      <c r="R41" s="6">
        <f t="shared" si="20"/>
        <v>0</v>
      </c>
      <c r="S41" s="2"/>
      <c r="T41" s="7">
        <v>-600</v>
      </c>
      <c r="U41" s="2"/>
      <c r="V41" s="6">
        <f t="shared" si="21"/>
        <v>0</v>
      </c>
      <c r="W41" s="2"/>
      <c r="X41" s="7">
        <f t="shared" si="22"/>
        <v>361.2</v>
      </c>
      <c r="Y41" s="2"/>
      <c r="Z41" s="6">
        <f t="shared" si="23"/>
        <v>-0.60199999999999998</v>
      </c>
    </row>
    <row r="42" spans="1:26" s="28" customFormat="1" outlineLevel="1" collapsed="1" x14ac:dyDescent="0.35">
      <c r="A42" s="27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SUM(OSRRefD22_3x_0)</f>
        <v>24.56</v>
      </c>
      <c r="E42" s="1"/>
      <c r="F42" s="5">
        <f t="shared" si="16"/>
        <v>0</v>
      </c>
      <c r="G42" s="1"/>
      <c r="H42" s="1">
        <f>SUM(OSRRefH22_3x_0)</f>
        <v>27</v>
      </c>
      <c r="I42" s="1"/>
      <c r="J42" s="5">
        <f t="shared" si="17"/>
        <v>0</v>
      </c>
      <c r="K42" s="1"/>
      <c r="L42" s="1">
        <f t="shared" si="18"/>
        <v>-2.4400000000000013</v>
      </c>
      <c r="M42" s="1"/>
      <c r="N42" s="5">
        <f t="shared" si="19"/>
        <v>-9.037037037037042E-2</v>
      </c>
      <c r="O42" s="14"/>
      <c r="P42" s="1">
        <f>SUM(OSRRefP22_3x_0)</f>
        <v>171.92</v>
      </c>
      <c r="Q42" s="1"/>
      <c r="R42" s="5">
        <f t="shared" si="20"/>
        <v>0</v>
      </c>
      <c r="S42" s="1"/>
      <c r="T42" s="1">
        <f>SUM(OSRRefT22_3x_0)</f>
        <v>189</v>
      </c>
      <c r="U42" s="1"/>
      <c r="V42" s="5">
        <f t="shared" si="21"/>
        <v>0</v>
      </c>
      <c r="W42" s="1"/>
      <c r="X42" s="1">
        <f t="shared" si="22"/>
        <v>-17.080000000000013</v>
      </c>
      <c r="Y42" s="1"/>
      <c r="Z42" s="5">
        <f t="shared" si="23"/>
        <v>-9.0370370370370434E-2</v>
      </c>
    </row>
    <row r="43" spans="1:26" s="24" customFormat="1" hidden="1" outlineLevel="2" x14ac:dyDescent="0.35">
      <c r="A43" s="29"/>
      <c r="B43" s="11" t="str">
        <f>CONCATENATE("          ", "6314", " - ", "LIABILITY INSURANCE")</f>
        <v xml:space="preserve">          6314 - LIABILITY INSURANCE</v>
      </c>
      <c r="C43" s="11"/>
      <c r="D43" s="7">
        <v>24.56</v>
      </c>
      <c r="E43" s="2"/>
      <c r="F43" s="6">
        <f t="shared" si="16"/>
        <v>0</v>
      </c>
      <c r="G43" s="2"/>
      <c r="H43" s="7">
        <v>27</v>
      </c>
      <c r="I43" s="2"/>
      <c r="J43" s="6">
        <f t="shared" si="17"/>
        <v>0</v>
      </c>
      <c r="K43" s="2"/>
      <c r="L43" s="7">
        <f t="shared" si="18"/>
        <v>-2.4400000000000013</v>
      </c>
      <c r="M43" s="2"/>
      <c r="N43" s="6">
        <f t="shared" si="19"/>
        <v>-9.037037037037042E-2</v>
      </c>
      <c r="O43" s="11"/>
      <c r="P43" s="7">
        <v>171.92</v>
      </c>
      <c r="Q43" s="2"/>
      <c r="R43" s="6">
        <f t="shared" si="20"/>
        <v>0</v>
      </c>
      <c r="S43" s="2"/>
      <c r="T43" s="7">
        <v>189</v>
      </c>
      <c r="U43" s="2"/>
      <c r="V43" s="6">
        <f t="shared" si="21"/>
        <v>0</v>
      </c>
      <c r="W43" s="2"/>
      <c r="X43" s="7">
        <f t="shared" si="22"/>
        <v>-17.080000000000013</v>
      </c>
      <c r="Y43" s="2"/>
      <c r="Z43" s="6">
        <f t="shared" si="23"/>
        <v>-9.0370370370370434E-2</v>
      </c>
    </row>
    <row r="44" spans="1:26" s="28" customFormat="1" outlineLevel="1" collapsed="1" x14ac:dyDescent="0.35">
      <c r="A44" s="27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891.98</v>
      </c>
      <c r="E44" s="1"/>
      <c r="F44" s="5">
        <f t="shared" si="16"/>
        <v>0</v>
      </c>
      <c r="G44" s="1"/>
      <c r="H44" s="1">
        <f>SUM(OSRRefH22_4x_0)</f>
        <v>1500</v>
      </c>
      <c r="I44" s="1"/>
      <c r="J44" s="5">
        <f t="shared" si="17"/>
        <v>0</v>
      </c>
      <c r="K44" s="1"/>
      <c r="L44" s="1">
        <f t="shared" si="18"/>
        <v>-608.02</v>
      </c>
      <c r="M44" s="1"/>
      <c r="N44" s="5">
        <f t="shared" si="19"/>
        <v>-0.40534666666666663</v>
      </c>
      <c r="O44" s="14"/>
      <c r="P44" s="1">
        <f>SUM(OSRRefP22_4x_0)</f>
        <v>7392.2699999999995</v>
      </c>
      <c r="Q44" s="1"/>
      <c r="R44" s="5">
        <f t="shared" si="20"/>
        <v>0</v>
      </c>
      <c r="S44" s="1"/>
      <c r="T44" s="1">
        <f>SUM(OSRRefT22_4x_0)</f>
        <v>10500</v>
      </c>
      <c r="U44" s="1"/>
      <c r="V44" s="5">
        <f t="shared" si="21"/>
        <v>0</v>
      </c>
      <c r="W44" s="1"/>
      <c r="X44" s="1">
        <f t="shared" si="22"/>
        <v>-3107.7300000000005</v>
      </c>
      <c r="Y44" s="1"/>
      <c r="Z44" s="5">
        <f t="shared" si="23"/>
        <v>-0.29597428571428575</v>
      </c>
    </row>
    <row r="45" spans="1:26" s="24" customFormat="1" hidden="1" outlineLevel="2" x14ac:dyDescent="0.35">
      <c r="A45" s="29"/>
      <c r="B45" s="11" t="str">
        <f>CONCATENATE("          ", "6373", " - ", "MAINTENANCE CONTRACTS")</f>
        <v xml:space="preserve">          6373 - MAINTENANCE CONTRACTS</v>
      </c>
      <c r="C45" s="11"/>
      <c r="D45" s="7">
        <v>891.98</v>
      </c>
      <c r="E45" s="2"/>
      <c r="F45" s="6">
        <f t="shared" si="16"/>
        <v>0</v>
      </c>
      <c r="G45" s="2"/>
      <c r="H45" s="7">
        <v>1500</v>
      </c>
      <c r="I45" s="2"/>
      <c r="J45" s="6">
        <f t="shared" si="17"/>
        <v>0</v>
      </c>
      <c r="K45" s="2"/>
      <c r="L45" s="7">
        <f t="shared" si="18"/>
        <v>-608.02</v>
      </c>
      <c r="M45" s="2"/>
      <c r="N45" s="6">
        <f t="shared" si="19"/>
        <v>-0.40534666666666663</v>
      </c>
      <c r="O45" s="11"/>
      <c r="P45" s="7">
        <v>5221.9799999999996</v>
      </c>
      <c r="Q45" s="2"/>
      <c r="R45" s="6">
        <f t="shared" si="20"/>
        <v>0</v>
      </c>
      <c r="S45" s="2"/>
      <c r="T45" s="7">
        <v>10500</v>
      </c>
      <c r="U45" s="2"/>
      <c r="V45" s="6">
        <f t="shared" si="21"/>
        <v>0</v>
      </c>
      <c r="W45" s="2"/>
      <c r="X45" s="7">
        <f t="shared" si="22"/>
        <v>-5278.02</v>
      </c>
      <c r="Y45" s="2"/>
      <c r="Z45" s="6">
        <f t="shared" si="23"/>
        <v>-0.50266857142857146</v>
      </c>
    </row>
    <row r="46" spans="1:26" s="24" customFormat="1" hidden="1" outlineLevel="2" x14ac:dyDescent="0.35">
      <c r="A46" s="29"/>
      <c r="B46" s="11" t="str">
        <f>CONCATENATE("          ", "6375", " - ", "OUTSIDE REPAIRS &amp; MAINTENANCE")</f>
        <v xml:space="preserve">          6375 - OUTSIDE REPAIRS &amp; MAINTENANCE</v>
      </c>
      <c r="C46" s="11"/>
      <c r="D46" s="7"/>
      <c r="E46" s="2"/>
      <c r="F46" s="6">
        <f t="shared" si="16"/>
        <v>0</v>
      </c>
      <c r="G46" s="2"/>
      <c r="H46" s="7"/>
      <c r="I46" s="2"/>
      <c r="J46" s="6">
        <f t="shared" si="17"/>
        <v>0</v>
      </c>
      <c r="K46" s="2"/>
      <c r="L46" s="7">
        <f t="shared" si="18"/>
        <v>0</v>
      </c>
      <c r="M46" s="2"/>
      <c r="N46" s="6">
        <f t="shared" si="19"/>
        <v>0</v>
      </c>
      <c r="O46" s="11"/>
      <c r="P46" s="7">
        <v>2170.29</v>
      </c>
      <c r="Q46" s="2"/>
      <c r="R46" s="6">
        <f t="shared" si="20"/>
        <v>0</v>
      </c>
      <c r="S46" s="2"/>
      <c r="T46" s="7"/>
      <c r="U46" s="2"/>
      <c r="V46" s="6">
        <f t="shared" si="21"/>
        <v>0</v>
      </c>
      <c r="W46" s="2"/>
      <c r="X46" s="7">
        <f t="shared" si="22"/>
        <v>2170.29</v>
      </c>
      <c r="Y46" s="2"/>
      <c r="Z46" s="6">
        <f t="shared" si="23"/>
        <v>0</v>
      </c>
    </row>
    <row r="47" spans="1:26" s="28" customFormat="1" outlineLevel="1" collapsed="1" x14ac:dyDescent="0.35">
      <c r="A47" s="27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SUM(OSRRefD22_5x_0)</f>
        <v>0</v>
      </c>
      <c r="E47" s="1"/>
      <c r="F47" s="5">
        <f t="shared" ref="F47:F52" si="24">IF(D$12=0,0,D47/D$12)</f>
        <v>0</v>
      </c>
      <c r="G47" s="1"/>
      <c r="H47" s="1">
        <f>SUM(OSRRefH22_5x_0)</f>
        <v>25</v>
      </c>
      <c r="I47" s="1"/>
      <c r="J47" s="5">
        <f t="shared" ref="J47:J52" si="25">IF(H$12=0,0,H47/H$12)</f>
        <v>0</v>
      </c>
      <c r="K47" s="1"/>
      <c r="L47" s="1">
        <f t="shared" ref="L47:L52" si="26">+D47-H47</f>
        <v>-25</v>
      </c>
      <c r="M47" s="1"/>
      <c r="N47" s="5">
        <f t="shared" ref="N47:N52" si="27">IF(H47=0,0,L47/H47)</f>
        <v>-1</v>
      </c>
      <c r="O47" s="14"/>
      <c r="P47" s="1">
        <f>SUM(OSRRefP22_5x_0)</f>
        <v>0</v>
      </c>
      <c r="Q47" s="1"/>
      <c r="R47" s="5">
        <f t="shared" ref="R47:R52" si="28">IF(P$12=0,0,P47/P$12)</f>
        <v>0</v>
      </c>
      <c r="S47" s="1"/>
      <c r="T47" s="1">
        <f>SUM(OSRRefT22_5x_0)</f>
        <v>175</v>
      </c>
      <c r="U47" s="1"/>
      <c r="V47" s="5">
        <f t="shared" ref="V47:V52" si="29">IF(T$12=0,0,T47/T$12)</f>
        <v>0</v>
      </c>
      <c r="W47" s="1"/>
      <c r="X47" s="1">
        <f t="shared" ref="X47:X52" si="30">+P47-T47</f>
        <v>-175</v>
      </c>
      <c r="Y47" s="1"/>
      <c r="Z47" s="5">
        <f t="shared" ref="Z47:Z52" si="31">IF(T47=0,0,X47/T47)</f>
        <v>-1</v>
      </c>
    </row>
    <row r="48" spans="1:26" s="24" customFormat="1" hidden="1" outlineLevel="2" x14ac:dyDescent="0.35">
      <c r="A48" s="29"/>
      <c r="B48" s="11" t="str">
        <f>CONCATENATE("          ", "6286", " - ", "LAUNDRY EXPENSE")</f>
        <v xml:space="preserve">          6286 - LAUNDRY EXPENSE</v>
      </c>
      <c r="C48" s="11"/>
      <c r="D48" s="7"/>
      <c r="E48" s="2"/>
      <c r="F48" s="6">
        <f t="shared" si="24"/>
        <v>0</v>
      </c>
      <c r="G48" s="2"/>
      <c r="H48" s="7">
        <v>25</v>
      </c>
      <c r="I48" s="2"/>
      <c r="J48" s="6">
        <f t="shared" si="25"/>
        <v>0</v>
      </c>
      <c r="K48" s="2"/>
      <c r="L48" s="7">
        <f t="shared" si="26"/>
        <v>-25</v>
      </c>
      <c r="M48" s="2"/>
      <c r="N48" s="6">
        <f t="shared" si="27"/>
        <v>-1</v>
      </c>
      <c r="O48" s="11"/>
      <c r="P48" s="7"/>
      <c r="Q48" s="2"/>
      <c r="R48" s="6">
        <f t="shared" si="28"/>
        <v>0</v>
      </c>
      <c r="S48" s="2"/>
      <c r="T48" s="7">
        <v>175</v>
      </c>
      <c r="U48" s="2"/>
      <c r="V48" s="6">
        <f t="shared" si="29"/>
        <v>0</v>
      </c>
      <c r="W48" s="2"/>
      <c r="X48" s="7">
        <f t="shared" si="30"/>
        <v>-175</v>
      </c>
      <c r="Y48" s="2"/>
      <c r="Z48" s="6">
        <f t="shared" si="31"/>
        <v>-1</v>
      </c>
    </row>
    <row r="49" spans="1:26" s="28" customFormat="1" outlineLevel="1" collapsed="1" x14ac:dyDescent="0.35">
      <c r="A49" s="27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0</v>
      </c>
      <c r="M49" s="1"/>
      <c r="N49" s="5">
        <f t="shared" si="27"/>
        <v>0</v>
      </c>
      <c r="O49" s="14"/>
      <c r="P49" s="1">
        <f>SUM(OSRRefP22_6x_0)</f>
        <v>82.04</v>
      </c>
      <c r="Q49" s="1"/>
      <c r="R49" s="5">
        <f t="shared" si="28"/>
        <v>0</v>
      </c>
      <c r="S49" s="1"/>
      <c r="T49" s="1">
        <f>SUM(OSRRefT22_6x_0)</f>
        <v>5000</v>
      </c>
      <c r="U49" s="1"/>
      <c r="V49" s="5">
        <f t="shared" si="29"/>
        <v>0</v>
      </c>
      <c r="W49" s="1"/>
      <c r="X49" s="1">
        <f t="shared" si="30"/>
        <v>-4917.96</v>
      </c>
      <c r="Y49" s="1"/>
      <c r="Z49" s="5">
        <f t="shared" si="31"/>
        <v>-0.98359200000000002</v>
      </c>
    </row>
    <row r="50" spans="1:26" s="24" customFormat="1" hidden="1" outlineLevel="2" x14ac:dyDescent="0.35">
      <c r="A50" s="29"/>
      <c r="B50" s="11" t="str">
        <f>CONCATENATE("          ", "6235", " - ", "COVID-19 EXPENSES")</f>
        <v xml:space="preserve">          6235 - COVID-19 EXPENSES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66.12</v>
      </c>
      <c r="Q50" s="2"/>
      <c r="R50" s="6">
        <f t="shared" si="28"/>
        <v>0</v>
      </c>
      <c r="S50" s="2"/>
      <c r="T50" s="7"/>
      <c r="U50" s="2"/>
      <c r="V50" s="6">
        <f t="shared" si="29"/>
        <v>0</v>
      </c>
      <c r="W50" s="2"/>
      <c r="X50" s="7">
        <f t="shared" si="30"/>
        <v>66.12</v>
      </c>
      <c r="Y50" s="2"/>
      <c r="Z50" s="6">
        <f t="shared" si="31"/>
        <v>0</v>
      </c>
    </row>
    <row r="51" spans="1:26" s="24" customFormat="1" hidden="1" outlineLevel="2" x14ac:dyDescent="0.35">
      <c r="A51" s="29"/>
      <c r="B51" s="11" t="str">
        <f>CONCATENATE("          ", "6241", " - ", "OFFICE EXPENSE")</f>
        <v xml:space="preserve">          6241 - OFFICE EXPENSE</v>
      </c>
      <c r="C51" s="11"/>
      <c r="D51" s="7"/>
      <c r="E51" s="2"/>
      <c r="F51" s="6">
        <f t="shared" si="24"/>
        <v>0</v>
      </c>
      <c r="G51" s="2"/>
      <c r="H51" s="7"/>
      <c r="I51" s="2"/>
      <c r="J51" s="6">
        <f t="shared" si="25"/>
        <v>0</v>
      </c>
      <c r="K51" s="2"/>
      <c r="L51" s="7">
        <f t="shared" si="26"/>
        <v>0</v>
      </c>
      <c r="M51" s="2"/>
      <c r="N51" s="6">
        <f t="shared" si="27"/>
        <v>0</v>
      </c>
      <c r="O51" s="11"/>
      <c r="P51" s="7">
        <v>15.92</v>
      </c>
      <c r="Q51" s="2"/>
      <c r="R51" s="6">
        <f t="shared" si="28"/>
        <v>0</v>
      </c>
      <c r="S51" s="2"/>
      <c r="T51" s="7"/>
      <c r="U51" s="2"/>
      <c r="V51" s="6">
        <f t="shared" si="29"/>
        <v>0</v>
      </c>
      <c r="W51" s="2"/>
      <c r="X51" s="7">
        <f t="shared" si="30"/>
        <v>15.92</v>
      </c>
      <c r="Y51" s="2"/>
      <c r="Z51" s="6">
        <f t="shared" si="31"/>
        <v>0</v>
      </c>
    </row>
    <row r="52" spans="1:26" s="24" customFormat="1" hidden="1" outlineLevel="2" x14ac:dyDescent="0.35">
      <c r="A52" s="29"/>
      <c r="B52" s="11" t="str">
        <f>CONCATENATE("          ", "6247", " - ", "STORE SUPPLIES")</f>
        <v xml:space="preserve">          6247 - STORE SUPPLIES</v>
      </c>
      <c r="C52" s="11"/>
      <c r="D52" s="7"/>
      <c r="E52" s="2"/>
      <c r="F52" s="6">
        <f t="shared" si="24"/>
        <v>0</v>
      </c>
      <c r="G52" s="2"/>
      <c r="H52" s="7"/>
      <c r="I52" s="2"/>
      <c r="J52" s="6">
        <f t="shared" si="25"/>
        <v>0</v>
      </c>
      <c r="K52" s="2"/>
      <c r="L52" s="7">
        <f t="shared" si="26"/>
        <v>0</v>
      </c>
      <c r="M52" s="2"/>
      <c r="N52" s="6">
        <f t="shared" si="27"/>
        <v>0</v>
      </c>
      <c r="O52" s="11"/>
      <c r="P52" s="7"/>
      <c r="Q52" s="2"/>
      <c r="R52" s="6">
        <f t="shared" si="28"/>
        <v>0</v>
      </c>
      <c r="S52" s="2"/>
      <c r="T52" s="7">
        <v>5000</v>
      </c>
      <c r="U52" s="2"/>
      <c r="V52" s="6">
        <f t="shared" si="29"/>
        <v>0</v>
      </c>
      <c r="W52" s="2"/>
      <c r="X52" s="7">
        <f t="shared" si="30"/>
        <v>-5000</v>
      </c>
      <c r="Y52" s="2"/>
      <c r="Z52" s="6">
        <f t="shared" si="31"/>
        <v>-1</v>
      </c>
    </row>
    <row r="53" spans="1:26" s="28" customFormat="1" outlineLevel="1" collapsed="1" x14ac:dyDescent="0.35">
      <c r="A53" s="27"/>
      <c r="B53" s="14" t="str">
        <f>CONCATENATE("     ","Telephone/Data Lines                              ")</f>
        <v xml:space="preserve">     Telephone/Data Lines                              </v>
      </c>
      <c r="C53" s="14"/>
      <c r="D53" s="1">
        <f>SUM(OSRRefD22_7x_0)</f>
        <v>-127</v>
      </c>
      <c r="E53" s="1"/>
      <c r="F53" s="5">
        <f t="shared" ref="F53:F54" si="32">IF(D$12=0,0,D53/D$12)</f>
        <v>0</v>
      </c>
      <c r="G53" s="1"/>
      <c r="H53" s="1">
        <f>SUM(OSRRefH22_7x_0)</f>
        <v>25</v>
      </c>
      <c r="I53" s="1"/>
      <c r="J53" s="5">
        <f t="shared" ref="J53:J54" si="33">IF(H$12=0,0,H53/H$12)</f>
        <v>0</v>
      </c>
      <c r="K53" s="1"/>
      <c r="L53" s="1">
        <f t="shared" ref="L53:L54" si="34">+D53-H53</f>
        <v>-152</v>
      </c>
      <c r="M53" s="1"/>
      <c r="N53" s="5">
        <f t="shared" ref="N53:N54" si="35">IF(H53=0,0,L53/H53)</f>
        <v>-6.08</v>
      </c>
      <c r="O53" s="14"/>
      <c r="P53" s="1">
        <f>SUM(OSRRefP22_7x_0)</f>
        <v>440</v>
      </c>
      <c r="Q53" s="1"/>
      <c r="R53" s="5">
        <f t="shared" ref="R53:R54" si="36">IF(P$12=0,0,P53/P$12)</f>
        <v>0</v>
      </c>
      <c r="S53" s="1"/>
      <c r="T53" s="1">
        <f>SUM(OSRRefT22_7x_0)</f>
        <v>475</v>
      </c>
      <c r="U53" s="1"/>
      <c r="V53" s="5">
        <f t="shared" ref="V53:V54" si="37">IF(T$12=0,0,T53/T$12)</f>
        <v>0</v>
      </c>
      <c r="W53" s="1"/>
      <c r="X53" s="1">
        <f t="shared" ref="X53:X54" si="38">+P53-T53</f>
        <v>-35</v>
      </c>
      <c r="Y53" s="1"/>
      <c r="Z53" s="5">
        <f t="shared" ref="Z53:Z54" si="39">IF(T53=0,0,X53/T53)</f>
        <v>-7.3684210526315783E-2</v>
      </c>
    </row>
    <row r="54" spans="1:26" s="24" customFormat="1" hidden="1" outlineLevel="2" x14ac:dyDescent="0.35">
      <c r="A54" s="29"/>
      <c r="B54" s="11" t="str">
        <f>CONCATENATE("          ", "6309", " - ", "TELEPHONE")</f>
        <v xml:space="preserve">          6309 - TELEPHONE</v>
      </c>
      <c r="C54" s="11"/>
      <c r="D54" s="7">
        <v>-127</v>
      </c>
      <c r="E54" s="2"/>
      <c r="F54" s="6">
        <f t="shared" si="32"/>
        <v>0</v>
      </c>
      <c r="G54" s="2"/>
      <c r="H54" s="7">
        <v>25</v>
      </c>
      <c r="I54" s="2"/>
      <c r="J54" s="6">
        <f t="shared" si="33"/>
        <v>0</v>
      </c>
      <c r="K54" s="2"/>
      <c r="L54" s="7">
        <f t="shared" si="34"/>
        <v>-152</v>
      </c>
      <c r="M54" s="2"/>
      <c r="N54" s="6">
        <f t="shared" si="35"/>
        <v>-6.08</v>
      </c>
      <c r="O54" s="11"/>
      <c r="P54" s="7">
        <v>440</v>
      </c>
      <c r="Q54" s="2"/>
      <c r="R54" s="6">
        <f t="shared" si="36"/>
        <v>0</v>
      </c>
      <c r="S54" s="2"/>
      <c r="T54" s="7">
        <v>475</v>
      </c>
      <c r="U54" s="2"/>
      <c r="V54" s="6">
        <f t="shared" si="37"/>
        <v>0</v>
      </c>
      <c r="W54" s="2"/>
      <c r="X54" s="7">
        <f t="shared" si="38"/>
        <v>-35</v>
      </c>
      <c r="Y54" s="2"/>
      <c r="Z54" s="6">
        <f t="shared" si="39"/>
        <v>-7.3684210526315783E-2</v>
      </c>
    </row>
    <row r="55" spans="1:26" s="55" customFormat="1" x14ac:dyDescent="0.35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35">
      <c r="A56" s="10"/>
      <c r="B56" s="25" t="s">
        <v>0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3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35">
      <c r="A58" s="10"/>
      <c r="B58" s="26" t="s">
        <v>3</v>
      </c>
      <c r="C58" s="26"/>
      <c r="D58" s="19">
        <f>+D16-D18+D56</f>
        <v>-8201.44</v>
      </c>
      <c r="E58" s="13"/>
      <c r="F58" s="21">
        <f>IF(D$12=0,0,D58/D$12)</f>
        <v>0</v>
      </c>
      <c r="G58" s="13"/>
      <c r="H58" s="19">
        <f>+H16-H18+H56</f>
        <v>-8531.0651923076912</v>
      </c>
      <c r="I58" s="13"/>
      <c r="J58" s="21">
        <f>IF(H$12=0,0,H58/H$12)</f>
        <v>0</v>
      </c>
      <c r="K58" s="16"/>
      <c r="L58" s="19">
        <f>+D58-H58</f>
        <v>329.62519230769067</v>
      </c>
      <c r="M58" s="16"/>
      <c r="N58" s="21">
        <f>IF(H58=0,0,L58/H58)</f>
        <v>-3.8638222177097864E-2</v>
      </c>
      <c r="O58" s="25"/>
      <c r="P58" s="19">
        <f>+P16-P18+P56</f>
        <v>-55789.599999999991</v>
      </c>
      <c r="Q58" s="13"/>
      <c r="R58" s="21">
        <f>IF(P$12=0,0,P58/P$12)</f>
        <v>0</v>
      </c>
      <c r="S58" s="13"/>
      <c r="T58" s="19">
        <f>+T16-T18+T56</f>
        <v>-58854.20419230769</v>
      </c>
      <c r="U58" s="13"/>
      <c r="V58" s="21">
        <f>IF(T$12=0,0,T58/T$12)</f>
        <v>0</v>
      </c>
      <c r="W58" s="16"/>
      <c r="X58" s="19">
        <f>+P58-T58</f>
        <v>3064.6041923076991</v>
      </c>
      <c r="Y58" s="16"/>
      <c r="Z58" s="21">
        <f>IF(T58=0,0,X58/T58)</f>
        <v>-5.2071117677405389E-2</v>
      </c>
    </row>
    <row r="59" spans="1:26" x14ac:dyDescent="0.3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35">
      <c r="A60" s="52"/>
      <c r="B60" s="10" t="s">
        <v>14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3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" thickBot="1" x14ac:dyDescent="0.4">
      <c r="A62" s="10"/>
      <c r="B62" s="26" t="s">
        <v>4</v>
      </c>
      <c r="C62" s="26"/>
      <c r="D62" s="33">
        <f>+D58-D60</f>
        <v>-8201.44</v>
      </c>
      <c r="E62" s="13"/>
      <c r="F62" s="31">
        <f>IF(D$12=0,0,D62/D$12)</f>
        <v>0</v>
      </c>
      <c r="G62" s="13"/>
      <c r="H62" s="33">
        <f>+H58-H60</f>
        <v>-8531.0651923076912</v>
      </c>
      <c r="I62" s="13"/>
      <c r="J62" s="31">
        <f>IF(H$12=0,0,H62/H$12)</f>
        <v>0</v>
      </c>
      <c r="K62" s="16"/>
      <c r="L62" s="33">
        <f>D62-H62</f>
        <v>329.62519230769067</v>
      </c>
      <c r="M62" s="16"/>
      <c r="N62" s="31">
        <f>IF(H62=0,0,L62/H62)</f>
        <v>-3.8638222177097864E-2</v>
      </c>
      <c r="O62" s="25"/>
      <c r="P62" s="33">
        <f>+P58-P60</f>
        <v>-55789.599999999991</v>
      </c>
      <c r="Q62" s="13"/>
      <c r="R62" s="31">
        <f>IF(P$12=0,0,P62/P$12)</f>
        <v>0</v>
      </c>
      <c r="S62" s="13"/>
      <c r="T62" s="33">
        <f>+T58-T60</f>
        <v>-58854.20419230769</v>
      </c>
      <c r="U62" s="13"/>
      <c r="V62" s="31">
        <f>IF(T$12=0,0,T62/T$12)</f>
        <v>0</v>
      </c>
      <c r="W62" s="16"/>
      <c r="X62" s="33">
        <f>P62-T62</f>
        <v>3064.6041923076991</v>
      </c>
      <c r="Y62" s="16"/>
      <c r="Z62" s="31">
        <f>IF(T62=0,0,X62/T62)</f>
        <v>-5.2071117677405389E-2</v>
      </c>
    </row>
    <row r="63" spans="1:26" ht="15" thickTop="1" x14ac:dyDescent="0.3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3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" thickBot="1" x14ac:dyDescent="0.4">
      <c r="A65" s="10"/>
      <c r="B65" s="26" t="s">
        <v>5</v>
      </c>
      <c r="C65" s="26"/>
      <c r="D65" s="34">
        <f>SUM(D62:D64)</f>
        <v>-8201.44</v>
      </c>
      <c r="E65" s="13"/>
      <c r="F65" s="32">
        <f>IF(D$12=0,0,D65/D$12)</f>
        <v>0</v>
      </c>
      <c r="G65" s="13"/>
      <c r="H65" s="34">
        <f>SUM(H62:H64)</f>
        <v>-8531.0651923076912</v>
      </c>
      <c r="I65" s="13"/>
      <c r="J65" s="32">
        <f>IF(H$12=0,0,H65/H$12)</f>
        <v>0</v>
      </c>
      <c r="K65" s="16"/>
      <c r="L65" s="34">
        <f>+D65-H65</f>
        <v>329.62519230769067</v>
      </c>
      <c r="M65" s="16"/>
      <c r="N65" s="32">
        <f>IF(H65=0,0,L65/H65)</f>
        <v>-3.8638222177097864E-2</v>
      </c>
      <c r="O65" s="25"/>
      <c r="P65" s="34">
        <f>SUM(P62:P64)</f>
        <v>-55789.599999999991</v>
      </c>
      <c r="Q65" s="13"/>
      <c r="R65" s="32">
        <f>IF(P$12=0,0,P65/P$12)</f>
        <v>0</v>
      </c>
      <c r="S65" s="13"/>
      <c r="T65" s="34">
        <f>SUM(T62:T64)</f>
        <v>-58854.20419230769</v>
      </c>
      <c r="U65" s="13"/>
      <c r="V65" s="32">
        <f>IF(T$12=0,0,T65/T$12)</f>
        <v>0</v>
      </c>
      <c r="W65" s="16"/>
      <c r="X65" s="34">
        <f>+P65-T65</f>
        <v>3064.6041923076991</v>
      </c>
      <c r="Y65" s="16"/>
      <c r="Z65" s="32">
        <f>IF(T65=0,0,X65/T65)</f>
        <v>-5.2071117677405389E-2</v>
      </c>
    </row>
    <row r="66" spans="1:26" ht="15" thickTop="1" x14ac:dyDescent="0.35">
      <c r="A66" s="9"/>
      <c r="C66" s="9"/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6" x14ac:dyDescent="0.35">
      <c r="A67" s="9"/>
      <c r="B67" s="60">
        <v>44238.490319328703</v>
      </c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6" x14ac:dyDescent="0.35">
      <c r="A68" s="9"/>
      <c r="B68" s="59" t="s">
        <v>314</v>
      </c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35">
      <c r="A69" s="9"/>
      <c r="B69" s="58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35"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","206", " - ", "Graphics")</f>
        <v>Department 206 - Graphics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6" t="s">
        <v>6</v>
      </c>
      <c r="C16" s="26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6"/>
      <c r="L16" s="19">
        <f>+D16-H16</f>
        <v>0</v>
      </c>
      <c r="M16" s="16"/>
      <c r="N16" s="21">
        <f>IF(H16=0,0,L16/H16)</f>
        <v>0</v>
      </c>
      <c r="O16" s="25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6"/>
      <c r="X16" s="19">
        <f>+P16-T16</f>
        <v>0</v>
      </c>
      <c r="Y16" s="16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5" t="s">
        <v>9</v>
      </c>
      <c r="C18" s="10"/>
      <c r="D18" s="20">
        <f>SUM(OSRRefD22x_0)</f>
        <v>10403.06</v>
      </c>
      <c r="E18" s="20"/>
      <c r="F18" s="30">
        <f t="shared" ref="F18:F28" si="0">IF(D$12=0,0,D18/D$12)</f>
        <v>0</v>
      </c>
      <c r="G18" s="20"/>
      <c r="H18" s="20">
        <f>SUM(OSRRefH22x_0)</f>
        <v>19169.737692307692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-8766.6776923076923</v>
      </c>
      <c r="M18" s="4"/>
      <c r="N18" s="30">
        <f t="shared" ref="N18:N28" si="3">IF(H18=0,0,L18/H18)</f>
        <v>-0.45731860461635465</v>
      </c>
      <c r="O18" s="10"/>
      <c r="P18" s="20">
        <f>SUM(OSRRefP22x_0)</f>
        <v>62645.850000000006</v>
      </c>
      <c r="Q18" s="20"/>
      <c r="R18" s="30">
        <f t="shared" ref="R18:R28" si="4">IF(P$12=0,0,P18/P$12)</f>
        <v>0</v>
      </c>
      <c r="S18" s="20"/>
      <c r="T18" s="20">
        <f>SUM(OSRRefT22x_0)</f>
        <v>132582.20469230769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-69936.354692307679</v>
      </c>
      <c r="Y18" s="4"/>
      <c r="Z18" s="30">
        <f t="shared" ref="Z18:Z28" si="7">IF(T18=0,0,X18/T18)</f>
        <v>-0.52749428065865711</v>
      </c>
    </row>
    <row r="19" spans="1:26" s="28" customFormat="1" outlineLevel="1" collapsed="1" x14ac:dyDescent="0.3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2024.67</v>
      </c>
      <c r="E19" s="1"/>
      <c r="F19" s="5">
        <f t="shared" si="0"/>
        <v>0</v>
      </c>
      <c r="G19" s="1"/>
      <c r="H19" s="1">
        <f>SUM(OSRRefH22_0x_0)</f>
        <v>1970.737692307692</v>
      </c>
      <c r="I19" s="1"/>
      <c r="J19" s="5">
        <f t="shared" si="1"/>
        <v>0</v>
      </c>
      <c r="K19" s="1"/>
      <c r="L19" s="1">
        <f t="shared" si="2"/>
        <v>53.932307692308086</v>
      </c>
      <c r="M19" s="1"/>
      <c r="N19" s="5">
        <f t="shared" si="3"/>
        <v>2.7366558168963877E-2</v>
      </c>
      <c r="O19" s="14"/>
      <c r="P19" s="1">
        <f>SUM(OSRRefP22_0x_0)</f>
        <v>11515.07</v>
      </c>
      <c r="Q19" s="1"/>
      <c r="R19" s="5">
        <f t="shared" si="4"/>
        <v>0</v>
      </c>
      <c r="S19" s="1"/>
      <c r="T19" s="1">
        <f>SUM(OSRRefT22_0x_0)</f>
        <v>12565.204692307692</v>
      </c>
      <c r="U19" s="1"/>
      <c r="V19" s="5">
        <f t="shared" si="5"/>
        <v>0</v>
      </c>
      <c r="W19" s="1"/>
      <c r="X19" s="1">
        <f t="shared" si="6"/>
        <v>-1050.1346923076926</v>
      </c>
      <c r="Y19" s="1"/>
      <c r="Z19" s="5">
        <f t="shared" si="7"/>
        <v>-8.3574817762465572E-2</v>
      </c>
    </row>
    <row r="20" spans="1:26" s="24" customFormat="1" hidden="1" outlineLevel="2" x14ac:dyDescent="0.35">
      <c r="A20" s="29"/>
      <c r="B20" s="11" t="str">
        <f>CONCATENATE("          ", "6111", " - ", "F.I.C.A.")</f>
        <v xml:space="preserve">          6111 - F.I.C.A.</v>
      </c>
      <c r="C20" s="11"/>
      <c r="D20" s="7">
        <v>380.68</v>
      </c>
      <c r="E20" s="2"/>
      <c r="F20" s="6">
        <f t="shared" si="0"/>
        <v>0</v>
      </c>
      <c r="G20" s="2"/>
      <c r="H20" s="7">
        <v>459.18</v>
      </c>
      <c r="I20" s="2"/>
      <c r="J20" s="6">
        <f t="shared" si="1"/>
        <v>0</v>
      </c>
      <c r="K20" s="2"/>
      <c r="L20" s="7">
        <f t="shared" si="2"/>
        <v>-78.5</v>
      </c>
      <c r="M20" s="2"/>
      <c r="N20" s="6">
        <f t="shared" si="3"/>
        <v>-0.17095692321094125</v>
      </c>
      <c r="O20" s="11"/>
      <c r="P20" s="7">
        <v>2804.09</v>
      </c>
      <c r="Q20" s="2"/>
      <c r="R20" s="6">
        <f t="shared" si="4"/>
        <v>0</v>
      </c>
      <c r="S20" s="2"/>
      <c r="T20" s="7">
        <v>3053.547</v>
      </c>
      <c r="U20" s="2"/>
      <c r="V20" s="6">
        <f t="shared" si="5"/>
        <v>0</v>
      </c>
      <c r="W20" s="2"/>
      <c r="X20" s="7">
        <f t="shared" si="6"/>
        <v>-249.45699999999988</v>
      </c>
      <c r="Y20" s="2"/>
      <c r="Z20" s="6">
        <f t="shared" si="7"/>
        <v>-8.1694174021228388E-2</v>
      </c>
    </row>
    <row r="21" spans="1:26" s="24" customFormat="1" hidden="1" outlineLevel="2" x14ac:dyDescent="0.3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12.97</v>
      </c>
      <c r="E21" s="2"/>
      <c r="F21" s="6">
        <f t="shared" si="0"/>
        <v>0</v>
      </c>
      <c r="G21" s="2"/>
      <c r="H21" s="7">
        <v>24.75</v>
      </c>
      <c r="I21" s="2"/>
      <c r="J21" s="6">
        <f t="shared" si="1"/>
        <v>0</v>
      </c>
      <c r="K21" s="2"/>
      <c r="L21" s="7">
        <f t="shared" si="2"/>
        <v>-11.78</v>
      </c>
      <c r="M21" s="2"/>
      <c r="N21" s="6">
        <f t="shared" si="3"/>
        <v>-0.47595959595959592</v>
      </c>
      <c r="O21" s="11"/>
      <c r="P21" s="7">
        <v>149.28</v>
      </c>
      <c r="Q21" s="2"/>
      <c r="R21" s="6">
        <f t="shared" si="4"/>
        <v>0</v>
      </c>
      <c r="S21" s="2"/>
      <c r="T21" s="7">
        <v>153.44999999999999</v>
      </c>
      <c r="U21" s="2"/>
      <c r="V21" s="6">
        <f t="shared" si="5"/>
        <v>0</v>
      </c>
      <c r="W21" s="2"/>
      <c r="X21" s="7">
        <f t="shared" si="6"/>
        <v>-4.1699999999999875</v>
      </c>
      <c r="Y21" s="2"/>
      <c r="Z21" s="6">
        <f t="shared" si="7"/>
        <v>-2.7174975562072257E-2</v>
      </c>
    </row>
    <row r="22" spans="1:26" s="24" customFormat="1" hidden="1" outlineLevel="2" x14ac:dyDescent="0.35">
      <c r="A22" s="29"/>
      <c r="B22" s="11" t="str">
        <f>CONCATENATE("          ", "6113", " - ", "GROUP INSURANCE")</f>
        <v xml:space="preserve">          6113 - GROUP INSURANCE</v>
      </c>
      <c r="C22" s="11"/>
      <c r="D22" s="7">
        <v>704.62</v>
      </c>
      <c r="E22" s="2"/>
      <c r="F22" s="6">
        <f t="shared" si="0"/>
        <v>0</v>
      </c>
      <c r="G22" s="2"/>
      <c r="H22" s="7">
        <v>767.30769230769204</v>
      </c>
      <c r="I22" s="2"/>
      <c r="J22" s="6">
        <f t="shared" si="1"/>
        <v>0</v>
      </c>
      <c r="K22" s="2"/>
      <c r="L22" s="7">
        <f t="shared" si="2"/>
        <v>-62.687692307692032</v>
      </c>
      <c r="M22" s="2"/>
      <c r="N22" s="6">
        <f t="shared" si="3"/>
        <v>-8.1698245614034756E-2</v>
      </c>
      <c r="O22" s="11"/>
      <c r="P22" s="7">
        <v>4909.84</v>
      </c>
      <c r="Q22" s="2"/>
      <c r="R22" s="6">
        <f t="shared" si="4"/>
        <v>0</v>
      </c>
      <c r="S22" s="2"/>
      <c r="T22" s="7">
        <v>4757.3076923076924</v>
      </c>
      <c r="U22" s="2"/>
      <c r="V22" s="6">
        <f t="shared" si="5"/>
        <v>0</v>
      </c>
      <c r="W22" s="2"/>
      <c r="X22" s="7">
        <f t="shared" si="6"/>
        <v>152.53230769230777</v>
      </c>
      <c r="Y22" s="2"/>
      <c r="Z22" s="6">
        <f t="shared" si="7"/>
        <v>3.2062737488883518E-2</v>
      </c>
    </row>
    <row r="23" spans="1:26" s="24" customFormat="1" hidden="1" outlineLevel="2" x14ac:dyDescent="0.3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32.46</v>
      </c>
      <c r="E23" s="2"/>
      <c r="F23" s="6">
        <f t="shared" si="0"/>
        <v>0</v>
      </c>
      <c r="G23" s="2"/>
      <c r="H23" s="7">
        <v>19.5</v>
      </c>
      <c r="I23" s="2"/>
      <c r="J23" s="6">
        <f t="shared" si="1"/>
        <v>0</v>
      </c>
      <c r="K23" s="2"/>
      <c r="L23" s="7">
        <f t="shared" si="2"/>
        <v>12.96</v>
      </c>
      <c r="M23" s="2"/>
      <c r="N23" s="6">
        <f t="shared" si="3"/>
        <v>0.66461538461538461</v>
      </c>
      <c r="O23" s="11"/>
      <c r="P23" s="7">
        <v>117.62</v>
      </c>
      <c r="Q23" s="2"/>
      <c r="R23" s="6">
        <f t="shared" si="4"/>
        <v>0</v>
      </c>
      <c r="S23" s="2"/>
      <c r="T23" s="7">
        <v>120.9</v>
      </c>
      <c r="U23" s="2"/>
      <c r="V23" s="6">
        <f t="shared" si="5"/>
        <v>0</v>
      </c>
      <c r="W23" s="2"/>
      <c r="X23" s="7">
        <f t="shared" si="6"/>
        <v>-3.2800000000000011</v>
      </c>
      <c r="Y23" s="2"/>
      <c r="Z23" s="6">
        <f t="shared" si="7"/>
        <v>-2.7129859387923911E-2</v>
      </c>
    </row>
    <row r="24" spans="1:26" s="24" customFormat="1" hidden="1" outlineLevel="2" x14ac:dyDescent="0.35">
      <c r="A24" s="29"/>
      <c r="B24" s="11" t="str">
        <f>CONCATENATE("          ", "6115", " - ", "P.E.R.S.")</f>
        <v xml:space="preserve">          6115 - P.E.R.S.</v>
      </c>
      <c r="C24" s="11"/>
      <c r="D24" s="7">
        <v>441.84</v>
      </c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441.84</v>
      </c>
      <c r="M24" s="2"/>
      <c r="N24" s="6">
        <f t="shared" si="3"/>
        <v>0</v>
      </c>
      <c r="O24" s="11"/>
      <c r="P24" s="7">
        <v>441.84</v>
      </c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441.84</v>
      </c>
      <c r="Y24" s="2"/>
      <c r="Z24" s="6">
        <f t="shared" si="7"/>
        <v>0</v>
      </c>
    </row>
    <row r="25" spans="1:26" s="24" customFormat="1" hidden="1" outlineLevel="2" x14ac:dyDescent="0.3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35">
      <c r="A26" s="29"/>
      <c r="B26" s="11" t="str">
        <f>CONCATENATE("          ", "6118", " - ", "VACATION")</f>
        <v xml:space="preserve">          6118 - VACATION</v>
      </c>
      <c r="C26" s="11"/>
      <c r="D26" s="7">
        <v>230.7</v>
      </c>
      <c r="E26" s="2"/>
      <c r="F26" s="6">
        <f t="shared" si="0"/>
        <v>0</v>
      </c>
      <c r="G26" s="2"/>
      <c r="H26" s="7">
        <v>300</v>
      </c>
      <c r="I26" s="2"/>
      <c r="J26" s="6">
        <f t="shared" si="1"/>
        <v>0</v>
      </c>
      <c r="K26" s="2"/>
      <c r="L26" s="7">
        <f t="shared" si="2"/>
        <v>-69.300000000000011</v>
      </c>
      <c r="M26" s="2"/>
      <c r="N26" s="6">
        <f t="shared" si="3"/>
        <v>-0.23100000000000004</v>
      </c>
      <c r="O26" s="11"/>
      <c r="P26" s="7">
        <v>1431.9</v>
      </c>
      <c r="Q26" s="2"/>
      <c r="R26" s="6">
        <f t="shared" si="4"/>
        <v>0</v>
      </c>
      <c r="S26" s="2"/>
      <c r="T26" s="7">
        <v>1860</v>
      </c>
      <c r="U26" s="2"/>
      <c r="V26" s="6">
        <f t="shared" si="5"/>
        <v>0</v>
      </c>
      <c r="W26" s="2"/>
      <c r="X26" s="7">
        <f t="shared" si="6"/>
        <v>-428.09999999999991</v>
      </c>
      <c r="Y26" s="2"/>
      <c r="Z26" s="6">
        <f t="shared" si="7"/>
        <v>-0.23016129032258059</v>
      </c>
    </row>
    <row r="27" spans="1:26" s="24" customFormat="1" hidden="1" outlineLevel="2" x14ac:dyDescent="0.35">
      <c r="A27" s="29"/>
      <c r="B27" s="11" t="str">
        <f>CONCATENATE("          ", "6119", " - ", "SICK LEAVE")</f>
        <v xml:space="preserve">          6119 - SICK LEAVE</v>
      </c>
      <c r="C27" s="11"/>
      <c r="D27" s="7">
        <v>221.4</v>
      </c>
      <c r="E27" s="2"/>
      <c r="F27" s="6">
        <f t="shared" si="0"/>
        <v>0</v>
      </c>
      <c r="G27" s="2"/>
      <c r="H27" s="7">
        <v>225</v>
      </c>
      <c r="I27" s="2"/>
      <c r="J27" s="6">
        <f t="shared" si="1"/>
        <v>0</v>
      </c>
      <c r="K27" s="2"/>
      <c r="L27" s="7">
        <f t="shared" si="2"/>
        <v>-3.5999999999999943</v>
      </c>
      <c r="M27" s="2"/>
      <c r="N27" s="6">
        <f t="shared" si="3"/>
        <v>-1.5999999999999976E-2</v>
      </c>
      <c r="O27" s="11"/>
      <c r="P27" s="7">
        <v>1660.5</v>
      </c>
      <c r="Q27" s="2"/>
      <c r="R27" s="6">
        <f t="shared" si="4"/>
        <v>0</v>
      </c>
      <c r="S27" s="2"/>
      <c r="T27" s="7">
        <v>1395</v>
      </c>
      <c r="U27" s="2"/>
      <c r="V27" s="6">
        <f t="shared" si="5"/>
        <v>0</v>
      </c>
      <c r="W27" s="2"/>
      <c r="X27" s="7">
        <f t="shared" si="6"/>
        <v>265.5</v>
      </c>
      <c r="Y27" s="2"/>
      <c r="Z27" s="6">
        <f t="shared" si="7"/>
        <v>0.19032258064516128</v>
      </c>
    </row>
    <row r="28" spans="1:26" s="24" customFormat="1" hidden="1" outlineLevel="2" x14ac:dyDescent="0.35">
      <c r="A28" s="29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>
        <v>175</v>
      </c>
      <c r="I28" s="2"/>
      <c r="J28" s="6">
        <f t="shared" si="1"/>
        <v>0</v>
      </c>
      <c r="K28" s="2"/>
      <c r="L28" s="7">
        <f t="shared" si="2"/>
        <v>-175</v>
      </c>
      <c r="M28" s="2"/>
      <c r="N28" s="6">
        <f t="shared" si="3"/>
        <v>-1</v>
      </c>
      <c r="O28" s="11"/>
      <c r="P28" s="7"/>
      <c r="Q28" s="2"/>
      <c r="R28" s="6">
        <f t="shared" si="4"/>
        <v>0</v>
      </c>
      <c r="S28" s="2"/>
      <c r="T28" s="7">
        <v>1225</v>
      </c>
      <c r="U28" s="2"/>
      <c r="V28" s="6">
        <f t="shared" si="5"/>
        <v>0</v>
      </c>
      <c r="W28" s="2"/>
      <c r="X28" s="7">
        <f t="shared" si="6"/>
        <v>-1225</v>
      </c>
      <c r="Y28" s="2"/>
      <c r="Z28" s="6">
        <f t="shared" si="7"/>
        <v>-1</v>
      </c>
    </row>
    <row r="29" spans="1:26" s="28" customFormat="1" outlineLevel="1" collapsed="1" x14ac:dyDescent="0.3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7897.76</v>
      </c>
      <c r="E29" s="1"/>
      <c r="F29" s="5">
        <f t="shared" ref="F29:F39" si="8">IF(D$12=0,0,D29/D$12)</f>
        <v>0</v>
      </c>
      <c r="G29" s="1"/>
      <c r="H29" s="1">
        <f>SUM(OSRRefH22_1x_0)</f>
        <v>7095</v>
      </c>
      <c r="I29" s="1"/>
      <c r="J29" s="5">
        <f t="shared" ref="J29:J39" si="9">IF(H$12=0,0,H29/H$12)</f>
        <v>0</v>
      </c>
      <c r="K29" s="1"/>
      <c r="L29" s="1">
        <f t="shared" ref="L29:L39" si="10">+D29-H29</f>
        <v>802.76000000000022</v>
      </c>
      <c r="M29" s="1"/>
      <c r="N29" s="5">
        <f t="shared" ref="N29:N39" si="11">IF(H29=0,0,L29/H29)</f>
        <v>0.11314446793516564</v>
      </c>
      <c r="O29" s="14"/>
      <c r="P29" s="1">
        <f>SUM(OSRRefP22_1x_0)</f>
        <v>47976.480000000003</v>
      </c>
      <c r="Q29" s="1"/>
      <c r="R29" s="5">
        <f t="shared" ref="R29:R39" si="12">IF(P$12=0,0,P29/P$12)</f>
        <v>0</v>
      </c>
      <c r="S29" s="1"/>
      <c r="T29" s="1">
        <f>SUM(OSRRefT22_1x_0)</f>
        <v>43989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3987.4800000000032</v>
      </c>
      <c r="Y29" s="1"/>
      <c r="Z29" s="5">
        <f t="shared" ref="Z29:Z39" si="15">IF(T29=0,0,X29/T29)</f>
        <v>9.0647207256359622E-2</v>
      </c>
    </row>
    <row r="30" spans="1:26" s="24" customFormat="1" hidden="1" outlineLevel="2" x14ac:dyDescent="0.3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35">
      <c r="A31" s="29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35">
      <c r="A32" s="29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35">
      <c r="A33" s="29"/>
      <c r="B33" s="11" t="str">
        <f>CONCATENATE("          ", "6004", " - ", "STAFF HOURLY")</f>
        <v xml:space="preserve">          6004 - STAFF HOURLY</v>
      </c>
      <c r="C33" s="11"/>
      <c r="D33" s="7">
        <v>4755</v>
      </c>
      <c r="E33" s="2"/>
      <c r="F33" s="6">
        <f t="shared" si="8"/>
        <v>0</v>
      </c>
      <c r="G33" s="2"/>
      <c r="H33" s="7">
        <v>5640</v>
      </c>
      <c r="I33" s="2"/>
      <c r="J33" s="6">
        <f t="shared" si="9"/>
        <v>0</v>
      </c>
      <c r="K33" s="2"/>
      <c r="L33" s="7">
        <f t="shared" si="10"/>
        <v>-885</v>
      </c>
      <c r="M33" s="2"/>
      <c r="N33" s="6">
        <f t="shared" si="11"/>
        <v>-0.15691489361702127</v>
      </c>
      <c r="O33" s="11"/>
      <c r="P33" s="7">
        <v>36605.100000000006</v>
      </c>
      <c r="Q33" s="2"/>
      <c r="R33" s="6">
        <f t="shared" si="12"/>
        <v>0</v>
      </c>
      <c r="S33" s="2"/>
      <c r="T33" s="7">
        <v>34968</v>
      </c>
      <c r="U33" s="2"/>
      <c r="V33" s="6">
        <f t="shared" si="13"/>
        <v>0</v>
      </c>
      <c r="W33" s="2"/>
      <c r="X33" s="7">
        <f t="shared" si="14"/>
        <v>1637.1000000000058</v>
      </c>
      <c r="Y33" s="2"/>
      <c r="Z33" s="6">
        <f t="shared" si="15"/>
        <v>4.6817089910775732E-2</v>
      </c>
    </row>
    <row r="34" spans="1:26" s="24" customFormat="1" hidden="1" outlineLevel="2" x14ac:dyDescent="0.3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3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35">
      <c r="A36" s="29"/>
      <c r="B36" s="11" t="str">
        <f>CONCATENATE("          ", "6007", " - ", "STUDENT HOURLY")</f>
        <v xml:space="preserve">          6007 - STUDENT HOURLY</v>
      </c>
      <c r="C36" s="11"/>
      <c r="D36" s="7">
        <v>1776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1776</v>
      </c>
      <c r="M36" s="2"/>
      <c r="N36" s="6">
        <f t="shared" si="11"/>
        <v>0</v>
      </c>
      <c r="O36" s="11"/>
      <c r="P36" s="7">
        <v>1776</v>
      </c>
      <c r="Q36" s="2"/>
      <c r="R36" s="6">
        <f t="shared" si="12"/>
        <v>0</v>
      </c>
      <c r="S36" s="2"/>
      <c r="T36" s="7">
        <v>2619</v>
      </c>
      <c r="U36" s="2"/>
      <c r="V36" s="6">
        <f t="shared" si="13"/>
        <v>0</v>
      </c>
      <c r="W36" s="2"/>
      <c r="X36" s="7">
        <f t="shared" si="14"/>
        <v>-843</v>
      </c>
      <c r="Y36" s="2"/>
      <c r="Z36" s="6">
        <f t="shared" si="15"/>
        <v>-0.3218785796105384</v>
      </c>
    </row>
    <row r="37" spans="1:26" s="24" customFormat="1" hidden="1" outlineLevel="2" x14ac:dyDescent="0.3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>
        <v>1366.76</v>
      </c>
      <c r="E37" s="2"/>
      <c r="F37" s="6">
        <f t="shared" si="8"/>
        <v>0</v>
      </c>
      <c r="G37" s="2"/>
      <c r="H37" s="7">
        <v>1455</v>
      </c>
      <c r="I37" s="2"/>
      <c r="J37" s="6">
        <f t="shared" si="9"/>
        <v>0</v>
      </c>
      <c r="K37" s="2"/>
      <c r="L37" s="7">
        <f t="shared" si="10"/>
        <v>-88.240000000000009</v>
      </c>
      <c r="M37" s="2"/>
      <c r="N37" s="6">
        <f t="shared" si="11"/>
        <v>-6.0646048109965642E-2</v>
      </c>
      <c r="O37" s="11"/>
      <c r="P37" s="7">
        <v>9595.3799999999992</v>
      </c>
      <c r="Q37" s="2"/>
      <c r="R37" s="6">
        <f t="shared" si="12"/>
        <v>0</v>
      </c>
      <c r="S37" s="2"/>
      <c r="T37" s="7">
        <v>6402</v>
      </c>
      <c r="U37" s="2"/>
      <c r="V37" s="6">
        <f t="shared" si="13"/>
        <v>0</v>
      </c>
      <c r="W37" s="2"/>
      <c r="X37" s="7">
        <f t="shared" si="14"/>
        <v>3193.3799999999992</v>
      </c>
      <c r="Y37" s="2"/>
      <c r="Z37" s="6">
        <f t="shared" si="15"/>
        <v>0.4988097469540767</v>
      </c>
    </row>
    <row r="38" spans="1:26" s="24" customFormat="1" hidden="1" outlineLevel="2" x14ac:dyDescent="0.35">
      <c r="A38" s="29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35">
      <c r="A39" s="29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35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173.21</v>
      </c>
      <c r="E40" s="1"/>
      <c r="F40" s="5">
        <f t="shared" ref="F40:F54" si="16">IF(D$12=0,0,D40/D$12)</f>
        <v>0</v>
      </c>
      <c r="G40" s="1"/>
      <c r="H40" s="1">
        <f>SUM(OSRRefH22_2x_0)</f>
        <v>8333</v>
      </c>
      <c r="I40" s="1"/>
      <c r="J40" s="5">
        <f t="shared" ref="J40:J54" si="17">IF(H$12=0,0,H40/H$12)</f>
        <v>0</v>
      </c>
      <c r="K40" s="1"/>
      <c r="L40" s="1">
        <f t="shared" ref="L40:L54" si="18">+D40-H40</f>
        <v>-8159.79</v>
      </c>
      <c r="M40" s="1"/>
      <c r="N40" s="5">
        <f t="shared" ref="N40:N54" si="19">IF(H40=0,0,L40/H40)</f>
        <v>-0.97921396855874232</v>
      </c>
      <c r="O40" s="14"/>
      <c r="P40" s="1">
        <f>SUM(OSRRefP22_2x_0)</f>
        <v>1039.26</v>
      </c>
      <c r="Q40" s="1"/>
      <c r="R40" s="5">
        <f t="shared" ref="R40:R54" si="20">IF(P$12=0,0,P40/P$12)</f>
        <v>0</v>
      </c>
      <c r="S40" s="1"/>
      <c r="T40" s="1">
        <f>SUM(OSRRefT22_2x_0)</f>
        <v>58331</v>
      </c>
      <c r="U40" s="1"/>
      <c r="V40" s="5">
        <f t="shared" ref="V40:V54" si="21">IF(T$12=0,0,T40/T$12)</f>
        <v>0</v>
      </c>
      <c r="W40" s="1"/>
      <c r="X40" s="1">
        <f t="shared" ref="X40:X54" si="22">+P40-T40</f>
        <v>-57291.74</v>
      </c>
      <c r="Y40" s="1"/>
      <c r="Z40" s="5">
        <f t="shared" ref="Z40:Z54" si="23">IF(T40=0,0,X40/T40)</f>
        <v>-0.98218340162177908</v>
      </c>
    </row>
    <row r="41" spans="1:26" s="24" customFormat="1" hidden="1" outlineLevel="2" x14ac:dyDescent="0.35">
      <c r="A41" s="29"/>
      <c r="B41" s="11" t="str">
        <f>CONCATENATE("          ", "6362", " - ", "ADVERTISING EXPENSE")</f>
        <v xml:space="preserve">          6362 - ADVERTISING EXPENSE</v>
      </c>
      <c r="C41" s="11"/>
      <c r="D41" s="7">
        <v>173.21</v>
      </c>
      <c r="E41" s="2"/>
      <c r="F41" s="6">
        <f t="shared" si="16"/>
        <v>0</v>
      </c>
      <c r="G41" s="2"/>
      <c r="H41" s="7">
        <v>8333</v>
      </c>
      <c r="I41" s="2"/>
      <c r="J41" s="6">
        <f t="shared" si="17"/>
        <v>0</v>
      </c>
      <c r="K41" s="2"/>
      <c r="L41" s="7">
        <f t="shared" si="18"/>
        <v>-8159.79</v>
      </c>
      <c r="M41" s="2"/>
      <c r="N41" s="6">
        <f t="shared" si="19"/>
        <v>-0.97921396855874232</v>
      </c>
      <c r="O41" s="11"/>
      <c r="P41" s="7">
        <v>1039.26</v>
      </c>
      <c r="Q41" s="2"/>
      <c r="R41" s="6">
        <f t="shared" si="20"/>
        <v>0</v>
      </c>
      <c r="S41" s="2"/>
      <c r="T41" s="7">
        <v>58331</v>
      </c>
      <c r="U41" s="2"/>
      <c r="V41" s="6">
        <f t="shared" si="21"/>
        <v>0</v>
      </c>
      <c r="W41" s="2"/>
      <c r="X41" s="7">
        <f t="shared" si="22"/>
        <v>-57291.74</v>
      </c>
      <c r="Y41" s="2"/>
      <c r="Z41" s="6">
        <f t="shared" si="23"/>
        <v>-0.98218340162177908</v>
      </c>
    </row>
    <row r="42" spans="1:26" s="28" customFormat="1" outlineLevel="1" collapsed="1" x14ac:dyDescent="0.35">
      <c r="A42" s="27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271.27</v>
      </c>
      <c r="E42" s="1"/>
      <c r="F42" s="5">
        <f t="shared" si="16"/>
        <v>0</v>
      </c>
      <c r="G42" s="1"/>
      <c r="H42" s="1">
        <f>SUM(OSRRefH22_3x_0)</f>
        <v>271</v>
      </c>
      <c r="I42" s="1"/>
      <c r="J42" s="5">
        <f t="shared" si="17"/>
        <v>0</v>
      </c>
      <c r="K42" s="1"/>
      <c r="L42" s="1">
        <f t="shared" si="18"/>
        <v>0.26999999999998181</v>
      </c>
      <c r="M42" s="1"/>
      <c r="N42" s="5">
        <f t="shared" si="19"/>
        <v>9.9630996309956377E-4</v>
      </c>
      <c r="O42" s="14"/>
      <c r="P42" s="1">
        <f>SUM(OSRRefP22_3x_0)</f>
        <v>1898.89</v>
      </c>
      <c r="Q42" s="1"/>
      <c r="R42" s="5">
        <f t="shared" si="20"/>
        <v>0</v>
      </c>
      <c r="S42" s="1"/>
      <c r="T42" s="1">
        <f>SUM(OSRRefT22_3x_0)</f>
        <v>1897</v>
      </c>
      <c r="U42" s="1"/>
      <c r="V42" s="5">
        <f t="shared" si="21"/>
        <v>0</v>
      </c>
      <c r="W42" s="1"/>
      <c r="X42" s="1">
        <f t="shared" si="22"/>
        <v>1.8900000000001</v>
      </c>
      <c r="Y42" s="1"/>
      <c r="Z42" s="5">
        <f t="shared" si="23"/>
        <v>9.9630996309968368E-4</v>
      </c>
    </row>
    <row r="43" spans="1:26" s="24" customFormat="1" hidden="1" outlineLevel="2" x14ac:dyDescent="0.35">
      <c r="A43" s="29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271.27</v>
      </c>
      <c r="E43" s="2"/>
      <c r="F43" s="6">
        <f t="shared" si="16"/>
        <v>0</v>
      </c>
      <c r="G43" s="2"/>
      <c r="H43" s="7">
        <v>271</v>
      </c>
      <c r="I43" s="2"/>
      <c r="J43" s="6">
        <f t="shared" si="17"/>
        <v>0</v>
      </c>
      <c r="K43" s="2"/>
      <c r="L43" s="7">
        <f t="shared" si="18"/>
        <v>0.26999999999998181</v>
      </c>
      <c r="M43" s="2"/>
      <c r="N43" s="6">
        <f t="shared" si="19"/>
        <v>9.9630996309956377E-4</v>
      </c>
      <c r="O43" s="11"/>
      <c r="P43" s="7">
        <v>1898.89</v>
      </c>
      <c r="Q43" s="2"/>
      <c r="R43" s="6">
        <f t="shared" si="20"/>
        <v>0</v>
      </c>
      <c r="S43" s="2"/>
      <c r="T43" s="7">
        <v>1897</v>
      </c>
      <c r="U43" s="2"/>
      <c r="V43" s="6">
        <f t="shared" si="21"/>
        <v>0</v>
      </c>
      <c r="W43" s="2"/>
      <c r="X43" s="7">
        <f t="shared" si="22"/>
        <v>1.8900000000001</v>
      </c>
      <c r="Y43" s="2"/>
      <c r="Z43" s="6">
        <f t="shared" si="23"/>
        <v>9.9630996309968368E-4</v>
      </c>
    </row>
    <row r="44" spans="1:26" s="28" customFormat="1" outlineLevel="1" collapsed="1" x14ac:dyDescent="0.35">
      <c r="A44" s="27"/>
      <c r="B44" s="14" t="str">
        <f>CONCATENATE("     ","Employees' Appreciation                           ")</f>
        <v xml:space="preserve">     Employees' Appreciation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4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500</v>
      </c>
      <c r="U44" s="1"/>
      <c r="V44" s="5">
        <f t="shared" si="21"/>
        <v>0</v>
      </c>
      <c r="W44" s="1"/>
      <c r="X44" s="1">
        <f t="shared" si="22"/>
        <v>-500</v>
      </c>
      <c r="Y44" s="1"/>
      <c r="Z44" s="5">
        <f t="shared" si="23"/>
        <v>-1</v>
      </c>
    </row>
    <row r="45" spans="1:26" s="24" customFormat="1" hidden="1" outlineLevel="2" x14ac:dyDescent="0.35">
      <c r="A45" s="29"/>
      <c r="B45" s="11" t="str">
        <f>CONCATENATE("          ", "6277", " - ", "EMPLOYEE APPRECIATION")</f>
        <v xml:space="preserve">          6277 - EMPLOYEE APPRECIATION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/>
      <c r="Q45" s="2"/>
      <c r="R45" s="6">
        <f t="shared" si="20"/>
        <v>0</v>
      </c>
      <c r="S45" s="2"/>
      <c r="T45" s="7">
        <v>500</v>
      </c>
      <c r="U45" s="2"/>
      <c r="V45" s="6">
        <f t="shared" si="21"/>
        <v>0</v>
      </c>
      <c r="W45" s="2"/>
      <c r="X45" s="7">
        <f t="shared" si="22"/>
        <v>-500</v>
      </c>
      <c r="Y45" s="2"/>
      <c r="Z45" s="6">
        <f t="shared" si="23"/>
        <v>-1</v>
      </c>
    </row>
    <row r="46" spans="1:26" s="28" customFormat="1" outlineLevel="1" collapsed="1" x14ac:dyDescent="0.35">
      <c r="A46" s="27"/>
      <c r="B46" s="14" t="str">
        <f>CONCATENATE("     ","Repair and Maintenance                            ")</f>
        <v xml:space="preserve">     Repair and Maintenance                            </v>
      </c>
      <c r="C46" s="14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667</v>
      </c>
      <c r="I46" s="1"/>
      <c r="J46" s="5">
        <f t="shared" si="17"/>
        <v>0</v>
      </c>
      <c r="K46" s="1"/>
      <c r="L46" s="1">
        <f t="shared" si="18"/>
        <v>-667</v>
      </c>
      <c r="M46" s="1"/>
      <c r="N46" s="5">
        <f t="shared" si="19"/>
        <v>-1</v>
      </c>
      <c r="O46" s="14"/>
      <c r="P46" s="1">
        <f>SUM(OSRRefP22_5x_0)</f>
        <v>0</v>
      </c>
      <c r="Q46" s="1"/>
      <c r="R46" s="5">
        <f t="shared" si="20"/>
        <v>0</v>
      </c>
      <c r="S46" s="1"/>
      <c r="T46" s="1">
        <f>SUM(OSRRefT22_5x_0)</f>
        <v>4669</v>
      </c>
      <c r="U46" s="1"/>
      <c r="V46" s="5">
        <f t="shared" si="21"/>
        <v>0</v>
      </c>
      <c r="W46" s="1"/>
      <c r="X46" s="1">
        <f t="shared" si="22"/>
        <v>-4669</v>
      </c>
      <c r="Y46" s="1"/>
      <c r="Z46" s="5">
        <f t="shared" si="23"/>
        <v>-1</v>
      </c>
    </row>
    <row r="47" spans="1:26" s="24" customFormat="1" hidden="1" outlineLevel="2" x14ac:dyDescent="0.35">
      <c r="A47" s="29"/>
      <c r="B47" s="11" t="str">
        <f>CONCATENATE("          ", "6371", " - ", "COMPUTER SOFTWARE MAINTENANCE")</f>
        <v xml:space="preserve">          6371 - COMPUTER SOFTWARE MAINTENANCE</v>
      </c>
      <c r="C47" s="11"/>
      <c r="D47" s="7"/>
      <c r="E47" s="2"/>
      <c r="F47" s="6">
        <f t="shared" si="16"/>
        <v>0</v>
      </c>
      <c r="G47" s="2"/>
      <c r="H47" s="7">
        <v>667</v>
      </c>
      <c r="I47" s="2"/>
      <c r="J47" s="6">
        <f t="shared" si="17"/>
        <v>0</v>
      </c>
      <c r="K47" s="2"/>
      <c r="L47" s="7">
        <f t="shared" si="18"/>
        <v>-667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4669</v>
      </c>
      <c r="U47" s="2"/>
      <c r="V47" s="6">
        <f t="shared" si="21"/>
        <v>0</v>
      </c>
      <c r="W47" s="2"/>
      <c r="X47" s="7">
        <f t="shared" si="22"/>
        <v>-4669</v>
      </c>
      <c r="Y47" s="2"/>
      <c r="Z47" s="6">
        <f t="shared" si="23"/>
        <v>-1</v>
      </c>
    </row>
    <row r="48" spans="1:26" s="28" customFormat="1" outlineLevel="1" collapsed="1" x14ac:dyDescent="0.35">
      <c r="A48" s="27"/>
      <c r="B48" s="14" t="str">
        <f>CONCATENATE("     ","Subscriptions &amp; Dues                              ")</f>
        <v xml:space="preserve">     Subscriptions &amp; Dues                              </v>
      </c>
      <c r="C48" s="14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4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600</v>
      </c>
      <c r="U48" s="1"/>
      <c r="V48" s="5">
        <f t="shared" si="21"/>
        <v>0</v>
      </c>
      <c r="W48" s="1"/>
      <c r="X48" s="1">
        <f t="shared" si="22"/>
        <v>-600</v>
      </c>
      <c r="Y48" s="1"/>
      <c r="Z48" s="5">
        <f t="shared" si="23"/>
        <v>-1</v>
      </c>
    </row>
    <row r="49" spans="1:26" s="24" customFormat="1" hidden="1" outlineLevel="2" x14ac:dyDescent="0.35">
      <c r="A49" s="29"/>
      <c r="B49" s="11" t="str">
        <f>CONCATENATE("          ", "6258", " - ", "MEMBERSHIP DUES")</f>
        <v xml:space="preserve">          6258 - MEMBERSHIP DUES</v>
      </c>
      <c r="C49" s="11"/>
      <c r="D49" s="7"/>
      <c r="E49" s="2"/>
      <c r="F49" s="6">
        <f t="shared" si="16"/>
        <v>0</v>
      </c>
      <c r="G49" s="2"/>
      <c r="H49" s="7"/>
      <c r="I49" s="2"/>
      <c r="J49" s="6">
        <f t="shared" si="17"/>
        <v>0</v>
      </c>
      <c r="K49" s="2"/>
      <c r="L49" s="7">
        <f t="shared" si="18"/>
        <v>0</v>
      </c>
      <c r="M49" s="2"/>
      <c r="N49" s="6">
        <f t="shared" si="19"/>
        <v>0</v>
      </c>
      <c r="O49" s="11"/>
      <c r="P49" s="7"/>
      <c r="Q49" s="2"/>
      <c r="R49" s="6">
        <f t="shared" si="20"/>
        <v>0</v>
      </c>
      <c r="S49" s="2"/>
      <c r="T49" s="7">
        <v>600</v>
      </c>
      <c r="U49" s="2"/>
      <c r="V49" s="6">
        <f t="shared" si="21"/>
        <v>0</v>
      </c>
      <c r="W49" s="2"/>
      <c r="X49" s="7">
        <f t="shared" si="22"/>
        <v>-600</v>
      </c>
      <c r="Y49" s="2"/>
      <c r="Z49" s="6">
        <f t="shared" si="23"/>
        <v>-1</v>
      </c>
    </row>
    <row r="50" spans="1:26" s="28" customFormat="1" outlineLevel="1" collapsed="1" x14ac:dyDescent="0.35">
      <c r="A50" s="27"/>
      <c r="B50" s="14" t="str">
        <f>CONCATENATE("     ","Supplies                                          ")</f>
        <v xml:space="preserve">     Supplies                                          </v>
      </c>
      <c r="C50" s="14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833</v>
      </c>
      <c r="I50" s="1"/>
      <c r="J50" s="5">
        <f t="shared" si="17"/>
        <v>0</v>
      </c>
      <c r="K50" s="1"/>
      <c r="L50" s="1">
        <f t="shared" si="18"/>
        <v>-833</v>
      </c>
      <c r="M50" s="1"/>
      <c r="N50" s="5">
        <f t="shared" si="19"/>
        <v>-1</v>
      </c>
      <c r="O50" s="14"/>
      <c r="P50" s="1">
        <f>SUM(OSRRefP22_7x_0)</f>
        <v>0</v>
      </c>
      <c r="Q50" s="1"/>
      <c r="R50" s="5">
        <f t="shared" si="20"/>
        <v>0</v>
      </c>
      <c r="S50" s="1"/>
      <c r="T50" s="1">
        <f>SUM(OSRRefT22_7x_0)</f>
        <v>5831</v>
      </c>
      <c r="U50" s="1"/>
      <c r="V50" s="5">
        <f t="shared" si="21"/>
        <v>0</v>
      </c>
      <c r="W50" s="1"/>
      <c r="X50" s="1">
        <f t="shared" si="22"/>
        <v>-5831</v>
      </c>
      <c r="Y50" s="1"/>
      <c r="Z50" s="5">
        <f t="shared" si="23"/>
        <v>-1</v>
      </c>
    </row>
    <row r="51" spans="1:26" s="24" customFormat="1" hidden="1" outlineLevel="2" x14ac:dyDescent="0.35">
      <c r="A51" s="29"/>
      <c r="B51" s="11" t="str">
        <f>CONCATENATE("          ", "6241", " - ", "OFFICE EXPENSE")</f>
        <v xml:space="preserve">          6241 - OFFICE EXPENSE</v>
      </c>
      <c r="C51" s="11"/>
      <c r="D51" s="7"/>
      <c r="E51" s="2"/>
      <c r="F51" s="6">
        <f t="shared" si="16"/>
        <v>0</v>
      </c>
      <c r="G51" s="2"/>
      <c r="H51" s="7">
        <v>833</v>
      </c>
      <c r="I51" s="2"/>
      <c r="J51" s="6">
        <f t="shared" si="17"/>
        <v>0</v>
      </c>
      <c r="K51" s="2"/>
      <c r="L51" s="7">
        <f t="shared" si="18"/>
        <v>-833</v>
      </c>
      <c r="M51" s="2"/>
      <c r="N51" s="6">
        <f t="shared" si="19"/>
        <v>-1</v>
      </c>
      <c r="O51" s="11"/>
      <c r="P51" s="7"/>
      <c r="Q51" s="2"/>
      <c r="R51" s="6">
        <f t="shared" si="20"/>
        <v>0</v>
      </c>
      <c r="S51" s="2"/>
      <c r="T51" s="7">
        <v>5831</v>
      </c>
      <c r="U51" s="2"/>
      <c r="V51" s="6">
        <f t="shared" si="21"/>
        <v>0</v>
      </c>
      <c r="W51" s="2"/>
      <c r="X51" s="7">
        <f t="shared" si="22"/>
        <v>-5831</v>
      </c>
      <c r="Y51" s="2"/>
      <c r="Z51" s="6">
        <f t="shared" si="23"/>
        <v>-1</v>
      </c>
    </row>
    <row r="52" spans="1:26" s="28" customFormat="1" outlineLevel="1" collapsed="1" x14ac:dyDescent="0.35">
      <c r="A52" s="27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SUM(OSRRefD22_8x_0)</f>
        <v>36.15</v>
      </c>
      <c r="E52" s="1"/>
      <c r="F52" s="5">
        <f t="shared" si="16"/>
        <v>0</v>
      </c>
      <c r="G52" s="1"/>
      <c r="H52" s="1">
        <f>SUM(OSRRefH22_8x_0)</f>
        <v>0</v>
      </c>
      <c r="I52" s="1"/>
      <c r="J52" s="5">
        <f t="shared" si="17"/>
        <v>0</v>
      </c>
      <c r="K52" s="1"/>
      <c r="L52" s="1">
        <f t="shared" si="18"/>
        <v>36.15</v>
      </c>
      <c r="M52" s="1"/>
      <c r="N52" s="5">
        <f t="shared" si="19"/>
        <v>0</v>
      </c>
      <c r="O52" s="14"/>
      <c r="P52" s="1">
        <f>SUM(OSRRefP22_8x_0)</f>
        <v>216.15</v>
      </c>
      <c r="Q52" s="1"/>
      <c r="R52" s="5">
        <f t="shared" si="20"/>
        <v>0</v>
      </c>
      <c r="S52" s="1"/>
      <c r="T52" s="1">
        <f>SUM(OSRRefT22_8x_0)</f>
        <v>1800</v>
      </c>
      <c r="U52" s="1"/>
      <c r="V52" s="5">
        <f t="shared" si="21"/>
        <v>0</v>
      </c>
      <c r="W52" s="1"/>
      <c r="X52" s="1">
        <f t="shared" si="22"/>
        <v>-1583.85</v>
      </c>
      <c r="Y52" s="1"/>
      <c r="Z52" s="5">
        <f t="shared" si="23"/>
        <v>-0.87991666666666657</v>
      </c>
    </row>
    <row r="53" spans="1:26" s="24" customFormat="1" hidden="1" outlineLevel="2" x14ac:dyDescent="0.35">
      <c r="A53" s="29"/>
      <c r="B53" s="11" t="str">
        <f>CONCATENATE("          ", "6303", " - ", "DATA PHONE LINES")</f>
        <v xml:space="preserve">          6303 - DATA PHONE LINES</v>
      </c>
      <c r="C53" s="11"/>
      <c r="D53" s="7"/>
      <c r="E53" s="2"/>
      <c r="F53" s="6">
        <f t="shared" si="16"/>
        <v>0</v>
      </c>
      <c r="G53" s="2"/>
      <c r="H53" s="7"/>
      <c r="I53" s="2"/>
      <c r="J53" s="6">
        <f t="shared" si="17"/>
        <v>0</v>
      </c>
      <c r="K53" s="2"/>
      <c r="L53" s="7">
        <f t="shared" si="18"/>
        <v>0</v>
      </c>
      <c r="M53" s="2"/>
      <c r="N53" s="6">
        <f t="shared" si="19"/>
        <v>0</v>
      </c>
      <c r="O53" s="11"/>
      <c r="P53" s="7"/>
      <c r="Q53" s="2"/>
      <c r="R53" s="6">
        <f t="shared" si="20"/>
        <v>0</v>
      </c>
      <c r="S53" s="2"/>
      <c r="T53" s="7">
        <v>1800</v>
      </c>
      <c r="U53" s="2"/>
      <c r="V53" s="6">
        <f t="shared" si="21"/>
        <v>0</v>
      </c>
      <c r="W53" s="2"/>
      <c r="X53" s="7">
        <f t="shared" si="22"/>
        <v>-1800</v>
      </c>
      <c r="Y53" s="2"/>
      <c r="Z53" s="6">
        <f t="shared" si="23"/>
        <v>-1</v>
      </c>
    </row>
    <row r="54" spans="1:26" s="24" customFormat="1" hidden="1" outlineLevel="2" x14ac:dyDescent="0.35">
      <c r="A54" s="29"/>
      <c r="B54" s="11" t="str">
        <f>CONCATENATE("          ", "6309", " - ", "TELEPHONE")</f>
        <v xml:space="preserve">          6309 - TELEPHONE</v>
      </c>
      <c r="C54" s="11"/>
      <c r="D54" s="7">
        <v>36.15</v>
      </c>
      <c r="E54" s="2"/>
      <c r="F54" s="6">
        <f t="shared" si="16"/>
        <v>0</v>
      </c>
      <c r="G54" s="2"/>
      <c r="H54" s="7"/>
      <c r="I54" s="2"/>
      <c r="J54" s="6">
        <f t="shared" si="17"/>
        <v>0</v>
      </c>
      <c r="K54" s="2"/>
      <c r="L54" s="7">
        <f t="shared" si="18"/>
        <v>36.15</v>
      </c>
      <c r="M54" s="2"/>
      <c r="N54" s="6">
        <f t="shared" si="19"/>
        <v>0</v>
      </c>
      <c r="O54" s="11"/>
      <c r="P54" s="7">
        <v>216.15</v>
      </c>
      <c r="Q54" s="2"/>
      <c r="R54" s="6">
        <f t="shared" si="20"/>
        <v>0</v>
      </c>
      <c r="S54" s="2"/>
      <c r="T54" s="7"/>
      <c r="U54" s="2"/>
      <c r="V54" s="6">
        <f t="shared" si="21"/>
        <v>0</v>
      </c>
      <c r="W54" s="2"/>
      <c r="X54" s="7">
        <f t="shared" si="22"/>
        <v>216.15</v>
      </c>
      <c r="Y54" s="2"/>
      <c r="Z54" s="6">
        <f t="shared" si="23"/>
        <v>0</v>
      </c>
    </row>
    <row r="55" spans="1:26" s="28" customFormat="1" outlineLevel="1" collapsed="1" x14ac:dyDescent="0.35">
      <c r="A55" s="27"/>
      <c r="B55" s="14" t="str">
        <f>CONCATENATE("     ","Training                                          ")</f>
        <v xml:space="preserve">     Training                                          </v>
      </c>
      <c r="C55" s="14"/>
      <c r="D55" s="1">
        <f>SUM(OSRRefD22_9x_0)</f>
        <v>0</v>
      </c>
      <c r="E55" s="1"/>
      <c r="F55" s="5">
        <f t="shared" ref="F55:F56" si="24">IF(D$12=0,0,D55/D$12)</f>
        <v>0</v>
      </c>
      <c r="G55" s="1"/>
      <c r="H55" s="1">
        <f>SUM(OSRRefH22_9x_0)</f>
        <v>0</v>
      </c>
      <c r="I55" s="1"/>
      <c r="J55" s="5">
        <f t="shared" ref="J55:J56" si="25">IF(H$12=0,0,H55/H$12)</f>
        <v>0</v>
      </c>
      <c r="K55" s="1"/>
      <c r="L55" s="1">
        <f t="shared" ref="L55:L56" si="26">+D55-H55</f>
        <v>0</v>
      </c>
      <c r="M55" s="1"/>
      <c r="N55" s="5">
        <f t="shared" ref="N55:N56" si="27">IF(H55=0,0,L55/H55)</f>
        <v>0</v>
      </c>
      <c r="O55" s="14"/>
      <c r="P55" s="1">
        <f>SUM(OSRRefP22_9x_0)</f>
        <v>0</v>
      </c>
      <c r="Q55" s="1"/>
      <c r="R55" s="5">
        <f t="shared" ref="R55:R56" si="28">IF(P$12=0,0,P55/P$12)</f>
        <v>0</v>
      </c>
      <c r="S55" s="1"/>
      <c r="T55" s="1">
        <f>SUM(OSRRefT22_9x_0)</f>
        <v>2400</v>
      </c>
      <c r="U55" s="1"/>
      <c r="V55" s="5">
        <f t="shared" ref="V55:V56" si="29">IF(T$12=0,0,T55/T$12)</f>
        <v>0</v>
      </c>
      <c r="W55" s="1"/>
      <c r="X55" s="1">
        <f t="shared" ref="X55:X56" si="30">+P55-T55</f>
        <v>-2400</v>
      </c>
      <c r="Y55" s="1"/>
      <c r="Z55" s="5">
        <f t="shared" ref="Z55:Z56" si="31">IF(T55=0,0,X55/T55)</f>
        <v>-1</v>
      </c>
    </row>
    <row r="56" spans="1:26" s="24" customFormat="1" hidden="1" outlineLevel="2" x14ac:dyDescent="0.35">
      <c r="A56" s="29"/>
      <c r="B56" s="11" t="str">
        <f>CONCATENATE("          ", "6376", " - ", "TRAINING")</f>
        <v xml:space="preserve">          6376 - TRAINING</v>
      </c>
      <c r="C56" s="11"/>
      <c r="D56" s="7"/>
      <c r="E56" s="2"/>
      <c r="F56" s="6">
        <f t="shared" si="24"/>
        <v>0</v>
      </c>
      <c r="G56" s="2"/>
      <c r="H56" s="7"/>
      <c r="I56" s="2"/>
      <c r="J56" s="6">
        <f t="shared" si="25"/>
        <v>0</v>
      </c>
      <c r="K56" s="2"/>
      <c r="L56" s="7">
        <f t="shared" si="26"/>
        <v>0</v>
      </c>
      <c r="M56" s="2"/>
      <c r="N56" s="6">
        <f t="shared" si="27"/>
        <v>0</v>
      </c>
      <c r="O56" s="11"/>
      <c r="P56" s="7"/>
      <c r="Q56" s="2"/>
      <c r="R56" s="6">
        <f t="shared" si="28"/>
        <v>0</v>
      </c>
      <c r="S56" s="2"/>
      <c r="T56" s="7">
        <v>2400</v>
      </c>
      <c r="U56" s="2"/>
      <c r="V56" s="6">
        <f t="shared" si="29"/>
        <v>0</v>
      </c>
      <c r="W56" s="2"/>
      <c r="X56" s="7">
        <f t="shared" si="30"/>
        <v>-2400</v>
      </c>
      <c r="Y56" s="2"/>
      <c r="Z56" s="6">
        <f t="shared" si="31"/>
        <v>-1</v>
      </c>
    </row>
    <row r="57" spans="1:26" s="55" customFormat="1" x14ac:dyDescent="0.35">
      <c r="A57" s="36"/>
      <c r="B57" s="36"/>
      <c r="C57" s="36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35">
      <c r="A58" s="10"/>
      <c r="B58" s="25" t="s">
        <v>0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3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35">
      <c r="A60" s="10"/>
      <c r="B60" s="26" t="s">
        <v>3</v>
      </c>
      <c r="C60" s="26"/>
      <c r="D60" s="19">
        <f>+D16-D18+D58</f>
        <v>-10403.06</v>
      </c>
      <c r="E60" s="13"/>
      <c r="F60" s="21">
        <f>IF(D$12=0,0,D60/D$12)</f>
        <v>0</v>
      </c>
      <c r="G60" s="13"/>
      <c r="H60" s="19">
        <f>+H16-H18+H58</f>
        <v>-19169.737692307692</v>
      </c>
      <c r="I60" s="13"/>
      <c r="J60" s="21">
        <f>IF(H$12=0,0,H60/H$12)</f>
        <v>0</v>
      </c>
      <c r="K60" s="16"/>
      <c r="L60" s="19">
        <f>+D60-H60</f>
        <v>8766.6776923076923</v>
      </c>
      <c r="M60" s="16"/>
      <c r="N60" s="21">
        <f>IF(H60=0,0,L60/H60)</f>
        <v>-0.45731860461635465</v>
      </c>
      <c r="O60" s="25"/>
      <c r="P60" s="19">
        <f>+P16-P18+P58</f>
        <v>-62645.850000000006</v>
      </c>
      <c r="Q60" s="13"/>
      <c r="R60" s="21">
        <f>IF(P$12=0,0,P60/P$12)</f>
        <v>0</v>
      </c>
      <c r="S60" s="13"/>
      <c r="T60" s="19">
        <f>+T16-T18+T58</f>
        <v>-132582.20469230769</v>
      </c>
      <c r="U60" s="13"/>
      <c r="V60" s="21">
        <f>IF(T$12=0,0,T60/T$12)</f>
        <v>0</v>
      </c>
      <c r="W60" s="16"/>
      <c r="X60" s="19">
        <f>+P60-T60</f>
        <v>69936.354692307679</v>
      </c>
      <c r="Y60" s="16"/>
      <c r="Z60" s="21">
        <f>IF(T60=0,0,X60/T60)</f>
        <v>-0.52749428065865711</v>
      </c>
    </row>
    <row r="61" spans="1:26" x14ac:dyDescent="0.35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35">
      <c r="A62" s="52"/>
      <c r="B62" s="10" t="s">
        <v>14</v>
      </c>
      <c r="C62" s="10"/>
      <c r="D62" s="4"/>
      <c r="E62" s="4"/>
      <c r="F62" s="12">
        <f>IF(D$12=0,0,D62/D$12)</f>
        <v>0</v>
      </c>
      <c r="G62" s="4"/>
      <c r="H62" s="4"/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/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3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" thickBot="1" x14ac:dyDescent="0.4">
      <c r="A64" s="10"/>
      <c r="B64" s="26" t="s">
        <v>4</v>
      </c>
      <c r="C64" s="26"/>
      <c r="D64" s="33">
        <f>+D60-D62</f>
        <v>-10403.06</v>
      </c>
      <c r="E64" s="13"/>
      <c r="F64" s="31">
        <f>IF(D$12=0,0,D64/D$12)</f>
        <v>0</v>
      </c>
      <c r="G64" s="13"/>
      <c r="H64" s="33">
        <f>+H60-H62</f>
        <v>-19169.737692307692</v>
      </c>
      <c r="I64" s="13"/>
      <c r="J64" s="31">
        <f>IF(H$12=0,0,H64/H$12)</f>
        <v>0</v>
      </c>
      <c r="K64" s="16"/>
      <c r="L64" s="33">
        <f>D64-H64</f>
        <v>8766.6776923076923</v>
      </c>
      <c r="M64" s="16"/>
      <c r="N64" s="31">
        <f>IF(H64=0,0,L64/H64)</f>
        <v>-0.45731860461635465</v>
      </c>
      <c r="O64" s="25"/>
      <c r="P64" s="33">
        <f>+P60-P62</f>
        <v>-62645.850000000006</v>
      </c>
      <c r="Q64" s="13"/>
      <c r="R64" s="31">
        <f>IF(P$12=0,0,P64/P$12)</f>
        <v>0</v>
      </c>
      <c r="S64" s="13"/>
      <c r="T64" s="33">
        <f>+T60-T62</f>
        <v>-132582.20469230769</v>
      </c>
      <c r="U64" s="13"/>
      <c r="V64" s="31">
        <f>IF(T$12=0,0,T64/T$12)</f>
        <v>0</v>
      </c>
      <c r="W64" s="16"/>
      <c r="X64" s="33">
        <f>P64-T64</f>
        <v>69936.354692307679</v>
      </c>
      <c r="Y64" s="16"/>
      <c r="Z64" s="31">
        <f>IF(T64=0,0,X64/T64)</f>
        <v>-0.52749428065865711</v>
      </c>
    </row>
    <row r="65" spans="1:26" ht="15" thickTop="1" x14ac:dyDescent="0.3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3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" thickBot="1" x14ac:dyDescent="0.4">
      <c r="A67" s="10"/>
      <c r="B67" s="26" t="s">
        <v>5</v>
      </c>
      <c r="C67" s="26"/>
      <c r="D67" s="34">
        <f>SUM(D64:D66)</f>
        <v>-10403.06</v>
      </c>
      <c r="E67" s="13"/>
      <c r="F67" s="32">
        <f>IF(D$12=0,0,D67/D$12)</f>
        <v>0</v>
      </c>
      <c r="G67" s="13"/>
      <c r="H67" s="34">
        <f>SUM(H64:H66)</f>
        <v>-19169.737692307692</v>
      </c>
      <c r="I67" s="13"/>
      <c r="J67" s="32">
        <f>IF(H$12=0,0,H67/H$12)</f>
        <v>0</v>
      </c>
      <c r="K67" s="16"/>
      <c r="L67" s="34">
        <f>+D67-H67</f>
        <v>8766.6776923076923</v>
      </c>
      <c r="M67" s="16"/>
      <c r="N67" s="32">
        <f>IF(H67=0,0,L67/H67)</f>
        <v>-0.45731860461635465</v>
      </c>
      <c r="O67" s="25"/>
      <c r="P67" s="34">
        <f>SUM(P64:P66)</f>
        <v>-62645.850000000006</v>
      </c>
      <c r="Q67" s="13"/>
      <c r="R67" s="32">
        <f>IF(P$12=0,0,P67/P$12)</f>
        <v>0</v>
      </c>
      <c r="S67" s="13"/>
      <c r="T67" s="34">
        <f>SUM(T64:T66)</f>
        <v>-132582.20469230769</v>
      </c>
      <c r="U67" s="13"/>
      <c r="V67" s="32">
        <f>IF(T$12=0,0,T67/T$12)</f>
        <v>0</v>
      </c>
      <c r="W67" s="16"/>
      <c r="X67" s="34">
        <f>+P67-T67</f>
        <v>69936.354692307679</v>
      </c>
      <c r="Y67" s="16"/>
      <c r="Z67" s="32">
        <f>IF(T67=0,0,X67/T67)</f>
        <v>-0.52749428065865711</v>
      </c>
    </row>
    <row r="68" spans="1:26" ht="15" thickTop="1" x14ac:dyDescent="0.35">
      <c r="A68" s="9"/>
      <c r="C68" s="9"/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35">
      <c r="A69" s="9"/>
      <c r="B69" s="60">
        <v>44238.49033202546</v>
      </c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35">
      <c r="A70" s="9"/>
      <c r="B70" s="59" t="s">
        <v>314</v>
      </c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35">
      <c r="A71" s="9"/>
      <c r="B71" s="58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35"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","207", " - ", "Communications")</f>
        <v>Department 207 - Communications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6" t="s">
        <v>6</v>
      </c>
      <c r="C16" s="26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6"/>
      <c r="L16" s="19">
        <f>+D16-H16</f>
        <v>0</v>
      </c>
      <c r="M16" s="16"/>
      <c r="N16" s="21">
        <f>IF(H16=0,0,L16/H16)</f>
        <v>0</v>
      </c>
      <c r="O16" s="25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6"/>
      <c r="X16" s="19">
        <f>+P16-T16</f>
        <v>0</v>
      </c>
      <c r="Y16" s="16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5" t="s">
        <v>9</v>
      </c>
      <c r="C18" s="10"/>
      <c r="D18" s="20">
        <f>SUM(0)</f>
        <v>0</v>
      </c>
      <c r="E18" s="20"/>
      <c r="F18" s="30">
        <f>IF(D$12=0,0,D18/D$12)</f>
        <v>0</v>
      </c>
      <c r="G18" s="20"/>
      <c r="H18" s="20">
        <f>SUM(0)</f>
        <v>0</v>
      </c>
      <c r="I18" s="20"/>
      <c r="J18" s="30">
        <f>IF(H$12=0,0,H18/H$12)</f>
        <v>0</v>
      </c>
      <c r="K18" s="4"/>
      <c r="L18" s="20">
        <f>+D18-H18</f>
        <v>0</v>
      </c>
      <c r="M18" s="4"/>
      <c r="N18" s="30">
        <f>IF(H18=0,0,L18/H18)</f>
        <v>0</v>
      </c>
      <c r="O18" s="10"/>
      <c r="P18" s="20">
        <f>SUM(0)</f>
        <v>0</v>
      </c>
      <c r="Q18" s="20"/>
      <c r="R18" s="30">
        <f>IF(P$12=0,0,P18/P$12)</f>
        <v>0</v>
      </c>
      <c r="S18" s="20"/>
      <c r="T18" s="20">
        <f>SUM(0)</f>
        <v>0</v>
      </c>
      <c r="U18" s="20"/>
      <c r="V18" s="30">
        <f>IF(T$12=0,0,T18/T$12)</f>
        <v>0</v>
      </c>
      <c r="W18" s="4"/>
      <c r="X18" s="20">
        <f>+P18-T18</f>
        <v>0</v>
      </c>
      <c r="Y18" s="4"/>
      <c r="Z18" s="30">
        <f>IF(T18=0,0,X18/T18)</f>
        <v>0</v>
      </c>
    </row>
    <row r="19" spans="1:26" s="55" customFormat="1" x14ac:dyDescent="0.3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3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5">
      <c r="A22" s="10"/>
      <c r="B22" s="26" t="s">
        <v>3</v>
      </c>
      <c r="C22" s="26"/>
      <c r="D22" s="19">
        <f>+D16-D18+D20</f>
        <v>0</v>
      </c>
      <c r="E22" s="13"/>
      <c r="F22" s="21">
        <f>IF(D$12=0,0,D22/D$12)</f>
        <v>0</v>
      </c>
      <c r="G22" s="13"/>
      <c r="H22" s="19">
        <f>+H16-H18+H20</f>
        <v>0</v>
      </c>
      <c r="I22" s="13"/>
      <c r="J22" s="21">
        <f>IF(H$12=0,0,H22/H$12)</f>
        <v>0</v>
      </c>
      <c r="K22" s="16"/>
      <c r="L22" s="19">
        <f>+D22-H22</f>
        <v>0</v>
      </c>
      <c r="M22" s="16"/>
      <c r="N22" s="21">
        <f>IF(H22=0,0,L22/H22)</f>
        <v>0</v>
      </c>
      <c r="O22" s="25"/>
      <c r="P22" s="19">
        <f>+P16-P18+P20</f>
        <v>0</v>
      </c>
      <c r="Q22" s="13"/>
      <c r="R22" s="21">
        <f>IF(P$12=0,0,P22/P$12)</f>
        <v>0</v>
      </c>
      <c r="S22" s="13"/>
      <c r="T22" s="19">
        <f>+T16-T18+T20</f>
        <v>0</v>
      </c>
      <c r="U22" s="13"/>
      <c r="V22" s="21">
        <f>IF(T$12=0,0,T22/T$12)</f>
        <v>0</v>
      </c>
      <c r="W22" s="16"/>
      <c r="X22" s="19">
        <f>+P22-T22</f>
        <v>0</v>
      </c>
      <c r="Y22" s="16"/>
      <c r="Z22" s="21">
        <f>IF(T22=0,0,X22/T22)</f>
        <v>0</v>
      </c>
    </row>
    <row r="23" spans="1:26" x14ac:dyDescent="0.3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" thickBot="1" x14ac:dyDescent="0.4">
      <c r="A26" s="10"/>
      <c r="B26" s="26" t="s">
        <v>4</v>
      </c>
      <c r="C26" s="26"/>
      <c r="D26" s="33">
        <f>+D22-D24</f>
        <v>0</v>
      </c>
      <c r="E26" s="13"/>
      <c r="F26" s="31">
        <f>IF(D$12=0,0,D26/D$12)</f>
        <v>0</v>
      </c>
      <c r="G26" s="13"/>
      <c r="H26" s="33">
        <f>+H22-H24</f>
        <v>0</v>
      </c>
      <c r="I26" s="13"/>
      <c r="J26" s="31">
        <f>IF(H$12=0,0,H26/H$12)</f>
        <v>0</v>
      </c>
      <c r="K26" s="16"/>
      <c r="L26" s="33">
        <f>D26-H26</f>
        <v>0</v>
      </c>
      <c r="M26" s="16"/>
      <c r="N26" s="31">
        <f>IF(H26=0,0,L26/H26)</f>
        <v>0</v>
      </c>
      <c r="O26" s="25"/>
      <c r="P26" s="33">
        <f>+P22-P24</f>
        <v>0</v>
      </c>
      <c r="Q26" s="13"/>
      <c r="R26" s="31">
        <f>IF(P$12=0,0,P26/P$12)</f>
        <v>0</v>
      </c>
      <c r="S26" s="13"/>
      <c r="T26" s="33">
        <f>+T22-T24</f>
        <v>0</v>
      </c>
      <c r="U26" s="13"/>
      <c r="V26" s="31">
        <f>IF(T$12=0,0,T26/T$12)</f>
        <v>0</v>
      </c>
      <c r="W26" s="16"/>
      <c r="X26" s="33">
        <f>P26-T26</f>
        <v>0</v>
      </c>
      <c r="Y26" s="16"/>
      <c r="Z26" s="31">
        <f>IF(T26=0,0,X26/T26)</f>
        <v>0</v>
      </c>
    </row>
    <row r="27" spans="1:26" ht="15" thickTop="1" x14ac:dyDescent="0.3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3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" thickBot="1" x14ac:dyDescent="0.4">
      <c r="A29" s="10"/>
      <c r="B29" s="26" t="s">
        <v>5</v>
      </c>
      <c r="C29" s="26"/>
      <c r="D29" s="34">
        <f>SUM(D26:D28)</f>
        <v>0</v>
      </c>
      <c r="E29" s="13"/>
      <c r="F29" s="32">
        <f>IF(D$12=0,0,D29/D$12)</f>
        <v>0</v>
      </c>
      <c r="G29" s="13"/>
      <c r="H29" s="34">
        <f>SUM(H26:H28)</f>
        <v>0</v>
      </c>
      <c r="I29" s="13"/>
      <c r="J29" s="32">
        <f>IF(H$12=0,0,H29/H$12)</f>
        <v>0</v>
      </c>
      <c r="K29" s="16"/>
      <c r="L29" s="34">
        <f>+D29-H29</f>
        <v>0</v>
      </c>
      <c r="M29" s="16"/>
      <c r="N29" s="32">
        <f>IF(H29=0,0,L29/H29)</f>
        <v>0</v>
      </c>
      <c r="O29" s="25"/>
      <c r="P29" s="34">
        <f>SUM(P26:P28)</f>
        <v>0</v>
      </c>
      <c r="Q29" s="13"/>
      <c r="R29" s="32">
        <f>IF(P$12=0,0,P29/P$12)</f>
        <v>0</v>
      </c>
      <c r="S29" s="13"/>
      <c r="T29" s="34">
        <f>SUM(T26:T28)</f>
        <v>0</v>
      </c>
      <c r="U29" s="13"/>
      <c r="V29" s="32">
        <f>IF(T$12=0,0,T29/T$12)</f>
        <v>0</v>
      </c>
      <c r="W29" s="16"/>
      <c r="X29" s="34">
        <f>+P29-T29</f>
        <v>0</v>
      </c>
      <c r="Y29" s="16"/>
      <c r="Z29" s="32">
        <f>IF(T29=0,0,X29/T29)</f>
        <v>0</v>
      </c>
    </row>
    <row r="30" spans="1:26" ht="15" thickTop="1" x14ac:dyDescent="0.35">
      <c r="A30" s="9"/>
      <c r="C30" s="9"/>
      <c r="D30" s="18"/>
      <c r="E30" s="18"/>
      <c r="G30" s="18"/>
      <c r="H30" s="18"/>
      <c r="I30" s="18"/>
      <c r="J30" s="43"/>
      <c r="K30" s="18"/>
      <c r="L30" s="18"/>
      <c r="M30" s="18"/>
      <c r="P30" s="18"/>
      <c r="Q30" s="18"/>
      <c r="R30" s="43"/>
      <c r="S30" s="18"/>
      <c r="T30" s="18"/>
      <c r="U30" s="18"/>
      <c r="V30" s="43"/>
      <c r="W30" s="18"/>
      <c r="X30" s="18"/>
    </row>
    <row r="31" spans="1:26" x14ac:dyDescent="0.35">
      <c r="A31" s="9"/>
      <c r="B31" s="60">
        <v>44238.490344710648</v>
      </c>
      <c r="D31" s="18"/>
      <c r="E31" s="18"/>
      <c r="G31" s="18"/>
      <c r="H31" s="18"/>
      <c r="I31" s="18"/>
      <c r="J31" s="43"/>
      <c r="K31" s="18"/>
      <c r="L31" s="18"/>
      <c r="M31" s="18"/>
      <c r="P31" s="18"/>
      <c r="Q31" s="18"/>
      <c r="R31" s="43"/>
      <c r="S31" s="18"/>
      <c r="T31" s="18"/>
      <c r="U31" s="18"/>
      <c r="V31" s="43"/>
      <c r="W31" s="18"/>
      <c r="X31" s="18"/>
    </row>
    <row r="32" spans="1:26" x14ac:dyDescent="0.35">
      <c r="A32" s="9"/>
      <c r="B32" s="59" t="s">
        <v>314</v>
      </c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35">
      <c r="A33" s="9"/>
      <c r="B33" s="58"/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35"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3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308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1178823.73</v>
      </c>
      <c r="E12" s="4"/>
      <c r="F12" s="12"/>
      <c r="G12" s="4"/>
      <c r="H12" s="4">
        <f>SUM(OSRRefH13x_0)</f>
        <v>1986609.9999999998</v>
      </c>
      <c r="I12" s="4"/>
      <c r="J12" s="12"/>
      <c r="K12" s="4"/>
      <c r="L12" s="4">
        <f t="shared" ref="L12:L76" si="0">+D12-H12</f>
        <v>-807786.26999999979</v>
      </c>
      <c r="M12" s="4"/>
      <c r="N12" s="12">
        <f t="shared" ref="N12:N76" si="1">IF(H12=0,0,L12/H12)</f>
        <v>-0.4066154252721973</v>
      </c>
      <c r="O12" s="10"/>
      <c r="P12" s="4">
        <f>SUM(OSRRefP13x_0)</f>
        <v>3880024.8599999994</v>
      </c>
      <c r="Q12" s="4"/>
      <c r="R12" s="12"/>
      <c r="S12" s="4"/>
      <c r="T12" s="4">
        <f>SUM(OSRRefT13x_0)</f>
        <v>6884406</v>
      </c>
      <c r="U12" s="4"/>
      <c r="V12" s="12"/>
      <c r="W12" s="4"/>
      <c r="X12" s="4">
        <f t="shared" ref="X12:X76" si="2">+P12-T12</f>
        <v>-3004381.1400000006</v>
      </c>
      <c r="Y12" s="4"/>
      <c r="Z12" s="12">
        <f t="shared" ref="Z12:Z76" si="3">IF(T12=0,0,X12/T12)</f>
        <v>-0.43640382917567627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>-12178.94</f>
        <v>-12178.94</v>
      </c>
      <c r="E13" s="2"/>
      <c r="F13" s="22"/>
      <c r="G13" s="2"/>
      <c r="H13" s="2">
        <v>1889686.9999999998</v>
      </c>
      <c r="I13" s="2"/>
      <c r="J13" s="22"/>
      <c r="K13" s="2"/>
      <c r="L13" s="2">
        <f t="shared" si="0"/>
        <v>-1901865.9399999997</v>
      </c>
      <c r="M13" s="2"/>
      <c r="N13" s="22">
        <f t="shared" si="1"/>
        <v>-1.0064449509363191</v>
      </c>
      <c r="O13" s="11"/>
      <c r="P13" s="2">
        <f>-101008.03</f>
        <v>-101008.03</v>
      </c>
      <c r="Q13" s="2"/>
      <c r="R13" s="22"/>
      <c r="S13" s="2"/>
      <c r="T13" s="2">
        <v>6555060</v>
      </c>
      <c r="U13" s="2"/>
      <c r="V13" s="22"/>
      <c r="W13" s="2"/>
      <c r="X13" s="2">
        <f t="shared" si="2"/>
        <v>-6656068.0300000003</v>
      </c>
      <c r="Y13" s="2"/>
      <c r="Z13" s="22">
        <f t="shared" si="3"/>
        <v>-1.0154091694050094</v>
      </c>
    </row>
    <row r="14" spans="1:26" s="24" customFormat="1" hidden="1" outlineLevel="1" x14ac:dyDescent="0.3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--459430.32</f>
        <v>459430.32</v>
      </c>
      <c r="E14" s="2"/>
      <c r="F14" s="22"/>
      <c r="G14" s="2"/>
      <c r="H14" s="2"/>
      <c r="I14" s="2"/>
      <c r="J14" s="22"/>
      <c r="K14" s="2"/>
      <c r="L14" s="2">
        <f t="shared" si="0"/>
        <v>459430.32</v>
      </c>
      <c r="M14" s="2"/>
      <c r="N14" s="22">
        <f t="shared" si="1"/>
        <v>0</v>
      </c>
      <c r="O14" s="11"/>
      <c r="P14" s="2">
        <f>--1190096.34</f>
        <v>1190096.3400000001</v>
      </c>
      <c r="Q14" s="2"/>
      <c r="R14" s="22"/>
      <c r="S14" s="2"/>
      <c r="T14" s="2"/>
      <c r="U14" s="2"/>
      <c r="V14" s="22"/>
      <c r="W14" s="2"/>
      <c r="X14" s="2">
        <f t="shared" si="2"/>
        <v>1190096.3400000001</v>
      </c>
      <c r="Y14" s="2"/>
      <c r="Z14" s="22">
        <f t="shared" si="3"/>
        <v>0</v>
      </c>
    </row>
    <row r="15" spans="1:26" s="24" customFormat="1" hidden="1" outlineLevel="1" x14ac:dyDescent="0.3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--238947.44</f>
        <v>238947.44</v>
      </c>
      <c r="E15" s="2"/>
      <c r="F15" s="22"/>
      <c r="G15" s="2"/>
      <c r="H15" s="2"/>
      <c r="I15" s="2"/>
      <c r="J15" s="22"/>
      <c r="K15" s="2"/>
      <c r="L15" s="2">
        <f t="shared" si="0"/>
        <v>238947.44</v>
      </c>
      <c r="M15" s="2"/>
      <c r="N15" s="22">
        <f t="shared" si="1"/>
        <v>0</v>
      </c>
      <c r="O15" s="11"/>
      <c r="P15" s="2">
        <f>--562401.5</f>
        <v>562401.5</v>
      </c>
      <c r="Q15" s="2"/>
      <c r="R15" s="22"/>
      <c r="S15" s="2"/>
      <c r="T15" s="2"/>
      <c r="U15" s="2"/>
      <c r="V15" s="22"/>
      <c r="W15" s="2"/>
      <c r="X15" s="2">
        <f t="shared" si="2"/>
        <v>562401.5</v>
      </c>
      <c r="Y15" s="2"/>
      <c r="Z15" s="22">
        <f t="shared" si="3"/>
        <v>0</v>
      </c>
    </row>
    <row r="16" spans="1:26" s="24" customFormat="1" hidden="1" outlineLevel="1" x14ac:dyDescent="0.3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--7222.26</f>
        <v>7222.26</v>
      </c>
      <c r="E16" s="2"/>
      <c r="F16" s="22"/>
      <c r="G16" s="2"/>
      <c r="H16" s="2"/>
      <c r="I16" s="2"/>
      <c r="J16" s="22"/>
      <c r="K16" s="2"/>
      <c r="L16" s="2">
        <f t="shared" si="0"/>
        <v>7222.26</v>
      </c>
      <c r="M16" s="2"/>
      <c r="N16" s="22">
        <f t="shared" si="1"/>
        <v>0</v>
      </c>
      <c r="O16" s="11"/>
      <c r="P16" s="2">
        <f>--17887.89</f>
        <v>17887.89</v>
      </c>
      <c r="Q16" s="2"/>
      <c r="R16" s="22"/>
      <c r="S16" s="2"/>
      <c r="T16" s="2"/>
      <c r="U16" s="2"/>
      <c r="V16" s="22"/>
      <c r="W16" s="2"/>
      <c r="X16" s="2">
        <f t="shared" si="2"/>
        <v>17887.89</v>
      </c>
      <c r="Y16" s="2"/>
      <c r="Z16" s="22">
        <f t="shared" si="3"/>
        <v>0</v>
      </c>
    </row>
    <row r="17" spans="1:26" s="24" customFormat="1" hidden="1" outlineLevel="1" x14ac:dyDescent="0.3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--200.1</f>
        <v>200.1</v>
      </c>
      <c r="E17" s="2"/>
      <c r="F17" s="22"/>
      <c r="G17" s="2"/>
      <c r="H17" s="2"/>
      <c r="I17" s="2"/>
      <c r="J17" s="22"/>
      <c r="K17" s="2"/>
      <c r="L17" s="2">
        <f t="shared" si="0"/>
        <v>200.1</v>
      </c>
      <c r="M17" s="2"/>
      <c r="N17" s="22">
        <f t="shared" si="1"/>
        <v>0</v>
      </c>
      <c r="O17" s="11"/>
      <c r="P17" s="2">
        <f>--2659.66</f>
        <v>2659.66</v>
      </c>
      <c r="Q17" s="2"/>
      <c r="R17" s="22"/>
      <c r="S17" s="2"/>
      <c r="T17" s="2"/>
      <c r="U17" s="2"/>
      <c r="V17" s="22"/>
      <c r="W17" s="2"/>
      <c r="X17" s="2">
        <f t="shared" si="2"/>
        <v>2659.66</v>
      </c>
      <c r="Y17" s="2"/>
      <c r="Z17" s="22">
        <f t="shared" si="3"/>
        <v>0</v>
      </c>
    </row>
    <row r="18" spans="1:26" s="24" customFormat="1" hidden="1" outlineLevel="1" x14ac:dyDescent="0.3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--346.55</f>
        <v>346.55</v>
      </c>
      <c r="E18" s="2"/>
      <c r="F18" s="22"/>
      <c r="G18" s="2"/>
      <c r="H18" s="2"/>
      <c r="I18" s="2"/>
      <c r="J18" s="22"/>
      <c r="K18" s="2"/>
      <c r="L18" s="2">
        <f t="shared" si="0"/>
        <v>346.55</v>
      </c>
      <c r="M18" s="2"/>
      <c r="N18" s="22">
        <f t="shared" si="1"/>
        <v>0</v>
      </c>
      <c r="O18" s="11"/>
      <c r="P18" s="2">
        <f>--930.52</f>
        <v>930.52</v>
      </c>
      <c r="Q18" s="2"/>
      <c r="R18" s="22"/>
      <c r="S18" s="2"/>
      <c r="T18" s="2"/>
      <c r="U18" s="2"/>
      <c r="V18" s="22"/>
      <c r="W18" s="2"/>
      <c r="X18" s="2">
        <f t="shared" si="2"/>
        <v>930.52</v>
      </c>
      <c r="Y18" s="2"/>
      <c r="Z18" s="22">
        <f t="shared" si="3"/>
        <v>0</v>
      </c>
    </row>
    <row r="19" spans="1:26" s="24" customFormat="1" hidden="1" outlineLevel="1" x14ac:dyDescent="0.3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--3.98</f>
        <v>3.98</v>
      </c>
      <c r="E19" s="2"/>
      <c r="F19" s="22"/>
      <c r="G19" s="2"/>
      <c r="H19" s="2"/>
      <c r="I19" s="2"/>
      <c r="J19" s="22"/>
      <c r="K19" s="2"/>
      <c r="L19" s="2">
        <f t="shared" si="0"/>
        <v>3.98</v>
      </c>
      <c r="M19" s="2"/>
      <c r="N19" s="22">
        <f t="shared" si="1"/>
        <v>0</v>
      </c>
      <c r="O19" s="11"/>
      <c r="P19" s="2">
        <f>--380.04</f>
        <v>380.04</v>
      </c>
      <c r="Q19" s="2"/>
      <c r="R19" s="22"/>
      <c r="S19" s="2"/>
      <c r="T19" s="2"/>
      <c r="U19" s="2"/>
      <c r="V19" s="22"/>
      <c r="W19" s="2"/>
      <c r="X19" s="2">
        <f t="shared" si="2"/>
        <v>380.04</v>
      </c>
      <c r="Y19" s="2"/>
      <c r="Z19" s="22">
        <f t="shared" si="3"/>
        <v>0</v>
      </c>
    </row>
    <row r="20" spans="1:26" s="24" customFormat="1" hidden="1" outlineLevel="1" x14ac:dyDescent="0.3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--100.3</f>
        <v>100.3</v>
      </c>
      <c r="E20" s="2"/>
      <c r="F20" s="22"/>
      <c r="G20" s="2"/>
      <c r="H20" s="2"/>
      <c r="I20" s="2"/>
      <c r="J20" s="22"/>
      <c r="K20" s="2"/>
      <c r="L20" s="2">
        <f t="shared" si="0"/>
        <v>100.3</v>
      </c>
      <c r="M20" s="2"/>
      <c r="N20" s="22">
        <f t="shared" si="1"/>
        <v>0</v>
      </c>
      <c r="O20" s="11"/>
      <c r="P20" s="2">
        <f>--291.14</f>
        <v>291.14</v>
      </c>
      <c r="Q20" s="2"/>
      <c r="R20" s="22"/>
      <c r="S20" s="2"/>
      <c r="T20" s="2"/>
      <c r="U20" s="2"/>
      <c r="V20" s="22"/>
      <c r="W20" s="2"/>
      <c r="X20" s="2">
        <f t="shared" si="2"/>
        <v>291.14</v>
      </c>
      <c r="Y20" s="2"/>
      <c r="Z20" s="22">
        <f t="shared" si="3"/>
        <v>0</v>
      </c>
    </row>
    <row r="21" spans="1:26" s="24" customFormat="1" hidden="1" outlineLevel="1" x14ac:dyDescent="0.3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--34.62</f>
        <v>34.619999999999997</v>
      </c>
      <c r="E21" s="2"/>
      <c r="F21" s="22"/>
      <c r="G21" s="2"/>
      <c r="H21" s="2"/>
      <c r="I21" s="2"/>
      <c r="J21" s="22"/>
      <c r="K21" s="2"/>
      <c r="L21" s="2">
        <f t="shared" si="0"/>
        <v>34.619999999999997</v>
      </c>
      <c r="M21" s="2"/>
      <c r="N21" s="22">
        <f t="shared" si="1"/>
        <v>0</v>
      </c>
      <c r="O21" s="11"/>
      <c r="P21" s="2">
        <f>--407</f>
        <v>407</v>
      </c>
      <c r="Q21" s="2"/>
      <c r="R21" s="22"/>
      <c r="S21" s="2"/>
      <c r="T21" s="2"/>
      <c r="U21" s="2"/>
      <c r="V21" s="22"/>
      <c r="W21" s="2"/>
      <c r="X21" s="2">
        <f t="shared" si="2"/>
        <v>407</v>
      </c>
      <c r="Y21" s="2"/>
      <c r="Z21" s="22">
        <f t="shared" si="3"/>
        <v>0</v>
      </c>
    </row>
    <row r="22" spans="1:26" s="24" customFormat="1" hidden="1" outlineLevel="1" x14ac:dyDescent="0.3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--8701.79</f>
        <v>8701.7900000000009</v>
      </c>
      <c r="E22" s="2"/>
      <c r="F22" s="22"/>
      <c r="G22" s="2"/>
      <c r="H22" s="2"/>
      <c r="I22" s="2"/>
      <c r="J22" s="22"/>
      <c r="K22" s="2"/>
      <c r="L22" s="2">
        <f t="shared" si="0"/>
        <v>8701.7900000000009</v>
      </c>
      <c r="M22" s="2"/>
      <c r="N22" s="22">
        <f t="shared" si="1"/>
        <v>0</v>
      </c>
      <c r="O22" s="11"/>
      <c r="P22" s="2">
        <f>--48676.22</f>
        <v>48676.22</v>
      </c>
      <c r="Q22" s="2"/>
      <c r="R22" s="22"/>
      <c r="S22" s="2"/>
      <c r="T22" s="2"/>
      <c r="U22" s="2"/>
      <c r="V22" s="22"/>
      <c r="W22" s="2"/>
      <c r="X22" s="2">
        <f t="shared" si="2"/>
        <v>48676.22</v>
      </c>
      <c r="Y22" s="2"/>
      <c r="Z22" s="22">
        <f t="shared" si="3"/>
        <v>0</v>
      </c>
    </row>
    <row r="23" spans="1:26" s="24" customFormat="1" hidden="1" outlineLevel="1" x14ac:dyDescent="0.3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--21773.01</f>
        <v>21773.01</v>
      </c>
      <c r="E23" s="2"/>
      <c r="F23" s="22"/>
      <c r="G23" s="2"/>
      <c r="H23" s="2"/>
      <c r="I23" s="2"/>
      <c r="J23" s="22"/>
      <c r="K23" s="2"/>
      <c r="L23" s="2">
        <f t="shared" si="0"/>
        <v>21773.01</v>
      </c>
      <c r="M23" s="2"/>
      <c r="N23" s="22">
        <f t="shared" si="1"/>
        <v>0</v>
      </c>
      <c r="O23" s="11"/>
      <c r="P23" s="2">
        <f>--38951.82</f>
        <v>38951.82</v>
      </c>
      <c r="Q23" s="2"/>
      <c r="R23" s="22"/>
      <c r="S23" s="2"/>
      <c r="T23" s="2"/>
      <c r="U23" s="2"/>
      <c r="V23" s="22"/>
      <c r="W23" s="2"/>
      <c r="X23" s="2">
        <f t="shared" si="2"/>
        <v>38951.82</v>
      </c>
      <c r="Y23" s="2"/>
      <c r="Z23" s="22">
        <f t="shared" si="3"/>
        <v>0</v>
      </c>
    </row>
    <row r="24" spans="1:26" s="24" customFormat="1" hidden="1" outlineLevel="1" x14ac:dyDescent="0.3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--477.59</f>
        <v>477.59</v>
      </c>
      <c r="E24" s="2"/>
      <c r="F24" s="22"/>
      <c r="G24" s="2"/>
      <c r="H24" s="2"/>
      <c r="I24" s="2"/>
      <c r="J24" s="22"/>
      <c r="K24" s="2"/>
      <c r="L24" s="2">
        <f t="shared" si="0"/>
        <v>477.59</v>
      </c>
      <c r="M24" s="2"/>
      <c r="N24" s="22">
        <f t="shared" si="1"/>
        <v>0</v>
      </c>
      <c r="O24" s="11"/>
      <c r="P24" s="2">
        <f>--2587.24</f>
        <v>2587.2399999999998</v>
      </c>
      <c r="Q24" s="2"/>
      <c r="R24" s="22"/>
      <c r="S24" s="2"/>
      <c r="T24" s="2"/>
      <c r="U24" s="2"/>
      <c r="V24" s="22"/>
      <c r="W24" s="2"/>
      <c r="X24" s="2">
        <f t="shared" si="2"/>
        <v>2587.2399999999998</v>
      </c>
      <c r="Y24" s="2"/>
      <c r="Z24" s="22">
        <f t="shared" si="3"/>
        <v>0</v>
      </c>
    </row>
    <row r="25" spans="1:26" s="24" customFormat="1" hidden="1" outlineLevel="1" x14ac:dyDescent="0.35">
      <c r="A25" s="51"/>
      <c r="B25" s="11" t="str">
        <f>CONCATENATE("          ", "4032", " - ", "TAXABLE SALES-JUICE")</f>
        <v xml:space="preserve">          4032 - TAXABLE SALES-JUICE</v>
      </c>
      <c r="C25" s="11"/>
      <c r="D25" s="2">
        <f t="shared" ref="D25:D26" si="4"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--444.59</f>
        <v>444.59</v>
      </c>
      <c r="Q25" s="2"/>
      <c r="R25" s="22"/>
      <c r="S25" s="2"/>
      <c r="T25" s="2"/>
      <c r="U25" s="2"/>
      <c r="V25" s="22"/>
      <c r="W25" s="2"/>
      <c r="X25" s="2">
        <f t="shared" si="2"/>
        <v>444.59</v>
      </c>
      <c r="Y25" s="2"/>
      <c r="Z25" s="22">
        <f t="shared" si="3"/>
        <v>0</v>
      </c>
    </row>
    <row r="26" spans="1:26" s="24" customFormat="1" hidden="1" outlineLevel="1" x14ac:dyDescent="0.35">
      <c r="A26" s="51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22"/>
      <c r="G26" s="2"/>
      <c r="H26" s="2"/>
      <c r="I26" s="2"/>
      <c r="J26" s="22"/>
      <c r="K26" s="2"/>
      <c r="L26" s="2">
        <f t="shared" si="0"/>
        <v>0</v>
      </c>
      <c r="M26" s="2"/>
      <c r="N26" s="22">
        <f t="shared" si="1"/>
        <v>0</v>
      </c>
      <c r="O26" s="11"/>
      <c r="P26" s="2">
        <f>--6.78</f>
        <v>6.78</v>
      </c>
      <c r="Q26" s="2"/>
      <c r="R26" s="22"/>
      <c r="S26" s="2"/>
      <c r="T26" s="2"/>
      <c r="U26" s="2"/>
      <c r="V26" s="22"/>
      <c r="W26" s="2"/>
      <c r="X26" s="2">
        <f t="shared" si="2"/>
        <v>6.78</v>
      </c>
      <c r="Y26" s="2"/>
      <c r="Z26" s="22">
        <f t="shared" si="3"/>
        <v>0</v>
      </c>
    </row>
    <row r="27" spans="1:26" s="24" customFormat="1" hidden="1" outlineLevel="1" x14ac:dyDescent="0.35">
      <c r="A27" s="51"/>
      <c r="B27" s="11" t="str">
        <f>CONCATENATE("          ", "4040", " - ", "TAXABLE SALES-LOGO CLOTHING")</f>
        <v xml:space="preserve">          4040 - TAXABLE SALES-LOGO CLOTHING</v>
      </c>
      <c r="C27" s="11"/>
      <c r="D27" s="2">
        <f>--89991.91</f>
        <v>89991.91</v>
      </c>
      <c r="E27" s="2"/>
      <c r="F27" s="22"/>
      <c r="G27" s="2"/>
      <c r="H27" s="2"/>
      <c r="I27" s="2"/>
      <c r="J27" s="22"/>
      <c r="K27" s="2"/>
      <c r="L27" s="2">
        <f t="shared" si="0"/>
        <v>89991.91</v>
      </c>
      <c r="M27" s="2"/>
      <c r="N27" s="22">
        <f t="shared" si="1"/>
        <v>0</v>
      </c>
      <c r="O27" s="11"/>
      <c r="P27" s="2">
        <f>--598102.9</f>
        <v>598102.9</v>
      </c>
      <c r="Q27" s="2"/>
      <c r="R27" s="22"/>
      <c r="S27" s="2"/>
      <c r="T27" s="2"/>
      <c r="U27" s="2"/>
      <c r="V27" s="22"/>
      <c r="W27" s="2"/>
      <c r="X27" s="2">
        <f t="shared" si="2"/>
        <v>598102.9</v>
      </c>
      <c r="Y27" s="2"/>
      <c r="Z27" s="22">
        <f t="shared" si="3"/>
        <v>0</v>
      </c>
    </row>
    <row r="28" spans="1:26" s="24" customFormat="1" hidden="1" outlineLevel="1" x14ac:dyDescent="0.35">
      <c r="A28" s="51"/>
      <c r="B28" s="11" t="str">
        <f>CONCATENATE("          ", "4041", " - ", "TAXABLE SALES-LOGO GIFTS")</f>
        <v xml:space="preserve">          4041 - TAXABLE SALES-LOGO GIFTS</v>
      </c>
      <c r="C28" s="11"/>
      <c r="D28" s="2">
        <f>--51480.95</f>
        <v>51480.95</v>
      </c>
      <c r="E28" s="2"/>
      <c r="F28" s="22"/>
      <c r="G28" s="2"/>
      <c r="H28" s="2"/>
      <c r="I28" s="2"/>
      <c r="J28" s="22"/>
      <c r="K28" s="2"/>
      <c r="L28" s="2">
        <f t="shared" si="0"/>
        <v>51480.95</v>
      </c>
      <c r="M28" s="2"/>
      <c r="N28" s="22">
        <f t="shared" si="1"/>
        <v>0</v>
      </c>
      <c r="O28" s="11"/>
      <c r="P28" s="2">
        <f>--249099.27</f>
        <v>249099.27</v>
      </c>
      <c r="Q28" s="2"/>
      <c r="R28" s="22"/>
      <c r="S28" s="2"/>
      <c r="T28" s="2"/>
      <c r="U28" s="2"/>
      <c r="V28" s="22"/>
      <c r="W28" s="2"/>
      <c r="X28" s="2">
        <f t="shared" si="2"/>
        <v>249099.27</v>
      </c>
      <c r="Y28" s="2"/>
      <c r="Z28" s="22">
        <f t="shared" si="3"/>
        <v>0</v>
      </c>
    </row>
    <row r="29" spans="1:26" s="24" customFormat="1" hidden="1" outlineLevel="1" x14ac:dyDescent="0.35">
      <c r="A29" s="51"/>
      <c r="B29" s="11" t="str">
        <f>CONCATENATE("          ", "4042", " - ", "TAXABLE SALES-EVERYDAY GIFTS")</f>
        <v xml:space="preserve">          4042 - TAXABLE SALES-EVERYDAY GIFTS</v>
      </c>
      <c r="C29" s="11"/>
      <c r="D29" s="2">
        <f>--9303.18</f>
        <v>9303.18</v>
      </c>
      <c r="E29" s="2"/>
      <c r="F29" s="22"/>
      <c r="G29" s="2"/>
      <c r="H29" s="2"/>
      <c r="I29" s="2"/>
      <c r="J29" s="22"/>
      <c r="K29" s="2"/>
      <c r="L29" s="2">
        <f t="shared" si="0"/>
        <v>9303.18</v>
      </c>
      <c r="M29" s="2"/>
      <c r="N29" s="22">
        <f t="shared" si="1"/>
        <v>0</v>
      </c>
      <c r="O29" s="11"/>
      <c r="P29" s="2">
        <f>--74200.88</f>
        <v>74200.88</v>
      </c>
      <c r="Q29" s="2"/>
      <c r="R29" s="22"/>
      <c r="S29" s="2"/>
      <c r="T29" s="2"/>
      <c r="U29" s="2"/>
      <c r="V29" s="22"/>
      <c r="W29" s="2"/>
      <c r="X29" s="2">
        <f t="shared" si="2"/>
        <v>74200.88</v>
      </c>
      <c r="Y29" s="2"/>
      <c r="Z29" s="22">
        <f t="shared" si="3"/>
        <v>0</v>
      </c>
    </row>
    <row r="30" spans="1:26" s="24" customFormat="1" hidden="1" outlineLevel="1" x14ac:dyDescent="0.35">
      <c r="A30" s="51"/>
      <c r="B30" s="11" t="str">
        <f>CONCATENATE("          ", "4043", " - ", "TAXABLE SALES-CARDS")</f>
        <v xml:space="preserve">          4043 - TAXABLE SALES-CARDS</v>
      </c>
      <c r="C30" s="11"/>
      <c r="D30" s="2">
        <f>--24845.66</f>
        <v>24845.66</v>
      </c>
      <c r="E30" s="2"/>
      <c r="F30" s="22"/>
      <c r="G30" s="2"/>
      <c r="H30" s="2"/>
      <c r="I30" s="2"/>
      <c r="J30" s="22"/>
      <c r="K30" s="2"/>
      <c r="L30" s="2">
        <f t="shared" si="0"/>
        <v>24845.66</v>
      </c>
      <c r="M30" s="2"/>
      <c r="N30" s="22">
        <f t="shared" si="1"/>
        <v>0</v>
      </c>
      <c r="O30" s="11"/>
      <c r="P30" s="2">
        <f>--117954.81</f>
        <v>117954.81</v>
      </c>
      <c r="Q30" s="2"/>
      <c r="R30" s="22"/>
      <c r="S30" s="2"/>
      <c r="T30" s="2"/>
      <c r="U30" s="2"/>
      <c r="V30" s="22"/>
      <c r="W30" s="2"/>
      <c r="X30" s="2">
        <f t="shared" si="2"/>
        <v>117954.81</v>
      </c>
      <c r="Y30" s="2"/>
      <c r="Z30" s="22">
        <f t="shared" si="3"/>
        <v>0</v>
      </c>
    </row>
    <row r="31" spans="1:26" s="24" customFormat="1" hidden="1" outlineLevel="1" x14ac:dyDescent="0.35">
      <c r="A31" s="51"/>
      <c r="B31" s="11" t="str">
        <f>CONCATENATE("          ", "4044", " - ", "TAXABLE SALES-ACCESSORIES")</f>
        <v xml:space="preserve">          4044 - TAXABLE SALES-ACCESSORIES</v>
      </c>
      <c r="C31" s="11"/>
      <c r="D31" s="2">
        <f>--1261.95</f>
        <v>1261.95</v>
      </c>
      <c r="E31" s="2"/>
      <c r="F31" s="22"/>
      <c r="G31" s="2"/>
      <c r="H31" s="2"/>
      <c r="I31" s="2"/>
      <c r="J31" s="22"/>
      <c r="K31" s="2"/>
      <c r="L31" s="2">
        <f t="shared" si="0"/>
        <v>1261.95</v>
      </c>
      <c r="M31" s="2"/>
      <c r="N31" s="22">
        <f t="shared" si="1"/>
        <v>0</v>
      </c>
      <c r="O31" s="11"/>
      <c r="P31" s="2">
        <f>--27535.62</f>
        <v>27535.62</v>
      </c>
      <c r="Q31" s="2"/>
      <c r="R31" s="22"/>
      <c r="S31" s="2"/>
      <c r="T31" s="2"/>
      <c r="U31" s="2"/>
      <c r="V31" s="22"/>
      <c r="W31" s="2"/>
      <c r="X31" s="2">
        <f t="shared" si="2"/>
        <v>27535.62</v>
      </c>
      <c r="Y31" s="2"/>
      <c r="Z31" s="22">
        <f t="shared" si="3"/>
        <v>0</v>
      </c>
    </row>
    <row r="32" spans="1:26" s="24" customFormat="1" hidden="1" outlineLevel="1" x14ac:dyDescent="0.35">
      <c r="A32" s="51"/>
      <c r="B32" s="11" t="str">
        <f>CONCATENATE("          ", "4045", " - ", "TAXABLE SALES-SPECIAL ORDERS")</f>
        <v xml:space="preserve">          4045 - TAXABLE SALES-SPECIAL ORDERS</v>
      </c>
      <c r="C32" s="11"/>
      <c r="D32" s="2">
        <f>--3388.52</f>
        <v>3388.52</v>
      </c>
      <c r="E32" s="2"/>
      <c r="F32" s="22"/>
      <c r="G32" s="2"/>
      <c r="H32" s="2"/>
      <c r="I32" s="2"/>
      <c r="J32" s="22"/>
      <c r="K32" s="2"/>
      <c r="L32" s="2">
        <f t="shared" si="0"/>
        <v>3388.52</v>
      </c>
      <c r="M32" s="2"/>
      <c r="N32" s="22">
        <f t="shared" si="1"/>
        <v>0</v>
      </c>
      <c r="O32" s="11"/>
      <c r="P32" s="2">
        <f>--125449.67</f>
        <v>125449.67</v>
      </c>
      <c r="Q32" s="2"/>
      <c r="R32" s="22"/>
      <c r="S32" s="2"/>
      <c r="T32" s="2"/>
      <c r="U32" s="2"/>
      <c r="V32" s="22"/>
      <c r="W32" s="2"/>
      <c r="X32" s="2">
        <f t="shared" si="2"/>
        <v>125449.67</v>
      </c>
      <c r="Y32" s="2"/>
      <c r="Z32" s="22">
        <f t="shared" si="3"/>
        <v>0</v>
      </c>
    </row>
    <row r="33" spans="1:26" s="24" customFormat="1" hidden="1" outlineLevel="1" x14ac:dyDescent="0.35">
      <c r="A33" s="51"/>
      <c r="B33" s="11" t="str">
        <f>CONCATENATE("          ", "4081", " - ", "TAXABLE SALES-ELECTRONICS")</f>
        <v xml:space="preserve">          4081 - TAXABLE SALES-ELECTRONICS</v>
      </c>
      <c r="C33" s="11"/>
      <c r="D33" s="2">
        <f t="shared" ref="D33:D34" si="5">0</f>
        <v>0</v>
      </c>
      <c r="E33" s="2"/>
      <c r="F33" s="22"/>
      <c r="G33" s="2"/>
      <c r="H33" s="2"/>
      <c r="I33" s="2"/>
      <c r="J33" s="22"/>
      <c r="K33" s="2"/>
      <c r="L33" s="2">
        <f t="shared" si="0"/>
        <v>0</v>
      </c>
      <c r="M33" s="2"/>
      <c r="N33" s="22">
        <f t="shared" si="1"/>
        <v>0</v>
      </c>
      <c r="O33" s="11"/>
      <c r="P33" s="2">
        <f>--71.95</f>
        <v>71.95</v>
      </c>
      <c r="Q33" s="2"/>
      <c r="R33" s="22"/>
      <c r="S33" s="2"/>
      <c r="T33" s="2"/>
      <c r="U33" s="2"/>
      <c r="V33" s="22"/>
      <c r="W33" s="2"/>
      <c r="X33" s="2">
        <f t="shared" si="2"/>
        <v>71.95</v>
      </c>
      <c r="Y33" s="2"/>
      <c r="Z33" s="22">
        <f t="shared" si="3"/>
        <v>0</v>
      </c>
    </row>
    <row r="34" spans="1:26" s="24" customFormat="1" hidden="1" outlineLevel="1" x14ac:dyDescent="0.35">
      <c r="A34" s="51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 t="shared" si="5"/>
        <v>0</v>
      </c>
      <c r="E34" s="2"/>
      <c r="F34" s="22"/>
      <c r="G34" s="2"/>
      <c r="H34" s="2"/>
      <c r="I34" s="2"/>
      <c r="J34" s="22"/>
      <c r="K34" s="2"/>
      <c r="L34" s="2">
        <f t="shared" si="0"/>
        <v>0</v>
      </c>
      <c r="M34" s="2"/>
      <c r="N34" s="22">
        <f t="shared" si="1"/>
        <v>0</v>
      </c>
      <c r="O34" s="11"/>
      <c r="P34" s="2">
        <f>--9.99</f>
        <v>9.99</v>
      </c>
      <c r="Q34" s="2"/>
      <c r="R34" s="22"/>
      <c r="S34" s="2"/>
      <c r="T34" s="2"/>
      <c r="U34" s="2"/>
      <c r="V34" s="22"/>
      <c r="W34" s="2"/>
      <c r="X34" s="2">
        <f t="shared" si="2"/>
        <v>9.99</v>
      </c>
      <c r="Y34" s="2"/>
      <c r="Z34" s="22">
        <f t="shared" si="3"/>
        <v>0</v>
      </c>
    </row>
    <row r="35" spans="1:26" s="24" customFormat="1" hidden="1" outlineLevel="1" x14ac:dyDescent="0.35">
      <c r="A35" s="51"/>
      <c r="B35" s="11" t="str">
        <f>CONCATENATE("          ", "4100", " - ", "NON-TAXABLE SALES")</f>
        <v xml:space="preserve">          4100 - NON-TAXABLE SALES</v>
      </c>
      <c r="C35" s="11"/>
      <c r="D35" s="2">
        <f>--112968.19</f>
        <v>112968.19</v>
      </c>
      <c r="E35" s="2"/>
      <c r="F35" s="22"/>
      <c r="G35" s="2"/>
      <c r="H35" s="2">
        <v>96923</v>
      </c>
      <c r="I35" s="2"/>
      <c r="J35" s="22"/>
      <c r="K35" s="2"/>
      <c r="L35" s="2">
        <f t="shared" si="0"/>
        <v>16045.190000000002</v>
      </c>
      <c r="M35" s="2"/>
      <c r="N35" s="22">
        <f t="shared" si="1"/>
        <v>0.16554574249662105</v>
      </c>
      <c r="O35" s="11"/>
      <c r="P35" s="2">
        <f>--278555.86</f>
        <v>278555.86</v>
      </c>
      <c r="Q35" s="2"/>
      <c r="R35" s="22"/>
      <c r="S35" s="2"/>
      <c r="T35" s="2">
        <v>329346</v>
      </c>
      <c r="U35" s="2"/>
      <c r="V35" s="22"/>
      <c r="W35" s="2"/>
      <c r="X35" s="2">
        <f t="shared" si="2"/>
        <v>-50790.140000000014</v>
      </c>
      <c r="Y35" s="2"/>
      <c r="Z35" s="22">
        <f t="shared" si="3"/>
        <v>-0.15421514152289695</v>
      </c>
    </row>
    <row r="36" spans="1:26" s="24" customFormat="1" hidden="1" outlineLevel="1" x14ac:dyDescent="0.35">
      <c r="A36" s="51"/>
      <c r="B36" s="11" t="str">
        <f>CONCATENATE("          ", "4101", " - ", "NON-TAXABLE SALES-NEW TEXT")</f>
        <v xml:space="preserve">          4101 - NON-TAXABLE SALES-NEW TEXT</v>
      </c>
      <c r="C36" s="11"/>
      <c r="D36" s="2">
        <f>--22084.7</f>
        <v>22084.7</v>
      </c>
      <c r="E36" s="2"/>
      <c r="F36" s="22"/>
      <c r="G36" s="2"/>
      <c r="H36" s="2"/>
      <c r="I36" s="2"/>
      <c r="J36" s="22"/>
      <c r="K36" s="2"/>
      <c r="L36" s="2">
        <f t="shared" si="0"/>
        <v>22084.7</v>
      </c>
      <c r="M36" s="2"/>
      <c r="N36" s="22">
        <f t="shared" si="1"/>
        <v>0</v>
      </c>
      <c r="O36" s="11"/>
      <c r="P36" s="2">
        <f>--104225.63</f>
        <v>104225.63</v>
      </c>
      <c r="Q36" s="2"/>
      <c r="R36" s="22"/>
      <c r="S36" s="2"/>
      <c r="T36" s="2"/>
      <c r="U36" s="2"/>
      <c r="V36" s="22"/>
      <c r="W36" s="2"/>
      <c r="X36" s="2">
        <f t="shared" si="2"/>
        <v>104225.63</v>
      </c>
      <c r="Y36" s="2"/>
      <c r="Z36" s="22">
        <f t="shared" si="3"/>
        <v>0</v>
      </c>
    </row>
    <row r="37" spans="1:26" s="24" customFormat="1" hidden="1" outlineLevel="1" x14ac:dyDescent="0.35">
      <c r="A37" s="51"/>
      <c r="B37" s="11" t="str">
        <f>CONCATENATE("          ", "4102", " - ", "NON-TAXABLE SALES-USED TEXT")</f>
        <v xml:space="preserve">          4102 - NON-TAXABLE SALES-USED TEXT</v>
      </c>
      <c r="C37" s="11"/>
      <c r="D37" s="2">
        <f>--9330.01</f>
        <v>9330.01</v>
      </c>
      <c r="E37" s="2"/>
      <c r="F37" s="22"/>
      <c r="G37" s="2"/>
      <c r="H37" s="2"/>
      <c r="I37" s="2"/>
      <c r="J37" s="22"/>
      <c r="K37" s="2"/>
      <c r="L37" s="2">
        <f t="shared" si="0"/>
        <v>9330.01</v>
      </c>
      <c r="M37" s="2"/>
      <c r="N37" s="22">
        <f t="shared" si="1"/>
        <v>0</v>
      </c>
      <c r="O37" s="11"/>
      <c r="P37" s="2">
        <f>--42961.32</f>
        <v>42961.32</v>
      </c>
      <c r="Q37" s="2"/>
      <c r="R37" s="22"/>
      <c r="S37" s="2"/>
      <c r="T37" s="2"/>
      <c r="U37" s="2"/>
      <c r="V37" s="22"/>
      <c r="W37" s="2"/>
      <c r="X37" s="2">
        <f t="shared" si="2"/>
        <v>42961.32</v>
      </c>
      <c r="Y37" s="2"/>
      <c r="Z37" s="22">
        <f t="shared" si="3"/>
        <v>0</v>
      </c>
    </row>
    <row r="38" spans="1:26" s="24" customFormat="1" hidden="1" outlineLevel="1" x14ac:dyDescent="0.35">
      <c r="A38" s="51"/>
      <c r="B38" s="11" t="str">
        <f>CONCATENATE("          ", "4103", " - ", "NON-TAXABLE SALES-RENTAL TEXT")</f>
        <v xml:space="preserve">          4103 - NON-TAXABLE SALES-RENTAL TEXT</v>
      </c>
      <c r="C38" s="11"/>
      <c r="D38" s="2">
        <f>--853.98</f>
        <v>853.98</v>
      </c>
      <c r="E38" s="2"/>
      <c r="F38" s="22"/>
      <c r="G38" s="2"/>
      <c r="H38" s="2"/>
      <c r="I38" s="2"/>
      <c r="J38" s="22"/>
      <c r="K38" s="2"/>
      <c r="L38" s="2">
        <f t="shared" si="0"/>
        <v>853.98</v>
      </c>
      <c r="M38" s="2"/>
      <c r="N38" s="22">
        <f t="shared" si="1"/>
        <v>0</v>
      </c>
      <c r="O38" s="11"/>
      <c r="P38" s="2">
        <f>--1138.95</f>
        <v>1138.95</v>
      </c>
      <c r="Q38" s="2"/>
      <c r="R38" s="22"/>
      <c r="S38" s="2"/>
      <c r="T38" s="2"/>
      <c r="U38" s="2"/>
      <c r="V38" s="22"/>
      <c r="W38" s="2"/>
      <c r="X38" s="2">
        <f t="shared" si="2"/>
        <v>1138.95</v>
      </c>
      <c r="Y38" s="2"/>
      <c r="Z38" s="22">
        <f t="shared" si="3"/>
        <v>0</v>
      </c>
    </row>
    <row r="39" spans="1:26" s="24" customFormat="1" hidden="1" outlineLevel="1" x14ac:dyDescent="0.35">
      <c r="A39" s="51"/>
      <c r="B39" s="11" t="str">
        <f>CONCATENATE("          ", "4104", " - ", "NON-TAXABLE SALES-DIGITAL TEXT")</f>
        <v xml:space="preserve">          4104 - NON-TAXABLE SALES-DIGITAL TEXT</v>
      </c>
      <c r="C39" s="11"/>
      <c r="D39" s="2">
        <f>--161977.12</f>
        <v>161977.12</v>
      </c>
      <c r="E39" s="2"/>
      <c r="F39" s="22"/>
      <c r="G39" s="2"/>
      <c r="H39" s="2"/>
      <c r="I39" s="2"/>
      <c r="J39" s="22"/>
      <c r="K39" s="2"/>
      <c r="L39" s="2">
        <f t="shared" si="0"/>
        <v>161977.12</v>
      </c>
      <c r="M39" s="2"/>
      <c r="N39" s="22">
        <f t="shared" si="1"/>
        <v>0</v>
      </c>
      <c r="O39" s="11"/>
      <c r="P39" s="2">
        <f>--458168.13</f>
        <v>458168.13</v>
      </c>
      <c r="Q39" s="2"/>
      <c r="R39" s="22"/>
      <c r="S39" s="2"/>
      <c r="T39" s="2"/>
      <c r="U39" s="2"/>
      <c r="V39" s="22"/>
      <c r="W39" s="2"/>
      <c r="X39" s="2">
        <f t="shared" si="2"/>
        <v>458168.13</v>
      </c>
      <c r="Y39" s="2"/>
      <c r="Z39" s="22">
        <f t="shared" si="3"/>
        <v>0</v>
      </c>
    </row>
    <row r="40" spans="1:26" s="24" customFormat="1" hidden="1" outlineLevel="1" x14ac:dyDescent="0.35">
      <c r="A40" s="51"/>
      <c r="B40" s="11" t="str">
        <f>CONCATENATE("          ", "4113", " - ", "NON-TAXABLE SALES-TRADE BOOKS")</f>
        <v xml:space="preserve">          4113 - NON-TAXABLE SALES-TRADE BOOKS</v>
      </c>
      <c r="C40" s="11"/>
      <c r="D40" s="2">
        <f>--4661.75</f>
        <v>4661.75</v>
      </c>
      <c r="E40" s="2"/>
      <c r="F40" s="22"/>
      <c r="G40" s="2"/>
      <c r="H40" s="2"/>
      <c r="I40" s="2"/>
      <c r="J40" s="22"/>
      <c r="K40" s="2"/>
      <c r="L40" s="2">
        <f t="shared" si="0"/>
        <v>4661.75</v>
      </c>
      <c r="M40" s="2"/>
      <c r="N40" s="22">
        <f t="shared" si="1"/>
        <v>0</v>
      </c>
      <c r="O40" s="11"/>
      <c r="P40" s="2">
        <f>--6989.25</f>
        <v>6989.25</v>
      </c>
      <c r="Q40" s="2"/>
      <c r="R40" s="22"/>
      <c r="S40" s="2"/>
      <c r="T40" s="2"/>
      <c r="U40" s="2"/>
      <c r="V40" s="22"/>
      <c r="W40" s="2"/>
      <c r="X40" s="2">
        <f t="shared" si="2"/>
        <v>6989.25</v>
      </c>
      <c r="Y40" s="2"/>
      <c r="Z40" s="22">
        <f t="shared" si="3"/>
        <v>0</v>
      </c>
    </row>
    <row r="41" spans="1:26" s="24" customFormat="1" hidden="1" outlineLevel="1" x14ac:dyDescent="0.35">
      <c r="A41" s="51"/>
      <c r="B41" s="11" t="str">
        <f>CONCATENATE("          ", "4118", " - ", "NON-TAXABLE SALES-STUDY GUIDES")</f>
        <v xml:space="preserve">          4118 - NON-TAXABLE SALES-STUDY GUIDES</v>
      </c>
      <c r="C41" s="11"/>
      <c r="D41" s="2">
        <f>--538.3</f>
        <v>538.29999999999995</v>
      </c>
      <c r="E41" s="2"/>
      <c r="F41" s="22"/>
      <c r="G41" s="2"/>
      <c r="H41" s="2"/>
      <c r="I41" s="2"/>
      <c r="J41" s="22"/>
      <c r="K41" s="2"/>
      <c r="L41" s="2">
        <f t="shared" si="0"/>
        <v>538.29999999999995</v>
      </c>
      <c r="M41" s="2"/>
      <c r="N41" s="22">
        <f t="shared" si="1"/>
        <v>0</v>
      </c>
      <c r="O41" s="11"/>
      <c r="P41" s="2">
        <f>--771.73</f>
        <v>771.73</v>
      </c>
      <c r="Q41" s="2"/>
      <c r="R41" s="22"/>
      <c r="S41" s="2"/>
      <c r="T41" s="2"/>
      <c r="U41" s="2"/>
      <c r="V41" s="22"/>
      <c r="W41" s="2"/>
      <c r="X41" s="2">
        <f t="shared" si="2"/>
        <v>771.73</v>
      </c>
      <c r="Y41" s="2"/>
      <c r="Z41" s="22">
        <f t="shared" si="3"/>
        <v>0</v>
      </c>
    </row>
    <row r="42" spans="1:26" s="24" customFormat="1" hidden="1" outlineLevel="1" x14ac:dyDescent="0.35">
      <c r="A42" s="51"/>
      <c r="B42" s="11" t="str">
        <f>CONCATENATE("          ", "4126", " - ", "NON-TAXABLE SALES-WRITING INST")</f>
        <v xml:space="preserve">          4126 - NON-TAXABLE SALES-WRITING INST</v>
      </c>
      <c r="C42" s="11"/>
      <c r="D42" s="2">
        <f>0</f>
        <v>0</v>
      </c>
      <c r="E42" s="2"/>
      <c r="F42" s="22"/>
      <c r="G42" s="2"/>
      <c r="H42" s="2"/>
      <c r="I42" s="2"/>
      <c r="J42" s="22"/>
      <c r="K42" s="2"/>
      <c r="L42" s="2">
        <f t="shared" si="0"/>
        <v>0</v>
      </c>
      <c r="M42" s="2"/>
      <c r="N42" s="22">
        <f t="shared" si="1"/>
        <v>0</v>
      </c>
      <c r="O42" s="11"/>
      <c r="P42" s="2">
        <f>--52.68</f>
        <v>52.68</v>
      </c>
      <c r="Q42" s="2"/>
      <c r="R42" s="22"/>
      <c r="S42" s="2"/>
      <c r="T42" s="2"/>
      <c r="U42" s="2"/>
      <c r="V42" s="22"/>
      <c r="W42" s="2"/>
      <c r="X42" s="2">
        <f t="shared" si="2"/>
        <v>52.68</v>
      </c>
      <c r="Y42" s="2"/>
      <c r="Z42" s="22">
        <f t="shared" si="3"/>
        <v>0</v>
      </c>
    </row>
    <row r="43" spans="1:26" s="24" customFormat="1" hidden="1" outlineLevel="1" x14ac:dyDescent="0.35">
      <c r="A43" s="51"/>
      <c r="B43" s="11" t="str">
        <f>CONCATENATE("          ", "4127", " - ", "NON-TAXABLE SALES-SCHOOL SUPPL")</f>
        <v xml:space="preserve">          4127 - NON-TAXABLE SALES-SCHOOL SUPPL</v>
      </c>
      <c r="C43" s="11"/>
      <c r="D43" s="2">
        <f>--2539.06</f>
        <v>2539.06</v>
      </c>
      <c r="E43" s="2"/>
      <c r="F43" s="22"/>
      <c r="G43" s="2"/>
      <c r="H43" s="2"/>
      <c r="I43" s="2"/>
      <c r="J43" s="22"/>
      <c r="K43" s="2"/>
      <c r="L43" s="2">
        <f t="shared" si="0"/>
        <v>2539.06</v>
      </c>
      <c r="M43" s="2"/>
      <c r="N43" s="22">
        <f t="shared" si="1"/>
        <v>0</v>
      </c>
      <c r="O43" s="11"/>
      <c r="P43" s="2">
        <f>--5745.17</f>
        <v>5745.17</v>
      </c>
      <c r="Q43" s="2"/>
      <c r="R43" s="22"/>
      <c r="S43" s="2"/>
      <c r="T43" s="2"/>
      <c r="U43" s="2"/>
      <c r="V43" s="22"/>
      <c r="W43" s="2"/>
      <c r="X43" s="2">
        <f t="shared" si="2"/>
        <v>5745.17</v>
      </c>
      <c r="Y43" s="2"/>
      <c r="Z43" s="22">
        <f t="shared" si="3"/>
        <v>0</v>
      </c>
    </row>
    <row r="44" spans="1:26" s="24" customFormat="1" hidden="1" outlineLevel="1" x14ac:dyDescent="0.35">
      <c r="A44" s="51"/>
      <c r="B44" s="11" t="str">
        <f>CONCATENATE("          ", "4128", " - ", "NON-TAXABLE SALES-ART/TECH")</f>
        <v xml:space="preserve">          4128 - NON-TAXABLE SALES-ART/TECH</v>
      </c>
      <c r="C44" s="11"/>
      <c r="D44" s="2">
        <f>--4.72</f>
        <v>4.72</v>
      </c>
      <c r="E44" s="2"/>
      <c r="F44" s="22"/>
      <c r="G44" s="2"/>
      <c r="H44" s="2"/>
      <c r="I44" s="2"/>
      <c r="J44" s="22"/>
      <c r="K44" s="2"/>
      <c r="L44" s="2">
        <f t="shared" si="0"/>
        <v>4.72</v>
      </c>
      <c r="M44" s="2"/>
      <c r="N44" s="22">
        <f t="shared" si="1"/>
        <v>0</v>
      </c>
      <c r="O44" s="11"/>
      <c r="P44" s="2">
        <f>--29.5</f>
        <v>29.5</v>
      </c>
      <c r="Q44" s="2"/>
      <c r="R44" s="22"/>
      <c r="S44" s="2"/>
      <c r="T44" s="2"/>
      <c r="U44" s="2"/>
      <c r="V44" s="22"/>
      <c r="W44" s="2"/>
      <c r="X44" s="2">
        <f t="shared" si="2"/>
        <v>29.5</v>
      </c>
      <c r="Y44" s="2"/>
      <c r="Z44" s="22">
        <f t="shared" si="3"/>
        <v>0</v>
      </c>
    </row>
    <row r="45" spans="1:26" s="24" customFormat="1" hidden="1" outlineLevel="1" x14ac:dyDescent="0.35">
      <c r="A45" s="51"/>
      <c r="B45" s="11" t="str">
        <f>CONCATENATE("          ", "4131", " - ", "NON-TAXABLE SALES-FOOD")</f>
        <v xml:space="preserve">          4131 - NON-TAXABLE SALES-FOOD</v>
      </c>
      <c r="C45" s="11"/>
      <c r="D45" s="2">
        <f>--1098.12</f>
        <v>1098.1199999999999</v>
      </c>
      <c r="E45" s="2"/>
      <c r="F45" s="22"/>
      <c r="G45" s="2"/>
      <c r="H45" s="2"/>
      <c r="I45" s="2"/>
      <c r="J45" s="22"/>
      <c r="K45" s="2"/>
      <c r="L45" s="2">
        <f t="shared" si="0"/>
        <v>1098.1199999999999</v>
      </c>
      <c r="M45" s="2"/>
      <c r="N45" s="22">
        <f t="shared" si="1"/>
        <v>0</v>
      </c>
      <c r="O45" s="11"/>
      <c r="P45" s="2">
        <f>--8640.27</f>
        <v>8640.27</v>
      </c>
      <c r="Q45" s="2"/>
      <c r="R45" s="22"/>
      <c r="S45" s="2"/>
      <c r="T45" s="2"/>
      <c r="U45" s="2"/>
      <c r="V45" s="22"/>
      <c r="W45" s="2"/>
      <c r="X45" s="2">
        <f t="shared" si="2"/>
        <v>8640.27</v>
      </c>
      <c r="Y45" s="2"/>
      <c r="Z45" s="22">
        <f t="shared" si="3"/>
        <v>0</v>
      </c>
    </row>
    <row r="46" spans="1:26" s="24" customFormat="1" hidden="1" outlineLevel="1" x14ac:dyDescent="0.35">
      <c r="A46" s="51"/>
      <c r="B46" s="11" t="str">
        <f>CONCATENATE("          ", "4132", " - ", "NON-TAXABLE SALES-JUICE")</f>
        <v xml:space="preserve">          4132 - NON-TAXABLE SALES-JUICE</v>
      </c>
      <c r="C46" s="11"/>
      <c r="D46" s="2">
        <f t="shared" ref="D46:D49" si="6">0</f>
        <v>0</v>
      </c>
      <c r="E46" s="2"/>
      <c r="F46" s="22"/>
      <c r="G46" s="2"/>
      <c r="H46" s="2"/>
      <c r="I46" s="2"/>
      <c r="J46" s="22"/>
      <c r="K46" s="2"/>
      <c r="L46" s="2">
        <f t="shared" si="0"/>
        <v>0</v>
      </c>
      <c r="M46" s="2"/>
      <c r="N46" s="22">
        <f t="shared" si="1"/>
        <v>0</v>
      </c>
      <c r="O46" s="11"/>
      <c r="P46" s="2">
        <f>--2054.37</f>
        <v>2054.37</v>
      </c>
      <c r="Q46" s="2"/>
      <c r="R46" s="22"/>
      <c r="S46" s="2"/>
      <c r="T46" s="2"/>
      <c r="U46" s="2"/>
      <c r="V46" s="22"/>
      <c r="W46" s="2"/>
      <c r="X46" s="2">
        <f t="shared" si="2"/>
        <v>2054.37</v>
      </c>
      <c r="Y46" s="2"/>
      <c r="Z46" s="22">
        <f t="shared" si="3"/>
        <v>0</v>
      </c>
    </row>
    <row r="47" spans="1:26" s="24" customFormat="1" hidden="1" outlineLevel="1" x14ac:dyDescent="0.35">
      <c r="A47" s="51"/>
      <c r="B47" s="11" t="str">
        <f>CONCATENATE("          ", "4133", " - ", "NON-TAXABLE SALES-CANDY")</f>
        <v xml:space="preserve">          4133 - NON-TAXABLE SALES-CANDY</v>
      </c>
      <c r="C47" s="11"/>
      <c r="D47" s="2">
        <f t="shared" si="6"/>
        <v>0</v>
      </c>
      <c r="E47" s="2"/>
      <c r="F47" s="22"/>
      <c r="G47" s="2"/>
      <c r="H47" s="2"/>
      <c r="I47" s="2"/>
      <c r="J47" s="22"/>
      <c r="K47" s="2"/>
      <c r="L47" s="2">
        <f t="shared" si="0"/>
        <v>0</v>
      </c>
      <c r="M47" s="2"/>
      <c r="N47" s="22">
        <f t="shared" si="1"/>
        <v>0</v>
      </c>
      <c r="O47" s="11"/>
      <c r="P47" s="2">
        <f>--80.71</f>
        <v>80.709999999999994</v>
      </c>
      <c r="Q47" s="2"/>
      <c r="R47" s="22"/>
      <c r="S47" s="2"/>
      <c r="T47" s="2"/>
      <c r="U47" s="2"/>
      <c r="V47" s="22"/>
      <c r="W47" s="2"/>
      <c r="X47" s="2">
        <f t="shared" si="2"/>
        <v>80.709999999999994</v>
      </c>
      <c r="Y47" s="2"/>
      <c r="Z47" s="22">
        <f t="shared" si="3"/>
        <v>0</v>
      </c>
    </row>
    <row r="48" spans="1:26" s="24" customFormat="1" hidden="1" outlineLevel="1" x14ac:dyDescent="0.35">
      <c r="A48" s="51"/>
      <c r="B48" s="11" t="str">
        <f>CONCATENATE("          ", "4134", " - ", "NON-TAXABLE SALES-SODA")</f>
        <v xml:space="preserve">          4134 - NON-TAXABLE SALES-SODA</v>
      </c>
      <c r="C48" s="11"/>
      <c r="D48" s="2">
        <f t="shared" si="6"/>
        <v>0</v>
      </c>
      <c r="E48" s="2"/>
      <c r="F48" s="22"/>
      <c r="G48" s="2"/>
      <c r="H48" s="2"/>
      <c r="I48" s="2"/>
      <c r="J48" s="22"/>
      <c r="K48" s="2"/>
      <c r="L48" s="2">
        <f t="shared" si="0"/>
        <v>0</v>
      </c>
      <c r="M48" s="2"/>
      <c r="N48" s="22">
        <f t="shared" si="1"/>
        <v>0</v>
      </c>
      <c r="O48" s="11"/>
      <c r="P48" s="2">
        <f>--45.53</f>
        <v>45.53</v>
      </c>
      <c r="Q48" s="2"/>
      <c r="R48" s="22"/>
      <c r="S48" s="2"/>
      <c r="T48" s="2"/>
      <c r="U48" s="2"/>
      <c r="V48" s="22"/>
      <c r="W48" s="2"/>
      <c r="X48" s="2">
        <f t="shared" si="2"/>
        <v>45.53</v>
      </c>
      <c r="Y48" s="2"/>
      <c r="Z48" s="22">
        <f t="shared" si="3"/>
        <v>0</v>
      </c>
    </row>
    <row r="49" spans="1:26" s="24" customFormat="1" hidden="1" outlineLevel="1" x14ac:dyDescent="0.35">
      <c r="A49" s="51"/>
      <c r="B49" s="11" t="str">
        <f>CONCATENATE("          ", "4137", " - ", "NON-TAXABLE SALES-WATER")</f>
        <v xml:space="preserve">          4137 - NON-TAXABLE SALES-WATER</v>
      </c>
      <c r="C49" s="11"/>
      <c r="D49" s="2">
        <f t="shared" si="6"/>
        <v>0</v>
      </c>
      <c r="E49" s="2"/>
      <c r="F49" s="22"/>
      <c r="G49" s="2"/>
      <c r="H49" s="2"/>
      <c r="I49" s="2"/>
      <c r="J49" s="22"/>
      <c r="K49" s="2"/>
      <c r="L49" s="2">
        <f t="shared" si="0"/>
        <v>0</v>
      </c>
      <c r="M49" s="2"/>
      <c r="N49" s="22">
        <f t="shared" si="1"/>
        <v>0</v>
      </c>
      <c r="O49" s="11"/>
      <c r="P49" s="2">
        <f>--68.25</f>
        <v>68.25</v>
      </c>
      <c r="Q49" s="2"/>
      <c r="R49" s="22"/>
      <c r="S49" s="2"/>
      <c r="T49" s="2"/>
      <c r="U49" s="2"/>
      <c r="V49" s="22"/>
      <c r="W49" s="2"/>
      <c r="X49" s="2">
        <f t="shared" si="2"/>
        <v>68.25</v>
      </c>
      <c r="Y49" s="2"/>
      <c r="Z49" s="22">
        <f t="shared" si="3"/>
        <v>0</v>
      </c>
    </row>
    <row r="50" spans="1:26" s="24" customFormat="1" hidden="1" outlineLevel="1" x14ac:dyDescent="0.35">
      <c r="A50" s="51"/>
      <c r="B50" s="11" t="str">
        <f>CONCATENATE("          ", "4140", " - ", "NON-TAXABLE SALES-LOGO CLOTHIN")</f>
        <v xml:space="preserve">          4140 - NON-TAXABLE SALES-LOGO CLOTHIN</v>
      </c>
      <c r="C50" s="11"/>
      <c r="D50" s="2">
        <f>--9206.45</f>
        <v>9206.4500000000007</v>
      </c>
      <c r="E50" s="2"/>
      <c r="F50" s="22"/>
      <c r="G50" s="2"/>
      <c r="H50" s="2"/>
      <c r="I50" s="2"/>
      <c r="J50" s="22"/>
      <c r="K50" s="2"/>
      <c r="L50" s="2">
        <f t="shared" si="0"/>
        <v>9206.4500000000007</v>
      </c>
      <c r="M50" s="2"/>
      <c r="N50" s="22">
        <f t="shared" si="1"/>
        <v>0</v>
      </c>
      <c r="O50" s="11"/>
      <c r="P50" s="2">
        <f>--113177.42</f>
        <v>113177.42</v>
      </c>
      <c r="Q50" s="2"/>
      <c r="R50" s="22"/>
      <c r="S50" s="2"/>
      <c r="T50" s="2"/>
      <c r="U50" s="2"/>
      <c r="V50" s="22"/>
      <c r="W50" s="2"/>
      <c r="X50" s="2">
        <f t="shared" si="2"/>
        <v>113177.42</v>
      </c>
      <c r="Y50" s="2"/>
      <c r="Z50" s="22">
        <f t="shared" si="3"/>
        <v>0</v>
      </c>
    </row>
    <row r="51" spans="1:26" s="24" customFormat="1" hidden="1" outlineLevel="1" x14ac:dyDescent="0.35">
      <c r="A51" s="51"/>
      <c r="B51" s="11" t="str">
        <f>CONCATENATE("          ", "4141", " - ", "NON-TAXABLE SALES-LOGO GIFTS")</f>
        <v xml:space="preserve">          4141 - NON-TAXABLE SALES-LOGO GIFTS</v>
      </c>
      <c r="C51" s="11"/>
      <c r="D51" s="2">
        <f>--1872.52</f>
        <v>1872.52</v>
      </c>
      <c r="E51" s="2"/>
      <c r="F51" s="22"/>
      <c r="G51" s="2"/>
      <c r="H51" s="2"/>
      <c r="I51" s="2"/>
      <c r="J51" s="22"/>
      <c r="K51" s="2"/>
      <c r="L51" s="2">
        <f t="shared" si="0"/>
        <v>1872.52</v>
      </c>
      <c r="M51" s="2"/>
      <c r="N51" s="22">
        <f t="shared" si="1"/>
        <v>0</v>
      </c>
      <c r="O51" s="11"/>
      <c r="P51" s="2">
        <f>--7841.77</f>
        <v>7841.77</v>
      </c>
      <c r="Q51" s="2"/>
      <c r="R51" s="22"/>
      <c r="S51" s="2"/>
      <c r="T51" s="2"/>
      <c r="U51" s="2"/>
      <c r="V51" s="22"/>
      <c r="W51" s="2"/>
      <c r="X51" s="2">
        <f t="shared" si="2"/>
        <v>7841.77</v>
      </c>
      <c r="Y51" s="2"/>
      <c r="Z51" s="22">
        <f t="shared" si="3"/>
        <v>0</v>
      </c>
    </row>
    <row r="52" spans="1:26" s="24" customFormat="1" hidden="1" outlineLevel="1" x14ac:dyDescent="0.35">
      <c r="A52" s="51"/>
      <c r="B52" s="11" t="str">
        <f>CONCATENATE("          ", "4142", " - ", "NON-TAXABLE SALES-EVERYDAY GIF")</f>
        <v xml:space="preserve">          4142 - NON-TAXABLE SALES-EVERYDAY GIF</v>
      </c>
      <c r="C52" s="11"/>
      <c r="D52" s="2">
        <f>--51.7</f>
        <v>51.7</v>
      </c>
      <c r="E52" s="2"/>
      <c r="F52" s="22"/>
      <c r="G52" s="2"/>
      <c r="H52" s="2"/>
      <c r="I52" s="2"/>
      <c r="J52" s="22"/>
      <c r="K52" s="2"/>
      <c r="L52" s="2">
        <f t="shared" si="0"/>
        <v>51.7</v>
      </c>
      <c r="M52" s="2"/>
      <c r="N52" s="22">
        <f t="shared" si="1"/>
        <v>0</v>
      </c>
      <c r="O52" s="11"/>
      <c r="P52" s="2">
        <f>--2259.89</f>
        <v>2259.89</v>
      </c>
      <c r="Q52" s="2"/>
      <c r="R52" s="22"/>
      <c r="S52" s="2"/>
      <c r="T52" s="2"/>
      <c r="U52" s="2"/>
      <c r="V52" s="22"/>
      <c r="W52" s="2"/>
      <c r="X52" s="2">
        <f t="shared" si="2"/>
        <v>2259.89</v>
      </c>
      <c r="Y52" s="2"/>
      <c r="Z52" s="22">
        <f t="shared" si="3"/>
        <v>0</v>
      </c>
    </row>
    <row r="53" spans="1:26" s="24" customFormat="1" hidden="1" outlineLevel="1" x14ac:dyDescent="0.35">
      <c r="A53" s="51"/>
      <c r="B53" s="11" t="str">
        <f>CONCATENATE("          ", "4143", " - ", "NON-TAXABLE SALES-CARDS")</f>
        <v xml:space="preserve">          4143 - NON-TAXABLE SALES-CARDS</v>
      </c>
      <c r="C53" s="11"/>
      <c r="D53" s="2">
        <f>--232.71</f>
        <v>232.71</v>
      </c>
      <c r="E53" s="2"/>
      <c r="F53" s="22"/>
      <c r="G53" s="2"/>
      <c r="H53" s="2"/>
      <c r="I53" s="2"/>
      <c r="J53" s="22"/>
      <c r="K53" s="2"/>
      <c r="L53" s="2">
        <f t="shared" si="0"/>
        <v>232.71</v>
      </c>
      <c r="M53" s="2"/>
      <c r="N53" s="22">
        <f t="shared" si="1"/>
        <v>0</v>
      </c>
      <c r="O53" s="11"/>
      <c r="P53" s="2">
        <f>--1969.74</f>
        <v>1969.74</v>
      </c>
      <c r="Q53" s="2"/>
      <c r="R53" s="22"/>
      <c r="S53" s="2"/>
      <c r="T53" s="2"/>
      <c r="U53" s="2"/>
      <c r="V53" s="22"/>
      <c r="W53" s="2"/>
      <c r="X53" s="2">
        <f t="shared" si="2"/>
        <v>1969.74</v>
      </c>
      <c r="Y53" s="2"/>
      <c r="Z53" s="22">
        <f t="shared" si="3"/>
        <v>0</v>
      </c>
    </row>
    <row r="54" spans="1:26" s="24" customFormat="1" hidden="1" outlineLevel="1" x14ac:dyDescent="0.35">
      <c r="A54" s="51"/>
      <c r="B54" s="11" t="str">
        <f>CONCATENATE("          ", "4144", " - ", "NON-TAXABLE SALES-ACCESSORIES")</f>
        <v xml:space="preserve">          4144 - NON-TAXABLE SALES-ACCESSORIES</v>
      </c>
      <c r="C54" s="11"/>
      <c r="D54" s="2">
        <f>--119.9</f>
        <v>119.9</v>
      </c>
      <c r="E54" s="2"/>
      <c r="F54" s="22"/>
      <c r="G54" s="2"/>
      <c r="H54" s="2"/>
      <c r="I54" s="2"/>
      <c r="J54" s="22"/>
      <c r="K54" s="2"/>
      <c r="L54" s="2">
        <f t="shared" si="0"/>
        <v>119.9</v>
      </c>
      <c r="M54" s="2"/>
      <c r="N54" s="22">
        <f t="shared" si="1"/>
        <v>0</v>
      </c>
      <c r="O54" s="11"/>
      <c r="P54" s="2">
        <f>--609.4</f>
        <v>609.4</v>
      </c>
      <c r="Q54" s="2"/>
      <c r="R54" s="22"/>
      <c r="S54" s="2"/>
      <c r="T54" s="2"/>
      <c r="U54" s="2"/>
      <c r="V54" s="22"/>
      <c r="W54" s="2"/>
      <c r="X54" s="2">
        <f t="shared" si="2"/>
        <v>609.4</v>
      </c>
      <c r="Y54" s="2"/>
      <c r="Z54" s="22">
        <f t="shared" si="3"/>
        <v>0</v>
      </c>
    </row>
    <row r="55" spans="1:26" s="24" customFormat="1" hidden="1" outlineLevel="1" x14ac:dyDescent="0.35">
      <c r="A55" s="51"/>
      <c r="B55" s="11" t="str">
        <f>CONCATENATE("          ", "4145", " - ", "NON-TAXABLE SALES-SPECIAL ORDE")</f>
        <v xml:space="preserve">          4145 - NON-TAXABLE SALES-SPECIAL ORDE</v>
      </c>
      <c r="C55" s="11"/>
      <c r="D55" s="2">
        <f>-1677.68</f>
        <v>-1677.68</v>
      </c>
      <c r="E55" s="2"/>
      <c r="F55" s="22"/>
      <c r="G55" s="2"/>
      <c r="H55" s="2"/>
      <c r="I55" s="2"/>
      <c r="J55" s="22"/>
      <c r="K55" s="2"/>
      <c r="L55" s="2">
        <f t="shared" si="0"/>
        <v>-1677.68</v>
      </c>
      <c r="M55" s="2"/>
      <c r="N55" s="22">
        <f t="shared" si="1"/>
        <v>0</v>
      </c>
      <c r="O55" s="11"/>
      <c r="P55" s="2">
        <f>--53716.09</f>
        <v>53716.09</v>
      </c>
      <c r="Q55" s="2"/>
      <c r="R55" s="22"/>
      <c r="S55" s="2"/>
      <c r="T55" s="2"/>
      <c r="U55" s="2"/>
      <c r="V55" s="22"/>
      <c r="W55" s="2"/>
      <c r="X55" s="2">
        <f t="shared" si="2"/>
        <v>53716.09</v>
      </c>
      <c r="Y55" s="2"/>
      <c r="Z55" s="22">
        <f t="shared" si="3"/>
        <v>0</v>
      </c>
    </row>
    <row r="56" spans="1:26" s="24" customFormat="1" hidden="1" outlineLevel="1" x14ac:dyDescent="0.35">
      <c r="A56" s="51"/>
      <c r="B56" s="11" t="str">
        <f>CONCATENATE("          ", "4146", " - ", "NON-TAXABLE SALES-COIN OP MACH")</f>
        <v xml:space="preserve">          4146 - NON-TAXABLE SALES-COIN OP MACH</v>
      </c>
      <c r="C56" s="11"/>
      <c r="D56" s="2">
        <f>--12.7</f>
        <v>12.7</v>
      </c>
      <c r="E56" s="2"/>
      <c r="F56" s="22"/>
      <c r="G56" s="2"/>
      <c r="H56" s="2"/>
      <c r="I56" s="2"/>
      <c r="J56" s="22"/>
      <c r="K56" s="2"/>
      <c r="L56" s="2">
        <f t="shared" si="0"/>
        <v>12.7</v>
      </c>
      <c r="M56" s="2"/>
      <c r="N56" s="22">
        <f t="shared" si="1"/>
        <v>0</v>
      </c>
      <c r="O56" s="11"/>
      <c r="P56" s="2">
        <f>--140.6</f>
        <v>140.6</v>
      </c>
      <c r="Q56" s="2"/>
      <c r="R56" s="22"/>
      <c r="S56" s="2"/>
      <c r="T56" s="2"/>
      <c r="U56" s="2"/>
      <c r="V56" s="22"/>
      <c r="W56" s="2"/>
      <c r="X56" s="2">
        <f t="shared" si="2"/>
        <v>140.6</v>
      </c>
      <c r="Y56" s="2"/>
      <c r="Z56" s="22">
        <f t="shared" si="3"/>
        <v>0</v>
      </c>
    </row>
    <row r="57" spans="1:26" s="24" customFormat="1" hidden="1" outlineLevel="1" x14ac:dyDescent="0.35">
      <c r="A57" s="51"/>
      <c r="B57" s="11" t="str">
        <f>CONCATENATE("          ", "4147", " - ", "NON-TAXABLE SALES-MISC")</f>
        <v xml:space="preserve">          4147 - NON-TAXABLE SALES-MISC</v>
      </c>
      <c r="C57" s="11"/>
      <c r="D57" s="2">
        <f>--11</f>
        <v>11</v>
      </c>
      <c r="E57" s="2"/>
      <c r="F57" s="22"/>
      <c r="G57" s="2"/>
      <c r="H57" s="2"/>
      <c r="I57" s="2"/>
      <c r="J57" s="22"/>
      <c r="K57" s="2"/>
      <c r="L57" s="2">
        <f t="shared" si="0"/>
        <v>11</v>
      </c>
      <c r="M57" s="2"/>
      <c r="N57" s="22">
        <f t="shared" si="1"/>
        <v>0</v>
      </c>
      <c r="O57" s="11"/>
      <c r="P57" s="2">
        <f>--115.5</f>
        <v>115.5</v>
      </c>
      <c r="Q57" s="2"/>
      <c r="R57" s="22"/>
      <c r="S57" s="2"/>
      <c r="T57" s="2"/>
      <c r="U57" s="2"/>
      <c r="V57" s="22"/>
      <c r="W57" s="2"/>
      <c r="X57" s="2">
        <f t="shared" si="2"/>
        <v>115.5</v>
      </c>
      <c r="Y57" s="2"/>
      <c r="Z57" s="22">
        <f t="shared" si="3"/>
        <v>0</v>
      </c>
    </row>
    <row r="58" spans="1:26" s="24" customFormat="1" hidden="1" outlineLevel="1" x14ac:dyDescent="0.35">
      <c r="A58" s="51"/>
      <c r="B58" s="11" t="str">
        <f>CONCATENATE("          ", "4153", " - ", "NON-TAXABLE SALES-FOOD")</f>
        <v xml:space="preserve">          4153 - NON-TAXABLE SALES-FOOD</v>
      </c>
      <c r="C58" s="11"/>
      <c r="D58" s="2">
        <f>0</f>
        <v>0</v>
      </c>
      <c r="E58" s="2"/>
      <c r="F58" s="22"/>
      <c r="G58" s="2"/>
      <c r="H58" s="2"/>
      <c r="I58" s="2"/>
      <c r="J58" s="22"/>
      <c r="K58" s="2"/>
      <c r="L58" s="2">
        <f t="shared" si="0"/>
        <v>0</v>
      </c>
      <c r="M58" s="2"/>
      <c r="N58" s="22">
        <f t="shared" si="1"/>
        <v>0</v>
      </c>
      <c r="O58" s="11"/>
      <c r="P58" s="2">
        <f>--110</f>
        <v>110</v>
      </c>
      <c r="Q58" s="2"/>
      <c r="R58" s="22"/>
      <c r="S58" s="2"/>
      <c r="T58" s="2"/>
      <c r="U58" s="2"/>
      <c r="V58" s="22"/>
      <c r="W58" s="2"/>
      <c r="X58" s="2">
        <f t="shared" si="2"/>
        <v>110</v>
      </c>
      <c r="Y58" s="2"/>
      <c r="Z58" s="22">
        <f t="shared" si="3"/>
        <v>0</v>
      </c>
    </row>
    <row r="59" spans="1:26" s="24" customFormat="1" hidden="1" outlineLevel="1" x14ac:dyDescent="0.35">
      <c r="A59" s="51"/>
      <c r="B59" s="11" t="str">
        <f>CONCATENATE("          ", "4201", " - ", "SALES RETURN TAXABLE-NEW TEXT")</f>
        <v xml:space="preserve">          4201 - SALES RETURN TAXABLE-NEW TEXT</v>
      </c>
      <c r="C59" s="11"/>
      <c r="D59" s="2">
        <f>-12741.9</f>
        <v>-12741.9</v>
      </c>
      <c r="E59" s="2"/>
      <c r="F59" s="22"/>
      <c r="G59" s="2"/>
      <c r="H59" s="2"/>
      <c r="I59" s="2"/>
      <c r="J59" s="22"/>
      <c r="K59" s="2"/>
      <c r="L59" s="2">
        <f t="shared" si="0"/>
        <v>-12741.9</v>
      </c>
      <c r="M59" s="2"/>
      <c r="N59" s="22">
        <f t="shared" si="1"/>
        <v>0</v>
      </c>
      <c r="O59" s="11"/>
      <c r="P59" s="2">
        <f>-48517.74</f>
        <v>-48517.74</v>
      </c>
      <c r="Q59" s="2"/>
      <c r="R59" s="22"/>
      <c r="S59" s="2"/>
      <c r="T59" s="2"/>
      <c r="U59" s="2"/>
      <c r="V59" s="22"/>
      <c r="W59" s="2"/>
      <c r="X59" s="2">
        <f t="shared" si="2"/>
        <v>-48517.74</v>
      </c>
      <c r="Y59" s="2"/>
      <c r="Z59" s="22">
        <f t="shared" si="3"/>
        <v>0</v>
      </c>
    </row>
    <row r="60" spans="1:26" s="24" customFormat="1" hidden="1" outlineLevel="1" x14ac:dyDescent="0.35">
      <c r="A60" s="51"/>
      <c r="B60" s="11" t="str">
        <f>CONCATENATE("          ", "4202", " - ", "SALES RETURN TAXABLE-USED TEXT")</f>
        <v xml:space="preserve">          4202 - SALES RETURN TAXABLE-USED TEXT</v>
      </c>
      <c r="C60" s="11"/>
      <c r="D60" s="2">
        <f>-4670.3</f>
        <v>-4670.3</v>
      </c>
      <c r="E60" s="2"/>
      <c r="F60" s="22"/>
      <c r="G60" s="2"/>
      <c r="H60" s="2"/>
      <c r="I60" s="2"/>
      <c r="J60" s="22"/>
      <c r="K60" s="2"/>
      <c r="L60" s="2">
        <f t="shared" si="0"/>
        <v>-4670.3</v>
      </c>
      <c r="M60" s="2"/>
      <c r="N60" s="22">
        <f t="shared" si="1"/>
        <v>0</v>
      </c>
      <c r="O60" s="11"/>
      <c r="P60" s="2">
        <f>-18536.3</f>
        <v>-18536.3</v>
      </c>
      <c r="Q60" s="2"/>
      <c r="R60" s="22"/>
      <c r="S60" s="2"/>
      <c r="T60" s="2"/>
      <c r="U60" s="2"/>
      <c r="V60" s="22"/>
      <c r="W60" s="2"/>
      <c r="X60" s="2">
        <f t="shared" si="2"/>
        <v>-18536.3</v>
      </c>
      <c r="Y60" s="2"/>
      <c r="Z60" s="22">
        <f t="shared" si="3"/>
        <v>0</v>
      </c>
    </row>
    <row r="61" spans="1:26" s="24" customFormat="1" hidden="1" outlineLevel="1" x14ac:dyDescent="0.35">
      <c r="A61" s="51"/>
      <c r="B61" s="11" t="str">
        <f>CONCATENATE("          ", "4204", " - ", "SALES RETURN TAXABLE-DIGITAL T")</f>
        <v xml:space="preserve">          4204 - SALES RETURN TAXABLE-DIGITAL T</v>
      </c>
      <c r="C61" s="11"/>
      <c r="D61" s="2">
        <f t="shared" ref="D61:D62" si="7">0</f>
        <v>0</v>
      </c>
      <c r="E61" s="2"/>
      <c r="F61" s="22"/>
      <c r="G61" s="2"/>
      <c r="H61" s="2"/>
      <c r="I61" s="2"/>
      <c r="J61" s="22"/>
      <c r="K61" s="2"/>
      <c r="L61" s="2">
        <f t="shared" si="0"/>
        <v>0</v>
      </c>
      <c r="M61" s="2"/>
      <c r="N61" s="22">
        <f t="shared" si="1"/>
        <v>0</v>
      </c>
      <c r="O61" s="11"/>
      <c r="P61" s="2">
        <f>-1630.85</f>
        <v>-1630.85</v>
      </c>
      <c r="Q61" s="2"/>
      <c r="R61" s="22"/>
      <c r="S61" s="2"/>
      <c r="T61" s="2"/>
      <c r="U61" s="2"/>
      <c r="V61" s="22"/>
      <c r="W61" s="2"/>
      <c r="X61" s="2">
        <f t="shared" si="2"/>
        <v>-1630.85</v>
      </c>
      <c r="Y61" s="2"/>
      <c r="Z61" s="22">
        <f t="shared" si="3"/>
        <v>0</v>
      </c>
    </row>
    <row r="62" spans="1:26" s="24" customFormat="1" hidden="1" outlineLevel="1" x14ac:dyDescent="0.35">
      <c r="A62" s="51"/>
      <c r="B62" s="11" t="str">
        <f>CONCATENATE("          ", "4226", " - ", "SALES RETURN TAXABLE-WRITING I")</f>
        <v xml:space="preserve">          4226 - SALES RETURN TAXABLE-WRITING I</v>
      </c>
      <c r="C62" s="11"/>
      <c r="D62" s="2">
        <f t="shared" si="7"/>
        <v>0</v>
      </c>
      <c r="E62" s="2"/>
      <c r="F62" s="22"/>
      <c r="G62" s="2"/>
      <c r="H62" s="2"/>
      <c r="I62" s="2"/>
      <c r="J62" s="22"/>
      <c r="K62" s="2"/>
      <c r="L62" s="2">
        <f t="shared" si="0"/>
        <v>0</v>
      </c>
      <c r="M62" s="2"/>
      <c r="N62" s="22">
        <f t="shared" si="1"/>
        <v>0</v>
      </c>
      <c r="O62" s="11"/>
      <c r="P62" s="2">
        <f>-34.23</f>
        <v>-34.229999999999997</v>
      </c>
      <c r="Q62" s="2"/>
      <c r="R62" s="22"/>
      <c r="S62" s="2"/>
      <c r="T62" s="2"/>
      <c r="U62" s="2"/>
      <c r="V62" s="22"/>
      <c r="W62" s="2"/>
      <c r="X62" s="2">
        <f t="shared" si="2"/>
        <v>-34.229999999999997</v>
      </c>
      <c r="Y62" s="2"/>
      <c r="Z62" s="22">
        <f t="shared" si="3"/>
        <v>0</v>
      </c>
    </row>
    <row r="63" spans="1:26" s="24" customFormat="1" hidden="1" outlineLevel="1" x14ac:dyDescent="0.35">
      <c r="A63" s="51"/>
      <c r="B63" s="11" t="str">
        <f>CONCATENATE("          ", "4227", " - ", "SALES RETURN TAXABLE-SCHOOL SU")</f>
        <v xml:space="preserve">          4227 - SALES RETURN TAXABLE-SCHOOL SU</v>
      </c>
      <c r="C63" s="11"/>
      <c r="D63" s="2">
        <f>-126.22</f>
        <v>-126.22</v>
      </c>
      <c r="E63" s="2"/>
      <c r="F63" s="22"/>
      <c r="G63" s="2"/>
      <c r="H63" s="2"/>
      <c r="I63" s="2"/>
      <c r="J63" s="22"/>
      <c r="K63" s="2"/>
      <c r="L63" s="2">
        <f t="shared" si="0"/>
        <v>-126.22</v>
      </c>
      <c r="M63" s="2"/>
      <c r="N63" s="22">
        <f t="shared" si="1"/>
        <v>0</v>
      </c>
      <c r="O63" s="11"/>
      <c r="P63" s="2">
        <f>-762.68</f>
        <v>-762.68</v>
      </c>
      <c r="Q63" s="2"/>
      <c r="R63" s="22"/>
      <c r="S63" s="2"/>
      <c r="T63" s="2"/>
      <c r="U63" s="2"/>
      <c r="V63" s="22"/>
      <c r="W63" s="2"/>
      <c r="X63" s="2">
        <f t="shared" si="2"/>
        <v>-762.68</v>
      </c>
      <c r="Y63" s="2"/>
      <c r="Z63" s="22">
        <f t="shared" si="3"/>
        <v>0</v>
      </c>
    </row>
    <row r="64" spans="1:26" s="24" customFormat="1" hidden="1" outlineLevel="1" x14ac:dyDescent="0.35">
      <c r="A64" s="51"/>
      <c r="B64" s="11" t="str">
        <f>CONCATENATE("          ", "4228", " - ", "SALES RETURN TAXABLE-ART/TECH")</f>
        <v xml:space="preserve">          4228 - SALES RETURN TAXABLE-ART/TECH</v>
      </c>
      <c r="C64" s="11"/>
      <c r="D64" s="2">
        <f>-12473.84</f>
        <v>-12473.84</v>
      </c>
      <c r="E64" s="2"/>
      <c r="F64" s="22"/>
      <c r="G64" s="2"/>
      <c r="H64" s="2"/>
      <c r="I64" s="2"/>
      <c r="J64" s="22"/>
      <c r="K64" s="2"/>
      <c r="L64" s="2">
        <f t="shared" si="0"/>
        <v>-12473.84</v>
      </c>
      <c r="M64" s="2"/>
      <c r="N64" s="22">
        <f t="shared" si="1"/>
        <v>0</v>
      </c>
      <c r="O64" s="11"/>
      <c r="P64" s="2">
        <f>-12728.53</f>
        <v>-12728.53</v>
      </c>
      <c r="Q64" s="2"/>
      <c r="R64" s="22"/>
      <c r="S64" s="2"/>
      <c r="T64" s="2"/>
      <c r="U64" s="2"/>
      <c r="V64" s="22"/>
      <c r="W64" s="2"/>
      <c r="X64" s="2">
        <f t="shared" si="2"/>
        <v>-12728.53</v>
      </c>
      <c r="Y64" s="2"/>
      <c r="Z64" s="22">
        <f t="shared" si="3"/>
        <v>0</v>
      </c>
    </row>
    <row r="65" spans="1:26" s="24" customFormat="1" hidden="1" outlineLevel="1" x14ac:dyDescent="0.35">
      <c r="A65" s="51"/>
      <c r="B65" s="11" t="str">
        <f>CONCATENATE("          ", "4240", " - ", "SALES RETURN TAXABLE-LOGO CLOT")</f>
        <v xml:space="preserve">          4240 - SALES RETURN TAXABLE-LOGO CLOT</v>
      </c>
      <c r="C65" s="11"/>
      <c r="D65" s="2">
        <f>-7168.03</f>
        <v>-7168.03</v>
      </c>
      <c r="E65" s="2"/>
      <c r="F65" s="22"/>
      <c r="G65" s="2"/>
      <c r="H65" s="2"/>
      <c r="I65" s="2"/>
      <c r="J65" s="22"/>
      <c r="K65" s="2"/>
      <c r="L65" s="2">
        <f t="shared" si="0"/>
        <v>-7168.03</v>
      </c>
      <c r="M65" s="2"/>
      <c r="N65" s="22">
        <f t="shared" si="1"/>
        <v>0</v>
      </c>
      <c r="O65" s="11"/>
      <c r="P65" s="2">
        <f>-27586.87</f>
        <v>-27586.87</v>
      </c>
      <c r="Q65" s="2"/>
      <c r="R65" s="22"/>
      <c r="S65" s="2"/>
      <c r="T65" s="2"/>
      <c r="U65" s="2"/>
      <c r="V65" s="22"/>
      <c r="W65" s="2"/>
      <c r="X65" s="2">
        <f t="shared" si="2"/>
        <v>-27586.87</v>
      </c>
      <c r="Y65" s="2"/>
      <c r="Z65" s="22">
        <f t="shared" si="3"/>
        <v>0</v>
      </c>
    </row>
    <row r="66" spans="1:26" s="24" customFormat="1" hidden="1" outlineLevel="1" x14ac:dyDescent="0.35">
      <c r="A66" s="51"/>
      <c r="B66" s="11" t="str">
        <f>CONCATENATE("          ", "4241", " - ", "SALES RETURN TAXABLE-LOGO GIFT")</f>
        <v xml:space="preserve">          4241 - SALES RETURN TAXABLE-LOGO GIFT</v>
      </c>
      <c r="C66" s="11"/>
      <c r="D66" s="2">
        <f>-1397.46</f>
        <v>-1397.46</v>
      </c>
      <c r="E66" s="2"/>
      <c r="F66" s="22"/>
      <c r="G66" s="2"/>
      <c r="H66" s="2"/>
      <c r="I66" s="2"/>
      <c r="J66" s="22"/>
      <c r="K66" s="2"/>
      <c r="L66" s="2">
        <f t="shared" si="0"/>
        <v>-1397.46</v>
      </c>
      <c r="M66" s="2"/>
      <c r="N66" s="22">
        <f t="shared" si="1"/>
        <v>0</v>
      </c>
      <c r="O66" s="11"/>
      <c r="P66" s="2">
        <f>-4957.47</f>
        <v>-4957.47</v>
      </c>
      <c r="Q66" s="2"/>
      <c r="R66" s="22"/>
      <c r="S66" s="2"/>
      <c r="T66" s="2"/>
      <c r="U66" s="2"/>
      <c r="V66" s="22"/>
      <c r="W66" s="2"/>
      <c r="X66" s="2">
        <f t="shared" si="2"/>
        <v>-4957.47</v>
      </c>
      <c r="Y66" s="2"/>
      <c r="Z66" s="22">
        <f t="shared" si="3"/>
        <v>0</v>
      </c>
    </row>
    <row r="67" spans="1:26" s="24" customFormat="1" hidden="1" outlineLevel="1" x14ac:dyDescent="0.35">
      <c r="A67" s="51"/>
      <c r="B67" s="11" t="str">
        <f>CONCATENATE("          ", "4242", " - ", "SALES RETURN TAXABLE-EVERYDAY")</f>
        <v xml:space="preserve">          4242 - SALES RETURN TAXABLE-EVERYDAY</v>
      </c>
      <c r="C67" s="11"/>
      <c r="D67" s="2">
        <f>-76.86</f>
        <v>-76.86</v>
      </c>
      <c r="E67" s="2"/>
      <c r="F67" s="22"/>
      <c r="G67" s="2"/>
      <c r="H67" s="2"/>
      <c r="I67" s="2"/>
      <c r="J67" s="22"/>
      <c r="K67" s="2"/>
      <c r="L67" s="2">
        <f t="shared" si="0"/>
        <v>-76.86</v>
      </c>
      <c r="M67" s="2"/>
      <c r="N67" s="22">
        <f t="shared" si="1"/>
        <v>0</v>
      </c>
      <c r="O67" s="11"/>
      <c r="P67" s="2">
        <f>-1693.78</f>
        <v>-1693.78</v>
      </c>
      <c r="Q67" s="2"/>
      <c r="R67" s="22"/>
      <c r="S67" s="2"/>
      <c r="T67" s="2"/>
      <c r="U67" s="2"/>
      <c r="V67" s="22"/>
      <c r="W67" s="2"/>
      <c r="X67" s="2">
        <f t="shared" si="2"/>
        <v>-1693.78</v>
      </c>
      <c r="Y67" s="2"/>
      <c r="Z67" s="22">
        <f t="shared" si="3"/>
        <v>0</v>
      </c>
    </row>
    <row r="68" spans="1:26" s="24" customFormat="1" hidden="1" outlineLevel="1" x14ac:dyDescent="0.35">
      <c r="A68" s="51"/>
      <c r="B68" s="11" t="str">
        <f>CONCATENATE("          ", "4243", " - ", "SALES RETURN TAXABLE-CARDS")</f>
        <v xml:space="preserve">          4243 - SALES RETURN TAXABLE-CARDS</v>
      </c>
      <c r="C68" s="11"/>
      <c r="D68" s="2">
        <f>-1422.25</f>
        <v>-1422.25</v>
      </c>
      <c r="E68" s="2"/>
      <c r="F68" s="22"/>
      <c r="G68" s="2"/>
      <c r="H68" s="2"/>
      <c r="I68" s="2"/>
      <c r="J68" s="22"/>
      <c r="K68" s="2"/>
      <c r="L68" s="2">
        <f t="shared" si="0"/>
        <v>-1422.25</v>
      </c>
      <c r="M68" s="2"/>
      <c r="N68" s="22">
        <f t="shared" si="1"/>
        <v>0</v>
      </c>
      <c r="O68" s="11"/>
      <c r="P68" s="2">
        <f>-4999.79</f>
        <v>-4999.79</v>
      </c>
      <c r="Q68" s="2"/>
      <c r="R68" s="22"/>
      <c r="S68" s="2"/>
      <c r="T68" s="2"/>
      <c r="U68" s="2"/>
      <c r="V68" s="22"/>
      <c r="W68" s="2"/>
      <c r="X68" s="2">
        <f t="shared" si="2"/>
        <v>-4999.79</v>
      </c>
      <c r="Y68" s="2"/>
      <c r="Z68" s="22">
        <f t="shared" si="3"/>
        <v>0</v>
      </c>
    </row>
    <row r="69" spans="1:26" s="24" customFormat="1" hidden="1" outlineLevel="1" x14ac:dyDescent="0.35">
      <c r="A69" s="51"/>
      <c r="B69" s="11" t="str">
        <f>CONCATENATE("          ", "4244", " - ", "SALES RETURN TAXABLE-ACCESSORI")</f>
        <v xml:space="preserve">          4244 - SALES RETURN TAXABLE-ACCESSORI</v>
      </c>
      <c r="C69" s="11"/>
      <c r="D69" s="2">
        <f>-93.98</f>
        <v>-93.98</v>
      </c>
      <c r="E69" s="2"/>
      <c r="F69" s="22"/>
      <c r="G69" s="2"/>
      <c r="H69" s="2"/>
      <c r="I69" s="2"/>
      <c r="J69" s="22"/>
      <c r="K69" s="2"/>
      <c r="L69" s="2">
        <f t="shared" si="0"/>
        <v>-93.98</v>
      </c>
      <c r="M69" s="2"/>
      <c r="N69" s="22">
        <f t="shared" si="1"/>
        <v>0</v>
      </c>
      <c r="O69" s="11"/>
      <c r="P69" s="2">
        <f>-984.85</f>
        <v>-984.85</v>
      </c>
      <c r="Q69" s="2"/>
      <c r="R69" s="22"/>
      <c r="S69" s="2"/>
      <c r="T69" s="2"/>
      <c r="U69" s="2"/>
      <c r="V69" s="22"/>
      <c r="W69" s="2"/>
      <c r="X69" s="2">
        <f t="shared" si="2"/>
        <v>-984.85</v>
      </c>
      <c r="Y69" s="2"/>
      <c r="Z69" s="22">
        <f t="shared" si="3"/>
        <v>0</v>
      </c>
    </row>
    <row r="70" spans="1:26" s="24" customFormat="1" hidden="1" outlineLevel="1" x14ac:dyDescent="0.35">
      <c r="A70" s="51"/>
      <c r="B70" s="11" t="str">
        <f>CONCATENATE("          ", "4245", " - ", "SALES RETURN TAXABLE-SPECIAL O")</f>
        <v xml:space="preserve">          4245 - SALES RETURN TAXABLE-SPECIAL O</v>
      </c>
      <c r="C70" s="11"/>
      <c r="D70" s="2">
        <f>0</f>
        <v>0</v>
      </c>
      <c r="E70" s="2"/>
      <c r="F70" s="22"/>
      <c r="G70" s="2"/>
      <c r="H70" s="2"/>
      <c r="I70" s="2"/>
      <c r="J70" s="22"/>
      <c r="K70" s="2"/>
      <c r="L70" s="2">
        <f t="shared" si="0"/>
        <v>0</v>
      </c>
      <c r="M70" s="2"/>
      <c r="N70" s="22">
        <f t="shared" si="1"/>
        <v>0</v>
      </c>
      <c r="O70" s="11"/>
      <c r="P70" s="2">
        <f>-11345.61</f>
        <v>-11345.61</v>
      </c>
      <c r="Q70" s="2"/>
      <c r="R70" s="22"/>
      <c r="S70" s="2"/>
      <c r="T70" s="2"/>
      <c r="U70" s="2"/>
      <c r="V70" s="22"/>
      <c r="W70" s="2"/>
      <c r="X70" s="2">
        <f t="shared" si="2"/>
        <v>-11345.61</v>
      </c>
      <c r="Y70" s="2"/>
      <c r="Z70" s="22">
        <f t="shared" si="3"/>
        <v>0</v>
      </c>
    </row>
    <row r="71" spans="1:26" s="24" customFormat="1" hidden="1" outlineLevel="1" x14ac:dyDescent="0.35">
      <c r="A71" s="51"/>
      <c r="B71" s="11" t="str">
        <f>CONCATENATE("          ", "4301", " - ", "SALES RETURN NON TAXABLE-NEW T")</f>
        <v xml:space="preserve">          4301 - SALES RETURN NON TAXABLE-NEW T</v>
      </c>
      <c r="C71" s="11"/>
      <c r="D71" s="2">
        <f>-256.69</f>
        <v>-256.69</v>
      </c>
      <c r="E71" s="2"/>
      <c r="F71" s="22"/>
      <c r="G71" s="2"/>
      <c r="H71" s="2"/>
      <c r="I71" s="2"/>
      <c r="J71" s="22"/>
      <c r="K71" s="2"/>
      <c r="L71" s="2">
        <f t="shared" si="0"/>
        <v>-256.69</v>
      </c>
      <c r="M71" s="2"/>
      <c r="N71" s="22">
        <f t="shared" si="1"/>
        <v>0</v>
      </c>
      <c r="O71" s="11"/>
      <c r="P71" s="2">
        <f>-3005.79</f>
        <v>-3005.79</v>
      </c>
      <c r="Q71" s="2"/>
      <c r="R71" s="22"/>
      <c r="S71" s="2"/>
      <c r="T71" s="2"/>
      <c r="U71" s="2"/>
      <c r="V71" s="22"/>
      <c r="W71" s="2"/>
      <c r="X71" s="2">
        <f t="shared" si="2"/>
        <v>-3005.79</v>
      </c>
      <c r="Y71" s="2"/>
      <c r="Z71" s="22">
        <f t="shared" si="3"/>
        <v>0</v>
      </c>
    </row>
    <row r="72" spans="1:26" s="24" customFormat="1" hidden="1" outlineLevel="1" x14ac:dyDescent="0.35">
      <c r="A72" s="51"/>
      <c r="B72" s="11" t="str">
        <f>CONCATENATE("          ", "4302", " - ", "SALES RETURN NON TAXABLE-TEXT")</f>
        <v xml:space="preserve">          4302 - SALES RETURN NON TAXABLE-TEXT</v>
      </c>
      <c r="C72" s="11"/>
      <c r="D72" s="2">
        <f>-532.96</f>
        <v>-532.96</v>
      </c>
      <c r="E72" s="2"/>
      <c r="F72" s="22"/>
      <c r="G72" s="2"/>
      <c r="H72" s="2"/>
      <c r="I72" s="2"/>
      <c r="J72" s="22"/>
      <c r="K72" s="2"/>
      <c r="L72" s="2">
        <f t="shared" si="0"/>
        <v>-532.96</v>
      </c>
      <c r="M72" s="2"/>
      <c r="N72" s="22">
        <f t="shared" si="1"/>
        <v>0</v>
      </c>
      <c r="O72" s="11"/>
      <c r="P72" s="2">
        <f>-2003.16</f>
        <v>-2003.16</v>
      </c>
      <c r="Q72" s="2"/>
      <c r="R72" s="22"/>
      <c r="S72" s="2"/>
      <c r="T72" s="2"/>
      <c r="U72" s="2"/>
      <c r="V72" s="22"/>
      <c r="W72" s="2"/>
      <c r="X72" s="2">
        <f t="shared" si="2"/>
        <v>-2003.16</v>
      </c>
      <c r="Y72" s="2"/>
      <c r="Z72" s="22">
        <f t="shared" si="3"/>
        <v>0</v>
      </c>
    </row>
    <row r="73" spans="1:26" s="24" customFormat="1" hidden="1" outlineLevel="1" x14ac:dyDescent="0.35">
      <c r="A73" s="51"/>
      <c r="B73" s="11" t="str">
        <f>CONCATENATE("          ", "4304", " - ", "SALES RETURN NON TAXABLE-DIGIT")</f>
        <v xml:space="preserve">          4304 - SALES RETURN NON TAXABLE-DIGIT</v>
      </c>
      <c r="C73" s="11"/>
      <c r="D73" s="2">
        <f>-10673</f>
        <v>-10673</v>
      </c>
      <c r="E73" s="2"/>
      <c r="F73" s="22"/>
      <c r="G73" s="2"/>
      <c r="H73" s="2"/>
      <c r="I73" s="2"/>
      <c r="J73" s="22"/>
      <c r="K73" s="2"/>
      <c r="L73" s="2">
        <f t="shared" si="0"/>
        <v>-10673</v>
      </c>
      <c r="M73" s="2"/>
      <c r="N73" s="22">
        <f t="shared" si="1"/>
        <v>0</v>
      </c>
      <c r="O73" s="11"/>
      <c r="P73" s="2">
        <f>-25095.77</f>
        <v>-25095.77</v>
      </c>
      <c r="Q73" s="2"/>
      <c r="R73" s="22"/>
      <c r="S73" s="2"/>
      <c r="T73" s="2"/>
      <c r="U73" s="2"/>
      <c r="V73" s="22"/>
      <c r="W73" s="2"/>
      <c r="X73" s="2">
        <f t="shared" si="2"/>
        <v>-25095.77</v>
      </c>
      <c r="Y73" s="2"/>
      <c r="Z73" s="22">
        <f t="shared" si="3"/>
        <v>0</v>
      </c>
    </row>
    <row r="74" spans="1:26" s="24" customFormat="1" hidden="1" outlineLevel="1" x14ac:dyDescent="0.35">
      <c r="A74" s="51"/>
      <c r="B74" s="11" t="str">
        <f>CONCATENATE("          ", "4340", " - ", "SALES RETURN NON TAXABLE-LOGO")</f>
        <v xml:space="preserve">          4340 - SALES RETURN NON TAXABLE-LOGO</v>
      </c>
      <c r="C74" s="11"/>
      <c r="D74" s="2">
        <f>-732.22</f>
        <v>-732.22</v>
      </c>
      <c r="E74" s="2"/>
      <c r="F74" s="22"/>
      <c r="G74" s="2"/>
      <c r="H74" s="2"/>
      <c r="I74" s="2"/>
      <c r="J74" s="22"/>
      <c r="K74" s="2"/>
      <c r="L74" s="2">
        <f t="shared" si="0"/>
        <v>-732.22</v>
      </c>
      <c r="M74" s="2"/>
      <c r="N74" s="22">
        <f t="shared" si="1"/>
        <v>0</v>
      </c>
      <c r="O74" s="11"/>
      <c r="P74" s="2">
        <f>-2215.94</f>
        <v>-2215.94</v>
      </c>
      <c r="Q74" s="2"/>
      <c r="R74" s="22"/>
      <c r="S74" s="2"/>
      <c r="T74" s="2"/>
      <c r="U74" s="2"/>
      <c r="V74" s="22"/>
      <c r="W74" s="2"/>
      <c r="X74" s="2">
        <f t="shared" si="2"/>
        <v>-2215.94</v>
      </c>
      <c r="Y74" s="2"/>
      <c r="Z74" s="22">
        <f t="shared" si="3"/>
        <v>0</v>
      </c>
    </row>
    <row r="75" spans="1:26" s="24" customFormat="1" hidden="1" outlineLevel="1" x14ac:dyDescent="0.35">
      <c r="A75" s="51"/>
      <c r="B75" s="11" t="str">
        <f>CONCATENATE("          ", "4341", " - ", "SALES RETURN NON TAXABLE-LOGO")</f>
        <v xml:space="preserve">          4341 - SALES RETURN NON TAXABLE-LOGO</v>
      </c>
      <c r="C75" s="11"/>
      <c r="D75" s="2">
        <f>-27</f>
        <v>-27</v>
      </c>
      <c r="E75" s="2"/>
      <c r="F75" s="22"/>
      <c r="G75" s="2"/>
      <c r="H75" s="2"/>
      <c r="I75" s="2"/>
      <c r="J75" s="22"/>
      <c r="K75" s="2"/>
      <c r="L75" s="2">
        <f t="shared" si="0"/>
        <v>-27</v>
      </c>
      <c r="M75" s="2"/>
      <c r="N75" s="22">
        <f t="shared" si="1"/>
        <v>0</v>
      </c>
      <c r="O75" s="11"/>
      <c r="P75" s="2">
        <f>-362.64</f>
        <v>-362.64</v>
      </c>
      <c r="Q75" s="2"/>
      <c r="R75" s="22"/>
      <c r="S75" s="2"/>
      <c r="T75" s="2"/>
      <c r="U75" s="2"/>
      <c r="V75" s="22"/>
      <c r="W75" s="2"/>
      <c r="X75" s="2">
        <f t="shared" si="2"/>
        <v>-362.64</v>
      </c>
      <c r="Y75" s="2"/>
      <c r="Z75" s="22">
        <f t="shared" si="3"/>
        <v>0</v>
      </c>
    </row>
    <row r="76" spans="1:26" s="24" customFormat="1" hidden="1" outlineLevel="1" x14ac:dyDescent="0.35">
      <c r="A76" s="51"/>
      <c r="B76" s="11" t="str">
        <f>CONCATENATE("          ", "4342", " - ", "SALES RETURN NON TAXABLE-EVERY")</f>
        <v xml:space="preserve">          4342 - SALES RETURN NON TAXABLE-EVERY</v>
      </c>
      <c r="C76" s="11"/>
      <c r="D76" s="2">
        <f>0</f>
        <v>0</v>
      </c>
      <c r="E76" s="2"/>
      <c r="F76" s="22"/>
      <c r="G76" s="2"/>
      <c r="H76" s="2"/>
      <c r="I76" s="2"/>
      <c r="J76" s="22"/>
      <c r="K76" s="2"/>
      <c r="L76" s="2">
        <f t="shared" si="0"/>
        <v>0</v>
      </c>
      <c r="M76" s="2"/>
      <c r="N76" s="22">
        <f t="shared" si="1"/>
        <v>0</v>
      </c>
      <c r="O76" s="11"/>
      <c r="P76" s="2">
        <f>-118.7</f>
        <v>-118.7</v>
      </c>
      <c r="Q76" s="2"/>
      <c r="R76" s="22"/>
      <c r="S76" s="2"/>
      <c r="T76" s="2"/>
      <c r="U76" s="2"/>
      <c r="V76" s="22"/>
      <c r="W76" s="2"/>
      <c r="X76" s="2">
        <f t="shared" si="2"/>
        <v>-118.7</v>
      </c>
      <c r="Y76" s="2"/>
      <c r="Z76" s="22">
        <f t="shared" si="3"/>
        <v>0</v>
      </c>
    </row>
    <row r="77" spans="1:26" x14ac:dyDescent="0.3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collapsed="1" x14ac:dyDescent="0.35">
      <c r="A78" s="10"/>
      <c r="B78" s="25" t="s">
        <v>8</v>
      </c>
      <c r="C78" s="10"/>
      <c r="D78" s="4">
        <f>SUM(OSRRefD16x_0)</f>
        <v>771335.59000000008</v>
      </c>
      <c r="E78" s="4"/>
      <c r="F78" s="12">
        <f t="shared" ref="F78:F114" si="8">IF(D$12=0,0,D78/D$12)</f>
        <v>0.65432648696340723</v>
      </c>
      <c r="G78" s="4"/>
      <c r="H78" s="4">
        <f>SUM(OSRRefH16x_0)</f>
        <v>1277300</v>
      </c>
      <c r="I78" s="4"/>
      <c r="J78" s="12">
        <f t="shared" ref="J78:J114" si="9">IF(H$12=0,0,H78/H$12)</f>
        <v>0.6429545809192545</v>
      </c>
      <c r="K78" s="4"/>
      <c r="L78" s="4">
        <f t="shared" ref="L78:L114" si="10">+D78-H78</f>
        <v>-505964.40999999992</v>
      </c>
      <c r="M78" s="4"/>
      <c r="N78" s="12">
        <f t="shared" ref="N78:N114" si="11">IF(H78=0,0,L78/H78)</f>
        <v>-0.39612026148907847</v>
      </c>
      <c r="O78" s="10"/>
      <c r="P78" s="4">
        <f>SUM(OSRRefP16x_0)</f>
        <v>2515091.7300000004</v>
      </c>
      <c r="Q78" s="4"/>
      <c r="R78" s="12">
        <f t="shared" ref="R78:R114" si="12">IF(P$12=0,0,P78/P$12)</f>
        <v>0.64821536478505981</v>
      </c>
      <c r="S78" s="4"/>
      <c r="T78" s="4">
        <f>SUM(OSRRefT16x_0)</f>
        <v>4170354.9999999995</v>
      </c>
      <c r="U78" s="4"/>
      <c r="V78" s="12">
        <f t="shared" ref="V78:V114" si="13">IF(T$12=0,0,T78/T$12)</f>
        <v>0.60576831174686674</v>
      </c>
      <c r="W78" s="4"/>
      <c r="X78" s="4">
        <f t="shared" ref="X78:X114" si="14">+P78-T78</f>
        <v>-1655263.2699999991</v>
      </c>
      <c r="Y78" s="4"/>
      <c r="Z78" s="12">
        <f t="shared" ref="Z78:Z114" si="15">IF(T78=0,0,X78/T78)</f>
        <v>-0.39691183844061217</v>
      </c>
    </row>
    <row r="79" spans="1:26" s="24" customFormat="1" hidden="1" outlineLevel="1" x14ac:dyDescent="0.35">
      <c r="A79" s="51"/>
      <c r="B79" s="11" t="str">
        <f>CONCATENATE("          ", "5000", " - ", "PURCHASES @ COST")</f>
        <v xml:space="preserve">          5000 - PURCHASES @ COST</v>
      </c>
      <c r="C79" s="11"/>
      <c r="D79" s="2"/>
      <c r="E79" s="2"/>
      <c r="F79" s="22">
        <f t="shared" si="8"/>
        <v>0</v>
      </c>
      <c r="G79" s="2"/>
      <c r="H79" s="2">
        <v>1277300</v>
      </c>
      <c r="I79" s="2"/>
      <c r="J79" s="22">
        <f t="shared" si="9"/>
        <v>0.6429545809192545</v>
      </c>
      <c r="K79" s="2"/>
      <c r="L79" s="2">
        <f t="shared" si="10"/>
        <v>-1277300</v>
      </c>
      <c r="M79" s="2"/>
      <c r="N79" s="22">
        <f t="shared" si="11"/>
        <v>-1</v>
      </c>
      <c r="O79" s="11"/>
      <c r="P79" s="2"/>
      <c r="Q79" s="2"/>
      <c r="R79" s="22">
        <f t="shared" si="12"/>
        <v>0</v>
      </c>
      <c r="S79" s="2"/>
      <c r="T79" s="2">
        <v>4170354.9999999995</v>
      </c>
      <c r="U79" s="2"/>
      <c r="V79" s="22">
        <f t="shared" si="13"/>
        <v>0.60576831174686674</v>
      </c>
      <c r="W79" s="2"/>
      <c r="X79" s="2">
        <f t="shared" si="14"/>
        <v>-4170354.9999999995</v>
      </c>
      <c r="Y79" s="2"/>
      <c r="Z79" s="22">
        <f t="shared" si="15"/>
        <v>-1</v>
      </c>
    </row>
    <row r="80" spans="1:26" s="24" customFormat="1" hidden="1" outlineLevel="1" x14ac:dyDescent="0.35">
      <c r="A80" s="51"/>
      <c r="B80" s="11" t="str">
        <f>CONCATENATE("          ", "5001", " - ", "PURCHASES @ COST-NEW TEXT")</f>
        <v xml:space="preserve">          5001 - PURCHASES @ COST-NEW TEXT</v>
      </c>
      <c r="C80" s="11"/>
      <c r="D80" s="2">
        <v>381096.17</v>
      </c>
      <c r="E80" s="2"/>
      <c r="F80" s="22">
        <f t="shared" si="8"/>
        <v>0.32328511914160396</v>
      </c>
      <c r="G80" s="2"/>
      <c r="H80" s="2"/>
      <c r="I80" s="2"/>
      <c r="J80" s="22">
        <f t="shared" si="9"/>
        <v>0</v>
      </c>
      <c r="K80" s="2"/>
      <c r="L80" s="2">
        <f t="shared" si="10"/>
        <v>381096.17</v>
      </c>
      <c r="M80" s="2"/>
      <c r="N80" s="22">
        <f t="shared" si="11"/>
        <v>0</v>
      </c>
      <c r="O80" s="11"/>
      <c r="P80" s="2">
        <v>1659009.21</v>
      </c>
      <c r="Q80" s="2"/>
      <c r="R80" s="22">
        <f t="shared" si="12"/>
        <v>0.42757695372085841</v>
      </c>
      <c r="S80" s="2"/>
      <c r="T80" s="2"/>
      <c r="U80" s="2"/>
      <c r="V80" s="22">
        <f t="shared" si="13"/>
        <v>0</v>
      </c>
      <c r="W80" s="2"/>
      <c r="X80" s="2">
        <f t="shared" si="14"/>
        <v>1659009.21</v>
      </c>
      <c r="Y80" s="2"/>
      <c r="Z80" s="22">
        <f t="shared" si="15"/>
        <v>0</v>
      </c>
    </row>
    <row r="81" spans="1:26" s="24" customFormat="1" hidden="1" outlineLevel="1" x14ac:dyDescent="0.35">
      <c r="A81" s="51"/>
      <c r="B81" s="11" t="str">
        <f>CONCATENATE("          ", "5002", " - ", "PURCHASES @ COST-USED TEXT")</f>
        <v xml:space="preserve">          5002 - PURCHASES @ COST-USED TEXT</v>
      </c>
      <c r="C81" s="11"/>
      <c r="D81" s="2">
        <v>95863.360000000001</v>
      </c>
      <c r="E81" s="2"/>
      <c r="F81" s="22">
        <f t="shared" si="8"/>
        <v>8.1321199735264915E-2</v>
      </c>
      <c r="G81" s="2"/>
      <c r="H81" s="2"/>
      <c r="I81" s="2"/>
      <c r="J81" s="22">
        <f t="shared" si="9"/>
        <v>0</v>
      </c>
      <c r="K81" s="2"/>
      <c r="L81" s="2">
        <f t="shared" si="10"/>
        <v>95863.360000000001</v>
      </c>
      <c r="M81" s="2"/>
      <c r="N81" s="22">
        <f t="shared" si="11"/>
        <v>0</v>
      </c>
      <c r="O81" s="11"/>
      <c r="P81" s="2">
        <v>260336.28</v>
      </c>
      <c r="Q81" s="2"/>
      <c r="R81" s="22">
        <f t="shared" si="12"/>
        <v>6.7096549479324738E-2</v>
      </c>
      <c r="S81" s="2"/>
      <c r="T81" s="2"/>
      <c r="U81" s="2"/>
      <c r="V81" s="22">
        <f t="shared" si="13"/>
        <v>0</v>
      </c>
      <c r="W81" s="2"/>
      <c r="X81" s="2">
        <f t="shared" si="14"/>
        <v>260336.28</v>
      </c>
      <c r="Y81" s="2"/>
      <c r="Z81" s="22">
        <f t="shared" si="15"/>
        <v>0</v>
      </c>
    </row>
    <row r="82" spans="1:26" s="24" customFormat="1" hidden="1" outlineLevel="1" x14ac:dyDescent="0.35">
      <c r="A82" s="51"/>
      <c r="B82" s="11" t="str">
        <f>CONCATENATE("          ", "5003", " - ", "PURCHASES @ COST-RENTAL TEXT")</f>
        <v xml:space="preserve">          5003 - PURCHASES @ COST-RENTAL TEXT</v>
      </c>
      <c r="C82" s="11"/>
      <c r="D82" s="2"/>
      <c r="E82" s="2"/>
      <c r="F82" s="22">
        <f t="shared" si="8"/>
        <v>0</v>
      </c>
      <c r="G82" s="2"/>
      <c r="H82" s="2"/>
      <c r="I82" s="2"/>
      <c r="J82" s="22">
        <f t="shared" si="9"/>
        <v>0</v>
      </c>
      <c r="K82" s="2"/>
      <c r="L82" s="2">
        <f t="shared" si="10"/>
        <v>0</v>
      </c>
      <c r="M82" s="2"/>
      <c r="N82" s="22">
        <f t="shared" si="11"/>
        <v>0</v>
      </c>
      <c r="O82" s="11"/>
      <c r="P82" s="2">
        <v>32.520000000000003</v>
      </c>
      <c r="Q82" s="2"/>
      <c r="R82" s="22">
        <f t="shared" si="12"/>
        <v>8.3813895975913944E-6</v>
      </c>
      <c r="S82" s="2"/>
      <c r="T82" s="2"/>
      <c r="U82" s="2"/>
      <c r="V82" s="22">
        <f t="shared" si="13"/>
        <v>0</v>
      </c>
      <c r="W82" s="2"/>
      <c r="X82" s="2">
        <f t="shared" si="14"/>
        <v>32.520000000000003</v>
      </c>
      <c r="Y82" s="2"/>
      <c r="Z82" s="22">
        <f t="shared" si="15"/>
        <v>0</v>
      </c>
    </row>
    <row r="83" spans="1:26" s="24" customFormat="1" hidden="1" outlineLevel="1" x14ac:dyDescent="0.35">
      <c r="A83" s="51"/>
      <c r="B83" s="11" t="str">
        <f>CONCATENATE("          ", "5004", " - ", "PURCHASES @ COST-DIGITAL TEXT")</f>
        <v xml:space="preserve">          5004 - PURCHASES @ COST-DIGITAL TEXT</v>
      </c>
      <c r="C83" s="11"/>
      <c r="D83" s="2">
        <v>18888.449999999997</v>
      </c>
      <c r="E83" s="2"/>
      <c r="F83" s="22">
        <f t="shared" si="8"/>
        <v>1.6023133501053628E-2</v>
      </c>
      <c r="G83" s="2"/>
      <c r="H83" s="2"/>
      <c r="I83" s="2"/>
      <c r="J83" s="22">
        <f t="shared" si="9"/>
        <v>0</v>
      </c>
      <c r="K83" s="2"/>
      <c r="L83" s="2">
        <f t="shared" si="10"/>
        <v>18888.449999999997</v>
      </c>
      <c r="M83" s="2"/>
      <c r="N83" s="22">
        <f t="shared" si="11"/>
        <v>0</v>
      </c>
      <c r="O83" s="11"/>
      <c r="P83" s="2">
        <v>216726.56</v>
      </c>
      <c r="Q83" s="2"/>
      <c r="R83" s="22">
        <f t="shared" si="12"/>
        <v>5.5857002936831705E-2</v>
      </c>
      <c r="S83" s="2"/>
      <c r="T83" s="2"/>
      <c r="U83" s="2"/>
      <c r="V83" s="22">
        <f t="shared" si="13"/>
        <v>0</v>
      </c>
      <c r="W83" s="2"/>
      <c r="X83" s="2">
        <f t="shared" si="14"/>
        <v>216726.56</v>
      </c>
      <c r="Y83" s="2"/>
      <c r="Z83" s="22">
        <f t="shared" si="15"/>
        <v>0</v>
      </c>
    </row>
    <row r="84" spans="1:26" s="24" customFormat="1" hidden="1" outlineLevel="1" x14ac:dyDescent="0.35">
      <c r="A84" s="51"/>
      <c r="B84" s="11" t="str">
        <f>CONCATENATE("          ", "5011", " - ", "PURCHASES @ COST-NO VALUE TEXT")</f>
        <v xml:space="preserve">          5011 - PURCHASES @ COST-NO VALUE TEXT</v>
      </c>
      <c r="C84" s="11"/>
      <c r="D84" s="2"/>
      <c r="E84" s="2"/>
      <c r="F84" s="22">
        <f t="shared" si="8"/>
        <v>0</v>
      </c>
      <c r="G84" s="2"/>
      <c r="H84" s="2"/>
      <c r="I84" s="2"/>
      <c r="J84" s="22">
        <f t="shared" si="9"/>
        <v>0</v>
      </c>
      <c r="K84" s="2"/>
      <c r="L84" s="2">
        <f t="shared" si="10"/>
        <v>0</v>
      </c>
      <c r="M84" s="2"/>
      <c r="N84" s="22">
        <f t="shared" si="11"/>
        <v>0</v>
      </c>
      <c r="O84" s="11"/>
      <c r="P84" s="2">
        <v>67.17</v>
      </c>
      <c r="Q84" s="2"/>
      <c r="R84" s="22">
        <f t="shared" si="12"/>
        <v>1.7311744750006579E-5</v>
      </c>
      <c r="S84" s="2"/>
      <c r="T84" s="2"/>
      <c r="U84" s="2"/>
      <c r="V84" s="22">
        <f t="shared" si="13"/>
        <v>0</v>
      </c>
      <c r="W84" s="2"/>
      <c r="X84" s="2">
        <f t="shared" si="14"/>
        <v>67.17</v>
      </c>
      <c r="Y84" s="2"/>
      <c r="Z84" s="22">
        <f t="shared" si="15"/>
        <v>0</v>
      </c>
    </row>
    <row r="85" spans="1:26" s="24" customFormat="1" hidden="1" outlineLevel="1" x14ac:dyDescent="0.35">
      <c r="A85" s="51"/>
      <c r="B85" s="11" t="str">
        <f>CONCATENATE("          ", "5013", " - ", "PURCHASES @ COST-TRADE BOOKS")</f>
        <v xml:space="preserve">          5013 - PURCHASES @ COST-TRADE BOOKS</v>
      </c>
      <c r="C85" s="11"/>
      <c r="D85" s="2">
        <v>3531.13</v>
      </c>
      <c r="E85" s="2"/>
      <c r="F85" s="22">
        <f t="shared" si="8"/>
        <v>2.9954690511701867E-3</v>
      </c>
      <c r="G85" s="2"/>
      <c r="H85" s="2"/>
      <c r="I85" s="2"/>
      <c r="J85" s="22">
        <f t="shared" si="9"/>
        <v>0</v>
      </c>
      <c r="K85" s="2"/>
      <c r="L85" s="2">
        <f t="shared" si="10"/>
        <v>3531.13</v>
      </c>
      <c r="M85" s="2"/>
      <c r="N85" s="22">
        <f t="shared" si="11"/>
        <v>0</v>
      </c>
      <c r="O85" s="11"/>
      <c r="P85" s="2">
        <v>5656.98</v>
      </c>
      <c r="Q85" s="2"/>
      <c r="R85" s="22">
        <f t="shared" si="12"/>
        <v>1.4579751945197588E-3</v>
      </c>
      <c r="S85" s="2"/>
      <c r="T85" s="2"/>
      <c r="U85" s="2"/>
      <c r="V85" s="22">
        <f t="shared" si="13"/>
        <v>0</v>
      </c>
      <c r="W85" s="2"/>
      <c r="X85" s="2">
        <f t="shared" si="14"/>
        <v>5656.98</v>
      </c>
      <c r="Y85" s="2"/>
      <c r="Z85" s="22">
        <f t="shared" si="15"/>
        <v>0</v>
      </c>
    </row>
    <row r="86" spans="1:26" s="24" customFormat="1" hidden="1" outlineLevel="1" x14ac:dyDescent="0.35">
      <c r="A86" s="51"/>
      <c r="B86" s="11" t="str">
        <f>CONCATENATE("          ", "5014", " - ", "PURCHASES @ COST-REMAINDERS")</f>
        <v xml:space="preserve">          5014 - PURCHASES @ COST-REMAINDERS</v>
      </c>
      <c r="C86" s="11"/>
      <c r="D86" s="2"/>
      <c r="E86" s="2"/>
      <c r="F86" s="22">
        <f t="shared" si="8"/>
        <v>0</v>
      </c>
      <c r="G86" s="2"/>
      <c r="H86" s="2"/>
      <c r="I86" s="2"/>
      <c r="J86" s="22">
        <f t="shared" si="9"/>
        <v>0</v>
      </c>
      <c r="K86" s="2"/>
      <c r="L86" s="2">
        <f t="shared" si="10"/>
        <v>0</v>
      </c>
      <c r="M86" s="2"/>
      <c r="N86" s="22">
        <f t="shared" si="11"/>
        <v>0</v>
      </c>
      <c r="O86" s="11"/>
      <c r="P86" s="2">
        <v>90.41</v>
      </c>
      <c r="Q86" s="2"/>
      <c r="R86" s="22">
        <f t="shared" si="12"/>
        <v>2.3301397094656761E-5</v>
      </c>
      <c r="S86" s="2"/>
      <c r="T86" s="2"/>
      <c r="U86" s="2"/>
      <c r="V86" s="22">
        <f t="shared" si="13"/>
        <v>0</v>
      </c>
      <c r="W86" s="2"/>
      <c r="X86" s="2">
        <f t="shared" si="14"/>
        <v>90.41</v>
      </c>
      <c r="Y86" s="2"/>
      <c r="Z86" s="22">
        <f t="shared" si="15"/>
        <v>0</v>
      </c>
    </row>
    <row r="87" spans="1:26" s="24" customFormat="1" hidden="1" outlineLevel="1" x14ac:dyDescent="0.35">
      <c r="A87" s="51"/>
      <c r="B87" s="11" t="str">
        <f>CONCATENATE("          ", "5018", " - ", "PURCHASES @ COST-STUDY GUIDES")</f>
        <v xml:space="preserve">          5018 - PURCHASES @ COST-STUDY GUIDES</v>
      </c>
      <c r="C87" s="11"/>
      <c r="D87" s="2">
        <v>416</v>
      </c>
      <c r="E87" s="2"/>
      <c r="F87" s="22">
        <f t="shared" si="8"/>
        <v>3.5289415152849019E-4</v>
      </c>
      <c r="G87" s="2"/>
      <c r="H87" s="2"/>
      <c r="I87" s="2"/>
      <c r="J87" s="22">
        <f t="shared" si="9"/>
        <v>0</v>
      </c>
      <c r="K87" s="2"/>
      <c r="L87" s="2">
        <f t="shared" si="10"/>
        <v>416</v>
      </c>
      <c r="M87" s="2"/>
      <c r="N87" s="22">
        <f t="shared" si="11"/>
        <v>0</v>
      </c>
      <c r="O87" s="11"/>
      <c r="P87" s="2">
        <v>522.34</v>
      </c>
      <c r="Q87" s="2"/>
      <c r="R87" s="22">
        <f t="shared" si="12"/>
        <v>1.3462284878246891E-4</v>
      </c>
      <c r="S87" s="2"/>
      <c r="T87" s="2"/>
      <c r="U87" s="2"/>
      <c r="V87" s="22">
        <f t="shared" si="13"/>
        <v>0</v>
      </c>
      <c r="W87" s="2"/>
      <c r="X87" s="2">
        <f t="shared" si="14"/>
        <v>522.34</v>
      </c>
      <c r="Y87" s="2"/>
      <c r="Z87" s="22">
        <f t="shared" si="15"/>
        <v>0</v>
      </c>
    </row>
    <row r="88" spans="1:26" s="24" customFormat="1" hidden="1" outlineLevel="1" x14ac:dyDescent="0.35">
      <c r="A88" s="51"/>
      <c r="B88" s="11" t="str">
        <f>CONCATENATE("          ", "5025", " - ", "PURCHASES @ COST-TEST FORMS")</f>
        <v xml:space="preserve">          5025 - PURCHASES @ COST-TEST FORMS</v>
      </c>
      <c r="C88" s="11"/>
      <c r="D88" s="2"/>
      <c r="E88" s="2"/>
      <c r="F88" s="22">
        <f t="shared" si="8"/>
        <v>0</v>
      </c>
      <c r="G88" s="2"/>
      <c r="H88" s="2"/>
      <c r="I88" s="2"/>
      <c r="J88" s="22">
        <f t="shared" si="9"/>
        <v>0</v>
      </c>
      <c r="K88" s="2"/>
      <c r="L88" s="2">
        <f t="shared" si="10"/>
        <v>0</v>
      </c>
      <c r="M88" s="2"/>
      <c r="N88" s="22">
        <f t="shared" si="11"/>
        <v>0</v>
      </c>
      <c r="O88" s="11"/>
      <c r="P88" s="2">
        <v>599.29</v>
      </c>
      <c r="Q88" s="2"/>
      <c r="R88" s="22">
        <f t="shared" si="12"/>
        <v>1.544551959391312E-4</v>
      </c>
      <c r="S88" s="2"/>
      <c r="T88" s="2"/>
      <c r="U88" s="2"/>
      <c r="V88" s="22">
        <f t="shared" si="13"/>
        <v>0</v>
      </c>
      <c r="W88" s="2"/>
      <c r="X88" s="2">
        <f t="shared" si="14"/>
        <v>599.29</v>
      </c>
      <c r="Y88" s="2"/>
      <c r="Z88" s="22">
        <f t="shared" si="15"/>
        <v>0</v>
      </c>
    </row>
    <row r="89" spans="1:26" s="24" customFormat="1" hidden="1" outlineLevel="1" x14ac:dyDescent="0.35">
      <c r="A89" s="51"/>
      <c r="B89" s="11" t="str">
        <f>CONCATENATE("          ", "5026", " - ", "PURCHASES @ COST-WRITING INSTR")</f>
        <v xml:space="preserve">          5026 - PURCHASES @ COST-WRITING INSTR</v>
      </c>
      <c r="C89" s="11"/>
      <c r="D89" s="2"/>
      <c r="E89" s="2"/>
      <c r="F89" s="22">
        <f t="shared" si="8"/>
        <v>0</v>
      </c>
      <c r="G89" s="2"/>
      <c r="H89" s="2"/>
      <c r="I89" s="2"/>
      <c r="J89" s="22">
        <f t="shared" si="9"/>
        <v>0</v>
      </c>
      <c r="K89" s="2"/>
      <c r="L89" s="2">
        <f t="shared" si="10"/>
        <v>0</v>
      </c>
      <c r="M89" s="2"/>
      <c r="N89" s="22">
        <f t="shared" si="11"/>
        <v>0</v>
      </c>
      <c r="O89" s="11"/>
      <c r="P89" s="2">
        <v>374.91</v>
      </c>
      <c r="Q89" s="2"/>
      <c r="R89" s="22">
        <f t="shared" si="12"/>
        <v>9.6625669558210014E-5</v>
      </c>
      <c r="S89" s="2"/>
      <c r="T89" s="2"/>
      <c r="U89" s="2"/>
      <c r="V89" s="22">
        <f t="shared" si="13"/>
        <v>0</v>
      </c>
      <c r="W89" s="2"/>
      <c r="X89" s="2">
        <f t="shared" si="14"/>
        <v>374.91</v>
      </c>
      <c r="Y89" s="2"/>
      <c r="Z89" s="22">
        <f t="shared" si="15"/>
        <v>0</v>
      </c>
    </row>
    <row r="90" spans="1:26" s="24" customFormat="1" hidden="1" outlineLevel="1" x14ac:dyDescent="0.35">
      <c r="A90" s="51"/>
      <c r="B90" s="11" t="str">
        <f>CONCATENATE("          ", "5027", " - ", "PURCHASES @ COST-SCHOOL SUPPLI")</f>
        <v xml:space="preserve">          5027 - PURCHASES @ COST-SCHOOL SUPPLI</v>
      </c>
      <c r="C90" s="11"/>
      <c r="D90" s="2"/>
      <c r="E90" s="2"/>
      <c r="F90" s="22">
        <f t="shared" si="8"/>
        <v>0</v>
      </c>
      <c r="G90" s="2"/>
      <c r="H90" s="2"/>
      <c r="I90" s="2"/>
      <c r="J90" s="22">
        <f t="shared" si="9"/>
        <v>0</v>
      </c>
      <c r="K90" s="2"/>
      <c r="L90" s="2">
        <f t="shared" si="10"/>
        <v>0</v>
      </c>
      <c r="M90" s="2"/>
      <c r="N90" s="22">
        <f t="shared" si="11"/>
        <v>0</v>
      </c>
      <c r="O90" s="11"/>
      <c r="P90" s="2">
        <v>19071.350000000002</v>
      </c>
      <c r="Q90" s="2"/>
      <c r="R90" s="22">
        <f t="shared" si="12"/>
        <v>4.9152648985862435E-3</v>
      </c>
      <c r="S90" s="2"/>
      <c r="T90" s="2"/>
      <c r="U90" s="2"/>
      <c r="V90" s="22">
        <f t="shared" si="13"/>
        <v>0</v>
      </c>
      <c r="W90" s="2"/>
      <c r="X90" s="2">
        <f t="shared" si="14"/>
        <v>19071.350000000002</v>
      </c>
      <c r="Y90" s="2"/>
      <c r="Z90" s="22">
        <f t="shared" si="15"/>
        <v>0</v>
      </c>
    </row>
    <row r="91" spans="1:26" s="24" customFormat="1" hidden="1" outlineLevel="1" x14ac:dyDescent="0.35">
      <c r="A91" s="51"/>
      <c r="B91" s="11" t="str">
        <f>CONCATENATE("          ", "5028", " - ", "PURCHASES @ COST-ART/TECH")</f>
        <v xml:space="preserve">          5028 - PURCHASES @ COST-ART/TECH</v>
      </c>
      <c r="C91" s="11"/>
      <c r="D91" s="2"/>
      <c r="E91" s="2"/>
      <c r="F91" s="22">
        <f t="shared" si="8"/>
        <v>0</v>
      </c>
      <c r="G91" s="2"/>
      <c r="H91" s="2"/>
      <c r="I91" s="2"/>
      <c r="J91" s="22">
        <f t="shared" si="9"/>
        <v>0</v>
      </c>
      <c r="K91" s="2"/>
      <c r="L91" s="2">
        <f t="shared" si="10"/>
        <v>0</v>
      </c>
      <c r="M91" s="2"/>
      <c r="N91" s="22">
        <f t="shared" si="11"/>
        <v>0</v>
      </c>
      <c r="O91" s="11"/>
      <c r="P91" s="2">
        <v>41358.449999999997</v>
      </c>
      <c r="Q91" s="2"/>
      <c r="R91" s="22">
        <f t="shared" si="12"/>
        <v>1.0659326033287325E-2</v>
      </c>
      <c r="S91" s="2"/>
      <c r="T91" s="2"/>
      <c r="U91" s="2"/>
      <c r="V91" s="22">
        <f t="shared" si="13"/>
        <v>0</v>
      </c>
      <c r="W91" s="2"/>
      <c r="X91" s="2">
        <f t="shared" si="14"/>
        <v>41358.449999999997</v>
      </c>
      <c r="Y91" s="2"/>
      <c r="Z91" s="22">
        <f t="shared" si="15"/>
        <v>0</v>
      </c>
    </row>
    <row r="92" spans="1:26" s="24" customFormat="1" hidden="1" outlineLevel="1" x14ac:dyDescent="0.35">
      <c r="A92" s="51"/>
      <c r="B92" s="11" t="str">
        <f>CONCATENATE("          ", "5031", " - ", "PURCHASES @ COST-FOOD")</f>
        <v xml:space="preserve">          5031 - PURCHASES @ COST-FOOD</v>
      </c>
      <c r="C92" s="11"/>
      <c r="D92" s="2">
        <v>239.16</v>
      </c>
      <c r="E92" s="2"/>
      <c r="F92" s="22">
        <f t="shared" si="8"/>
        <v>2.0288020499892719E-4</v>
      </c>
      <c r="G92" s="2"/>
      <c r="H92" s="2"/>
      <c r="I92" s="2"/>
      <c r="J92" s="22">
        <f t="shared" si="9"/>
        <v>0</v>
      </c>
      <c r="K92" s="2"/>
      <c r="L92" s="2">
        <f t="shared" si="10"/>
        <v>239.16</v>
      </c>
      <c r="M92" s="2"/>
      <c r="N92" s="22">
        <f t="shared" si="11"/>
        <v>0</v>
      </c>
      <c r="O92" s="11"/>
      <c r="P92" s="2">
        <v>7514.26</v>
      </c>
      <c r="Q92" s="2"/>
      <c r="R92" s="22">
        <f t="shared" si="12"/>
        <v>1.9366525399015101E-3</v>
      </c>
      <c r="S92" s="2"/>
      <c r="T92" s="2"/>
      <c r="U92" s="2"/>
      <c r="V92" s="22">
        <f t="shared" si="13"/>
        <v>0</v>
      </c>
      <c r="W92" s="2"/>
      <c r="X92" s="2">
        <f t="shared" si="14"/>
        <v>7514.26</v>
      </c>
      <c r="Y92" s="2"/>
      <c r="Z92" s="22">
        <f t="shared" si="15"/>
        <v>0</v>
      </c>
    </row>
    <row r="93" spans="1:26" s="24" customFormat="1" hidden="1" outlineLevel="1" x14ac:dyDescent="0.35">
      <c r="A93" s="51"/>
      <c r="B93" s="11" t="str">
        <f>CONCATENATE("          ", "5040", " - ", "PURCHASES @ COST-LOGO CLOTHING")</f>
        <v xml:space="preserve">          5040 - PURCHASES @ COST-LOGO CLOTHING</v>
      </c>
      <c r="C93" s="11"/>
      <c r="D93" s="2">
        <v>34900.79</v>
      </c>
      <c r="E93" s="2"/>
      <c r="F93" s="22">
        <f t="shared" si="8"/>
        <v>2.9606453545009653E-2</v>
      </c>
      <c r="G93" s="2"/>
      <c r="H93" s="2"/>
      <c r="I93" s="2"/>
      <c r="J93" s="22">
        <f t="shared" si="9"/>
        <v>0</v>
      </c>
      <c r="K93" s="2"/>
      <c r="L93" s="2">
        <f t="shared" si="10"/>
        <v>34900.79</v>
      </c>
      <c r="M93" s="2"/>
      <c r="N93" s="22">
        <f t="shared" si="11"/>
        <v>0</v>
      </c>
      <c r="O93" s="11"/>
      <c r="P93" s="2">
        <v>167371.19</v>
      </c>
      <c r="Q93" s="2"/>
      <c r="R93" s="22">
        <f t="shared" si="12"/>
        <v>4.3136628253459187E-2</v>
      </c>
      <c r="S93" s="2"/>
      <c r="T93" s="2"/>
      <c r="U93" s="2"/>
      <c r="V93" s="22">
        <f t="shared" si="13"/>
        <v>0</v>
      </c>
      <c r="W93" s="2"/>
      <c r="X93" s="2">
        <f t="shared" si="14"/>
        <v>167371.19</v>
      </c>
      <c r="Y93" s="2"/>
      <c r="Z93" s="22">
        <f t="shared" si="15"/>
        <v>0</v>
      </c>
    </row>
    <row r="94" spans="1:26" s="24" customFormat="1" hidden="1" outlineLevel="1" x14ac:dyDescent="0.35">
      <c r="A94" s="51"/>
      <c r="B94" s="11" t="str">
        <f>CONCATENATE("          ", "5041", " - ", "PURCHASES @ COST-LOGO GIFTS")</f>
        <v xml:space="preserve">          5041 - PURCHASES @ COST-LOGO GIFTS</v>
      </c>
      <c r="C94" s="11"/>
      <c r="D94" s="2">
        <v>8769.24</v>
      </c>
      <c r="E94" s="2"/>
      <c r="F94" s="22">
        <f t="shared" si="8"/>
        <v>7.4389747820906181E-3</v>
      </c>
      <c r="G94" s="2"/>
      <c r="H94" s="2"/>
      <c r="I94" s="2"/>
      <c r="J94" s="22">
        <f t="shared" si="9"/>
        <v>0</v>
      </c>
      <c r="K94" s="2"/>
      <c r="L94" s="2">
        <f t="shared" si="10"/>
        <v>8769.24</v>
      </c>
      <c r="M94" s="2"/>
      <c r="N94" s="22">
        <f t="shared" si="11"/>
        <v>0</v>
      </c>
      <c r="O94" s="11"/>
      <c r="P94" s="2">
        <v>40971</v>
      </c>
      <c r="Q94" s="2"/>
      <c r="R94" s="22">
        <f t="shared" si="12"/>
        <v>1.0559468425673955E-2</v>
      </c>
      <c r="S94" s="2"/>
      <c r="T94" s="2"/>
      <c r="U94" s="2"/>
      <c r="V94" s="22">
        <f t="shared" si="13"/>
        <v>0</v>
      </c>
      <c r="W94" s="2"/>
      <c r="X94" s="2">
        <f t="shared" si="14"/>
        <v>40971</v>
      </c>
      <c r="Y94" s="2"/>
      <c r="Z94" s="22">
        <f t="shared" si="15"/>
        <v>0</v>
      </c>
    </row>
    <row r="95" spans="1:26" s="24" customFormat="1" hidden="1" outlineLevel="1" x14ac:dyDescent="0.35">
      <c r="A95" s="51"/>
      <c r="B95" s="11" t="str">
        <f>CONCATENATE("          ", "5042", " - ", "PURCHASES @ COST-EVERYDAY GIFT")</f>
        <v xml:space="preserve">          5042 - PURCHASES @ COST-EVERYDAY GIFT</v>
      </c>
      <c r="C95" s="11"/>
      <c r="D95" s="2">
        <v>6760.7</v>
      </c>
      <c r="E95" s="2"/>
      <c r="F95" s="22">
        <f t="shared" si="8"/>
        <v>5.7351237746121721E-3</v>
      </c>
      <c r="G95" s="2"/>
      <c r="H95" s="2"/>
      <c r="I95" s="2"/>
      <c r="J95" s="22">
        <f t="shared" si="9"/>
        <v>0</v>
      </c>
      <c r="K95" s="2"/>
      <c r="L95" s="2">
        <f t="shared" si="10"/>
        <v>6760.7</v>
      </c>
      <c r="M95" s="2"/>
      <c r="N95" s="22">
        <f t="shared" si="11"/>
        <v>0</v>
      </c>
      <c r="O95" s="11"/>
      <c r="P95" s="2">
        <v>17821.98</v>
      </c>
      <c r="Q95" s="2"/>
      <c r="R95" s="22">
        <f t="shared" si="12"/>
        <v>4.5932643843936615E-3</v>
      </c>
      <c r="S95" s="2"/>
      <c r="T95" s="2"/>
      <c r="U95" s="2"/>
      <c r="V95" s="22">
        <f t="shared" si="13"/>
        <v>0</v>
      </c>
      <c r="W95" s="2"/>
      <c r="X95" s="2">
        <f t="shared" si="14"/>
        <v>17821.98</v>
      </c>
      <c r="Y95" s="2"/>
      <c r="Z95" s="22">
        <f t="shared" si="15"/>
        <v>0</v>
      </c>
    </row>
    <row r="96" spans="1:26" s="24" customFormat="1" hidden="1" outlineLevel="1" x14ac:dyDescent="0.35">
      <c r="A96" s="51"/>
      <c r="B96" s="11" t="str">
        <f>CONCATENATE("          ", "5043", " - ", "PURCHASES @ COST-CARDS")</f>
        <v xml:space="preserve">          5043 - PURCHASES @ COST-CARDS</v>
      </c>
      <c r="C96" s="11"/>
      <c r="D96" s="2">
        <v>8743.1</v>
      </c>
      <c r="E96" s="2"/>
      <c r="F96" s="22">
        <f t="shared" si="8"/>
        <v>7.4168001351652465E-3</v>
      </c>
      <c r="G96" s="2"/>
      <c r="H96" s="2"/>
      <c r="I96" s="2"/>
      <c r="J96" s="22">
        <f t="shared" si="9"/>
        <v>0</v>
      </c>
      <c r="K96" s="2"/>
      <c r="L96" s="2">
        <f t="shared" si="10"/>
        <v>8743.1</v>
      </c>
      <c r="M96" s="2"/>
      <c r="N96" s="22">
        <f t="shared" si="11"/>
        <v>0</v>
      </c>
      <c r="O96" s="11"/>
      <c r="P96" s="2">
        <v>55364.33</v>
      </c>
      <c r="Q96" s="2"/>
      <c r="R96" s="22">
        <f t="shared" si="12"/>
        <v>1.4269065791501143E-2</v>
      </c>
      <c r="S96" s="2"/>
      <c r="T96" s="2"/>
      <c r="U96" s="2"/>
      <c r="V96" s="22">
        <f t="shared" si="13"/>
        <v>0</v>
      </c>
      <c r="W96" s="2"/>
      <c r="X96" s="2">
        <f t="shared" si="14"/>
        <v>55364.33</v>
      </c>
      <c r="Y96" s="2"/>
      <c r="Z96" s="22">
        <f t="shared" si="15"/>
        <v>0</v>
      </c>
    </row>
    <row r="97" spans="1:26" s="24" customFormat="1" hidden="1" outlineLevel="1" x14ac:dyDescent="0.35">
      <c r="A97" s="51"/>
      <c r="B97" s="11" t="str">
        <f>CONCATENATE("          ", "5044", " - ", "PURCHASES @ COST-ACCESSORIES")</f>
        <v xml:space="preserve">          5044 - PURCHASES @ COST-ACCESSORIES</v>
      </c>
      <c r="C97" s="11"/>
      <c r="D97" s="2">
        <v>782.5</v>
      </c>
      <c r="E97" s="2"/>
      <c r="F97" s="22">
        <f t="shared" si="8"/>
        <v>6.6379729223808555E-4</v>
      </c>
      <c r="G97" s="2"/>
      <c r="H97" s="2"/>
      <c r="I97" s="2"/>
      <c r="J97" s="22">
        <f t="shared" si="9"/>
        <v>0</v>
      </c>
      <c r="K97" s="2"/>
      <c r="L97" s="2">
        <f t="shared" si="10"/>
        <v>782.5</v>
      </c>
      <c r="M97" s="2"/>
      <c r="N97" s="22">
        <f t="shared" si="11"/>
        <v>0</v>
      </c>
      <c r="O97" s="11"/>
      <c r="P97" s="2">
        <v>1064.83</v>
      </c>
      <c r="Q97" s="2"/>
      <c r="R97" s="22">
        <f t="shared" si="12"/>
        <v>2.7443896325963233E-4</v>
      </c>
      <c r="S97" s="2"/>
      <c r="T97" s="2"/>
      <c r="U97" s="2"/>
      <c r="V97" s="22">
        <f t="shared" si="13"/>
        <v>0</v>
      </c>
      <c r="W97" s="2"/>
      <c r="X97" s="2">
        <f t="shared" si="14"/>
        <v>1064.83</v>
      </c>
      <c r="Y97" s="2"/>
      <c r="Z97" s="22">
        <f t="shared" si="15"/>
        <v>0</v>
      </c>
    </row>
    <row r="98" spans="1:26" s="24" customFormat="1" hidden="1" outlineLevel="1" x14ac:dyDescent="0.35">
      <c r="A98" s="51"/>
      <c r="B98" s="11" t="str">
        <f>CONCATENATE("          ", "5045", " - ", "PURCHASES @ COST-SPECIAL ORDER")</f>
        <v xml:space="preserve">          5045 - PURCHASES @ COST-SPECIAL ORDER</v>
      </c>
      <c r="C98" s="11"/>
      <c r="D98" s="2">
        <v>5855.38</v>
      </c>
      <c r="E98" s="2"/>
      <c r="F98" s="22">
        <f t="shared" si="8"/>
        <v>4.9671378773482955E-3</v>
      </c>
      <c r="G98" s="2"/>
      <c r="H98" s="2"/>
      <c r="I98" s="2"/>
      <c r="J98" s="22">
        <f t="shared" si="9"/>
        <v>0</v>
      </c>
      <c r="K98" s="2"/>
      <c r="L98" s="2">
        <f t="shared" si="10"/>
        <v>5855.38</v>
      </c>
      <c r="M98" s="2"/>
      <c r="N98" s="22">
        <f t="shared" si="11"/>
        <v>0</v>
      </c>
      <c r="O98" s="11"/>
      <c r="P98" s="2">
        <v>93464.38</v>
      </c>
      <c r="Q98" s="2"/>
      <c r="R98" s="22">
        <f t="shared" si="12"/>
        <v>2.4088603391061784E-2</v>
      </c>
      <c r="S98" s="2"/>
      <c r="T98" s="2"/>
      <c r="U98" s="2"/>
      <c r="V98" s="22">
        <f t="shared" si="13"/>
        <v>0</v>
      </c>
      <c r="W98" s="2"/>
      <c r="X98" s="2">
        <f t="shared" si="14"/>
        <v>93464.38</v>
      </c>
      <c r="Y98" s="2"/>
      <c r="Z98" s="22">
        <f t="shared" si="15"/>
        <v>0</v>
      </c>
    </row>
    <row r="99" spans="1:26" s="24" customFormat="1" hidden="1" outlineLevel="1" x14ac:dyDescent="0.35">
      <c r="A99" s="51"/>
      <c r="B99" s="11" t="str">
        <f>CONCATENATE("          ", "5053", " - ", "PURCHASES @ COST-FOOD")</f>
        <v xml:space="preserve">          5053 - PURCHASES @ COST-FOOD</v>
      </c>
      <c r="C99" s="11"/>
      <c r="D99" s="2">
        <v>-257.75</v>
      </c>
      <c r="E99" s="2"/>
      <c r="F99" s="22">
        <f t="shared" si="8"/>
        <v>-2.186501623953566E-4</v>
      </c>
      <c r="G99" s="2"/>
      <c r="H99" s="2"/>
      <c r="I99" s="2"/>
      <c r="J99" s="22">
        <f t="shared" si="9"/>
        <v>0</v>
      </c>
      <c r="K99" s="2"/>
      <c r="L99" s="2">
        <f t="shared" si="10"/>
        <v>-257.75</v>
      </c>
      <c r="M99" s="2"/>
      <c r="N99" s="22">
        <f t="shared" si="11"/>
        <v>0</v>
      </c>
      <c r="O99" s="11"/>
      <c r="P99" s="2">
        <v>-2822.95</v>
      </c>
      <c r="Q99" s="2"/>
      <c r="R99" s="22">
        <f t="shared" si="12"/>
        <v>-7.2755977135672276E-4</v>
      </c>
      <c r="S99" s="2"/>
      <c r="T99" s="2"/>
      <c r="U99" s="2"/>
      <c r="V99" s="22">
        <f t="shared" si="13"/>
        <v>0</v>
      </c>
      <c r="W99" s="2"/>
      <c r="X99" s="2">
        <f t="shared" si="14"/>
        <v>-2822.95</v>
      </c>
      <c r="Y99" s="2"/>
      <c r="Z99" s="22">
        <f t="shared" si="15"/>
        <v>0</v>
      </c>
    </row>
    <row r="100" spans="1:26" s="24" customFormat="1" hidden="1" outlineLevel="1" x14ac:dyDescent="0.35">
      <c r="A100" s="51"/>
      <c r="B100" s="11" t="str">
        <f>CONCATENATE("          ", "5059", " - ", "PURCHASES @ COST-FOOD")</f>
        <v xml:space="preserve">          5059 - PURCHASES @ COST-FOOD</v>
      </c>
      <c r="C100" s="11"/>
      <c r="D100" s="2"/>
      <c r="E100" s="2"/>
      <c r="F100" s="22">
        <f t="shared" si="8"/>
        <v>0</v>
      </c>
      <c r="G100" s="2"/>
      <c r="H100" s="2"/>
      <c r="I100" s="2"/>
      <c r="J100" s="22">
        <f t="shared" si="9"/>
        <v>0</v>
      </c>
      <c r="K100" s="2"/>
      <c r="L100" s="2">
        <f t="shared" si="10"/>
        <v>0</v>
      </c>
      <c r="M100" s="2"/>
      <c r="N100" s="22">
        <f t="shared" si="11"/>
        <v>0</v>
      </c>
      <c r="O100" s="11"/>
      <c r="P100" s="2">
        <v>11697.91</v>
      </c>
      <c r="Q100" s="2"/>
      <c r="R100" s="22">
        <f t="shared" si="12"/>
        <v>3.0149059405768864E-3</v>
      </c>
      <c r="S100" s="2"/>
      <c r="T100" s="2"/>
      <c r="U100" s="2"/>
      <c r="V100" s="22">
        <f t="shared" si="13"/>
        <v>0</v>
      </c>
      <c r="W100" s="2"/>
      <c r="X100" s="2">
        <f t="shared" si="14"/>
        <v>11697.91</v>
      </c>
      <c r="Y100" s="2"/>
      <c r="Z100" s="22">
        <f t="shared" si="15"/>
        <v>0</v>
      </c>
    </row>
    <row r="101" spans="1:26" s="24" customFormat="1" hidden="1" outlineLevel="1" x14ac:dyDescent="0.35">
      <c r="A101" s="51"/>
      <c r="B101" s="11" t="str">
        <f>CONCATENATE("          ", "5200", " - ", "PURCHASES OFFSET")</f>
        <v xml:space="preserve">          5200 - PURCHASES OFFSET</v>
      </c>
      <c r="C101" s="11"/>
      <c r="D101" s="2">
        <v>-390760.97</v>
      </c>
      <c r="E101" s="2"/>
      <c r="F101" s="22">
        <f t="shared" si="8"/>
        <v>-0.33148380038124953</v>
      </c>
      <c r="G101" s="2"/>
      <c r="H101" s="2"/>
      <c r="I101" s="2"/>
      <c r="J101" s="22">
        <f t="shared" si="9"/>
        <v>0</v>
      </c>
      <c r="K101" s="2"/>
      <c r="L101" s="2">
        <f t="shared" si="10"/>
        <v>-390760.97</v>
      </c>
      <c r="M101" s="2"/>
      <c r="N101" s="22">
        <f t="shared" si="11"/>
        <v>0</v>
      </c>
      <c r="O101" s="11"/>
      <c r="P101" s="2">
        <v>-2135783.4</v>
      </c>
      <c r="Q101" s="2"/>
      <c r="R101" s="22">
        <f t="shared" si="12"/>
        <v>-0.55045611228377544</v>
      </c>
      <c r="S101" s="2"/>
      <c r="T101" s="2"/>
      <c r="U101" s="2"/>
      <c r="V101" s="22">
        <f t="shared" si="13"/>
        <v>0</v>
      </c>
      <c r="W101" s="2"/>
      <c r="X101" s="2">
        <f t="shared" si="14"/>
        <v>-2135783.4</v>
      </c>
      <c r="Y101" s="2"/>
      <c r="Z101" s="22">
        <f t="shared" si="15"/>
        <v>0</v>
      </c>
    </row>
    <row r="102" spans="1:26" s="24" customFormat="1" hidden="1" outlineLevel="1" x14ac:dyDescent="0.35">
      <c r="A102" s="51"/>
      <c r="B102" s="11" t="str">
        <f>CONCATENATE("          ", "5300", " - ", "COG$ OFFSET")</f>
        <v xml:space="preserve">          5300 - COG$ OFFSET</v>
      </c>
      <c r="C102" s="11"/>
      <c r="D102" s="2">
        <v>584457</v>
      </c>
      <c r="E102" s="2"/>
      <c r="F102" s="22">
        <f t="shared" si="8"/>
        <v>0.4957967719228048</v>
      </c>
      <c r="G102" s="2"/>
      <c r="H102" s="2"/>
      <c r="I102" s="2"/>
      <c r="J102" s="22">
        <f t="shared" si="9"/>
        <v>0</v>
      </c>
      <c r="K102" s="2"/>
      <c r="L102" s="2">
        <f t="shared" si="10"/>
        <v>584457</v>
      </c>
      <c r="M102" s="2"/>
      <c r="N102" s="22">
        <f t="shared" si="11"/>
        <v>0</v>
      </c>
      <c r="O102" s="11"/>
      <c r="P102" s="2">
        <v>1975590.0000000002</v>
      </c>
      <c r="Q102" s="2"/>
      <c r="R102" s="22">
        <f t="shared" si="12"/>
        <v>0.50916941805367721</v>
      </c>
      <c r="S102" s="2"/>
      <c r="T102" s="2"/>
      <c r="U102" s="2"/>
      <c r="V102" s="22">
        <f t="shared" si="13"/>
        <v>0</v>
      </c>
      <c r="W102" s="2"/>
      <c r="X102" s="2">
        <f t="shared" si="14"/>
        <v>1975590.0000000002</v>
      </c>
      <c r="Y102" s="2"/>
      <c r="Z102" s="22">
        <f t="shared" si="15"/>
        <v>0</v>
      </c>
    </row>
    <row r="103" spans="1:26" s="24" customFormat="1" hidden="1" outlineLevel="1" x14ac:dyDescent="0.35">
      <c r="A103" s="51"/>
      <c r="B103" s="11" t="str">
        <f>CONCATENATE("          ", "5501", " - ", "FREIGHT-IN-NEW TEXT")</f>
        <v xml:space="preserve">          5501 - FREIGHT-IN-NEW TEXT</v>
      </c>
      <c r="C103" s="11"/>
      <c r="D103" s="2">
        <v>7155.21</v>
      </c>
      <c r="E103" s="2"/>
      <c r="F103" s="22">
        <f t="shared" si="8"/>
        <v>6.0697878893225202E-3</v>
      </c>
      <c r="G103" s="2"/>
      <c r="H103" s="2"/>
      <c r="I103" s="2"/>
      <c r="J103" s="22">
        <f t="shared" si="9"/>
        <v>0</v>
      </c>
      <c r="K103" s="2"/>
      <c r="L103" s="2">
        <f t="shared" si="10"/>
        <v>7155.21</v>
      </c>
      <c r="M103" s="2"/>
      <c r="N103" s="22">
        <f t="shared" si="11"/>
        <v>0</v>
      </c>
      <c r="O103" s="11"/>
      <c r="P103" s="2">
        <v>44618.79</v>
      </c>
      <c r="Q103" s="2"/>
      <c r="R103" s="22">
        <f t="shared" si="12"/>
        <v>1.1499614463810422E-2</v>
      </c>
      <c r="S103" s="2"/>
      <c r="T103" s="2"/>
      <c r="U103" s="2"/>
      <c r="V103" s="22">
        <f t="shared" si="13"/>
        <v>0</v>
      </c>
      <c r="W103" s="2"/>
      <c r="X103" s="2">
        <f t="shared" si="14"/>
        <v>44618.79</v>
      </c>
      <c r="Y103" s="2"/>
      <c r="Z103" s="22">
        <f t="shared" si="15"/>
        <v>0</v>
      </c>
    </row>
    <row r="104" spans="1:26" s="24" customFormat="1" hidden="1" outlineLevel="1" x14ac:dyDescent="0.35">
      <c r="A104" s="51"/>
      <c r="B104" s="11" t="str">
        <f>CONCATENATE("          ", "5502", " - ", "FREIGHT-IN-USED TEXT")</f>
        <v xml:space="preserve">          5502 - FREIGHT-IN-USED TEXT</v>
      </c>
      <c r="C104" s="11"/>
      <c r="D104" s="2">
        <v>2129.7399999999998</v>
      </c>
      <c r="E104" s="2"/>
      <c r="F104" s="22">
        <f t="shared" si="8"/>
        <v>1.8066653612410736E-3</v>
      </c>
      <c r="G104" s="2"/>
      <c r="H104" s="2"/>
      <c r="I104" s="2"/>
      <c r="J104" s="22">
        <f t="shared" si="9"/>
        <v>0</v>
      </c>
      <c r="K104" s="2"/>
      <c r="L104" s="2">
        <f t="shared" si="10"/>
        <v>2129.7399999999998</v>
      </c>
      <c r="M104" s="2"/>
      <c r="N104" s="22">
        <f t="shared" si="11"/>
        <v>0</v>
      </c>
      <c r="O104" s="11"/>
      <c r="P104" s="2">
        <v>15652.310000000001</v>
      </c>
      <c r="Q104" s="2"/>
      <c r="R104" s="22">
        <f t="shared" si="12"/>
        <v>4.0340746682741629E-3</v>
      </c>
      <c r="S104" s="2"/>
      <c r="T104" s="2"/>
      <c r="U104" s="2"/>
      <c r="V104" s="22">
        <f t="shared" si="13"/>
        <v>0</v>
      </c>
      <c r="W104" s="2"/>
      <c r="X104" s="2">
        <f t="shared" si="14"/>
        <v>15652.310000000001</v>
      </c>
      <c r="Y104" s="2"/>
      <c r="Z104" s="22">
        <f t="shared" si="15"/>
        <v>0</v>
      </c>
    </row>
    <row r="105" spans="1:26" s="24" customFormat="1" hidden="1" outlineLevel="1" x14ac:dyDescent="0.35">
      <c r="A105" s="51"/>
      <c r="B105" s="11" t="str">
        <f>CONCATENATE("          ", "5504", " - ", "FREIGHT-IN-DIGITAL TEXT")</f>
        <v xml:space="preserve">          5504 - FREIGHT-IN-DIGITAL TEXT</v>
      </c>
      <c r="C105" s="11"/>
      <c r="D105" s="2"/>
      <c r="E105" s="2"/>
      <c r="F105" s="22">
        <f t="shared" si="8"/>
        <v>0</v>
      </c>
      <c r="G105" s="2"/>
      <c r="H105" s="2"/>
      <c r="I105" s="2"/>
      <c r="J105" s="22">
        <f t="shared" si="9"/>
        <v>0</v>
      </c>
      <c r="K105" s="2"/>
      <c r="L105" s="2">
        <f t="shared" si="10"/>
        <v>0</v>
      </c>
      <c r="M105" s="2"/>
      <c r="N105" s="22">
        <f t="shared" si="11"/>
        <v>0</v>
      </c>
      <c r="O105" s="11"/>
      <c r="P105" s="2">
        <v>21.98</v>
      </c>
      <c r="Q105" s="2"/>
      <c r="R105" s="22">
        <f t="shared" si="12"/>
        <v>5.6649121572896325E-6</v>
      </c>
      <c r="S105" s="2"/>
      <c r="T105" s="2"/>
      <c r="U105" s="2"/>
      <c r="V105" s="22">
        <f t="shared" si="13"/>
        <v>0</v>
      </c>
      <c r="W105" s="2"/>
      <c r="X105" s="2">
        <f t="shared" si="14"/>
        <v>21.98</v>
      </c>
      <c r="Y105" s="2"/>
      <c r="Z105" s="22">
        <f t="shared" si="15"/>
        <v>0</v>
      </c>
    </row>
    <row r="106" spans="1:26" s="24" customFormat="1" hidden="1" outlineLevel="1" x14ac:dyDescent="0.35">
      <c r="A106" s="51"/>
      <c r="B106" s="11" t="str">
        <f>CONCATENATE("          ", "5513", " - ", "FREIGHT-IN-TRADE BOOKS")</f>
        <v xml:space="preserve">          5513 - FREIGHT-IN-TRADE BOOKS</v>
      </c>
      <c r="C106" s="11"/>
      <c r="D106" s="2">
        <v>7.06</v>
      </c>
      <c r="E106" s="2"/>
      <c r="F106" s="22">
        <f t="shared" si="8"/>
        <v>5.9890209369979339E-6</v>
      </c>
      <c r="G106" s="2"/>
      <c r="H106" s="2"/>
      <c r="I106" s="2"/>
      <c r="J106" s="22">
        <f t="shared" si="9"/>
        <v>0</v>
      </c>
      <c r="K106" s="2"/>
      <c r="L106" s="2">
        <f t="shared" si="10"/>
        <v>7.06</v>
      </c>
      <c r="M106" s="2"/>
      <c r="N106" s="22">
        <f t="shared" si="11"/>
        <v>0</v>
      </c>
      <c r="O106" s="11"/>
      <c r="P106" s="2">
        <v>33.520000000000003</v>
      </c>
      <c r="Q106" s="2"/>
      <c r="R106" s="22">
        <f t="shared" si="12"/>
        <v>8.6391199050204047E-6</v>
      </c>
      <c r="S106" s="2"/>
      <c r="T106" s="2"/>
      <c r="U106" s="2"/>
      <c r="V106" s="22">
        <f t="shared" si="13"/>
        <v>0</v>
      </c>
      <c r="W106" s="2"/>
      <c r="X106" s="2">
        <f t="shared" si="14"/>
        <v>33.520000000000003</v>
      </c>
      <c r="Y106" s="2"/>
      <c r="Z106" s="22">
        <f t="shared" si="15"/>
        <v>0</v>
      </c>
    </row>
    <row r="107" spans="1:26" s="24" customFormat="1" hidden="1" outlineLevel="1" x14ac:dyDescent="0.35">
      <c r="A107" s="51"/>
      <c r="B107" s="11" t="str">
        <f>CONCATENATE("          ", "5525", " - ", "FREIGHT-IN-TEST FORMS")</f>
        <v xml:space="preserve">          5525 - FREIGHT-IN-TEST FORMS</v>
      </c>
      <c r="C107" s="11"/>
      <c r="D107" s="2"/>
      <c r="E107" s="2"/>
      <c r="F107" s="22">
        <f t="shared" si="8"/>
        <v>0</v>
      </c>
      <c r="G107" s="2"/>
      <c r="H107" s="2"/>
      <c r="I107" s="2"/>
      <c r="J107" s="22">
        <f t="shared" si="9"/>
        <v>0</v>
      </c>
      <c r="K107" s="2"/>
      <c r="L107" s="2">
        <f t="shared" si="10"/>
        <v>0</v>
      </c>
      <c r="M107" s="2"/>
      <c r="N107" s="22">
        <f t="shared" si="11"/>
        <v>0</v>
      </c>
      <c r="O107" s="11"/>
      <c r="P107" s="2">
        <v>48.14</v>
      </c>
      <c r="Q107" s="2"/>
      <c r="R107" s="22">
        <f t="shared" si="12"/>
        <v>1.2407136999632525E-5</v>
      </c>
      <c r="S107" s="2"/>
      <c r="T107" s="2"/>
      <c r="U107" s="2"/>
      <c r="V107" s="22">
        <f t="shared" si="13"/>
        <v>0</v>
      </c>
      <c r="W107" s="2"/>
      <c r="X107" s="2">
        <f t="shared" si="14"/>
        <v>48.14</v>
      </c>
      <c r="Y107" s="2"/>
      <c r="Z107" s="22">
        <f t="shared" si="15"/>
        <v>0</v>
      </c>
    </row>
    <row r="108" spans="1:26" s="24" customFormat="1" hidden="1" outlineLevel="1" x14ac:dyDescent="0.35">
      <c r="A108" s="51"/>
      <c r="B108" s="11" t="str">
        <f>CONCATENATE("          ", "5527", " - ", "FREIGHT-IN-SCHOOL SUPPLIES")</f>
        <v xml:space="preserve">          5527 - FREIGHT-IN-SCHOOL SUPPLIES</v>
      </c>
      <c r="C108" s="11"/>
      <c r="D108" s="2"/>
      <c r="E108" s="2"/>
      <c r="F108" s="22">
        <f t="shared" si="8"/>
        <v>0</v>
      </c>
      <c r="G108" s="2"/>
      <c r="H108" s="2"/>
      <c r="I108" s="2"/>
      <c r="J108" s="22">
        <f t="shared" si="9"/>
        <v>0</v>
      </c>
      <c r="K108" s="2"/>
      <c r="L108" s="2">
        <f t="shared" si="10"/>
        <v>0</v>
      </c>
      <c r="M108" s="2"/>
      <c r="N108" s="22">
        <f t="shared" si="11"/>
        <v>0</v>
      </c>
      <c r="O108" s="11"/>
      <c r="P108" s="2">
        <v>177.5</v>
      </c>
      <c r="Q108" s="2"/>
      <c r="R108" s="22">
        <f t="shared" si="12"/>
        <v>4.5747129568649213E-5</v>
      </c>
      <c r="S108" s="2"/>
      <c r="T108" s="2"/>
      <c r="U108" s="2"/>
      <c r="V108" s="22">
        <f t="shared" si="13"/>
        <v>0</v>
      </c>
      <c r="W108" s="2"/>
      <c r="X108" s="2">
        <f t="shared" si="14"/>
        <v>177.5</v>
      </c>
      <c r="Y108" s="2"/>
      <c r="Z108" s="22">
        <f t="shared" si="15"/>
        <v>0</v>
      </c>
    </row>
    <row r="109" spans="1:26" s="24" customFormat="1" hidden="1" outlineLevel="1" x14ac:dyDescent="0.35">
      <c r="A109" s="51"/>
      <c r="B109" s="11" t="str">
        <f>CONCATENATE("          ", "5528", " - ", "FREIGHT-IN-ART/TECH")</f>
        <v xml:space="preserve">          5528 - FREIGHT-IN-ART/TECH</v>
      </c>
      <c r="C109" s="11"/>
      <c r="D109" s="2">
        <v>48.53</v>
      </c>
      <c r="E109" s="2"/>
      <c r="F109" s="22">
        <f t="shared" si="8"/>
        <v>4.1168156667494302E-5</v>
      </c>
      <c r="G109" s="2"/>
      <c r="H109" s="2"/>
      <c r="I109" s="2"/>
      <c r="J109" s="22">
        <f t="shared" si="9"/>
        <v>0</v>
      </c>
      <c r="K109" s="2"/>
      <c r="L109" s="2">
        <f t="shared" si="10"/>
        <v>48.53</v>
      </c>
      <c r="M109" s="2"/>
      <c r="N109" s="22">
        <f t="shared" si="11"/>
        <v>0</v>
      </c>
      <c r="O109" s="11"/>
      <c r="P109" s="2">
        <v>338.74</v>
      </c>
      <c r="Q109" s="2"/>
      <c r="R109" s="22">
        <f t="shared" si="12"/>
        <v>8.7303564338502728E-5</v>
      </c>
      <c r="S109" s="2"/>
      <c r="T109" s="2"/>
      <c r="U109" s="2"/>
      <c r="V109" s="22">
        <f t="shared" si="13"/>
        <v>0</v>
      </c>
      <c r="W109" s="2"/>
      <c r="X109" s="2">
        <f t="shared" si="14"/>
        <v>338.74</v>
      </c>
      <c r="Y109" s="2"/>
      <c r="Z109" s="22">
        <f t="shared" si="15"/>
        <v>0</v>
      </c>
    </row>
    <row r="110" spans="1:26" s="24" customFormat="1" hidden="1" outlineLevel="1" x14ac:dyDescent="0.35">
      <c r="A110" s="51"/>
      <c r="B110" s="11" t="str">
        <f>CONCATENATE("          ", "5540", " - ", "FREIGHT-IN-LOGO CLOTHING")</f>
        <v xml:space="preserve">          5540 - FREIGHT-IN-LOGO CLOTHING</v>
      </c>
      <c r="C110" s="11"/>
      <c r="D110" s="2">
        <v>347.67</v>
      </c>
      <c r="E110" s="2"/>
      <c r="F110" s="22">
        <f t="shared" si="8"/>
        <v>2.9492959053343794E-4</v>
      </c>
      <c r="G110" s="2"/>
      <c r="H110" s="2"/>
      <c r="I110" s="2"/>
      <c r="J110" s="22">
        <f t="shared" si="9"/>
        <v>0</v>
      </c>
      <c r="K110" s="2"/>
      <c r="L110" s="2">
        <f t="shared" si="10"/>
        <v>347.67</v>
      </c>
      <c r="M110" s="2"/>
      <c r="N110" s="22">
        <f t="shared" si="11"/>
        <v>0</v>
      </c>
      <c r="O110" s="11"/>
      <c r="P110" s="2">
        <v>5790.63</v>
      </c>
      <c r="Q110" s="2"/>
      <c r="R110" s="22">
        <f t="shared" si="12"/>
        <v>1.4924208501076461E-3</v>
      </c>
      <c r="S110" s="2"/>
      <c r="T110" s="2"/>
      <c r="U110" s="2"/>
      <c r="V110" s="22">
        <f t="shared" si="13"/>
        <v>0</v>
      </c>
      <c r="W110" s="2"/>
      <c r="X110" s="2">
        <f t="shared" si="14"/>
        <v>5790.63</v>
      </c>
      <c r="Y110" s="2"/>
      <c r="Z110" s="22">
        <f t="shared" si="15"/>
        <v>0</v>
      </c>
    </row>
    <row r="111" spans="1:26" s="24" customFormat="1" hidden="1" outlineLevel="1" x14ac:dyDescent="0.35">
      <c r="A111" s="51"/>
      <c r="B111" s="11" t="str">
        <f>CONCATENATE("          ", "5541", " - ", "FREIGHT-IN-LOGO GIFTS")</f>
        <v xml:space="preserve">          5541 - FREIGHT-IN-LOGO GIFTS</v>
      </c>
      <c r="C111" s="11"/>
      <c r="D111" s="2">
        <v>182.93</v>
      </c>
      <c r="E111" s="2"/>
      <c r="F111" s="22">
        <f t="shared" si="8"/>
        <v>1.5518011331516036E-4</v>
      </c>
      <c r="G111" s="2"/>
      <c r="H111" s="2"/>
      <c r="I111" s="2"/>
      <c r="J111" s="22">
        <f t="shared" si="9"/>
        <v>0</v>
      </c>
      <c r="K111" s="2"/>
      <c r="L111" s="2">
        <f t="shared" si="10"/>
        <v>182.93</v>
      </c>
      <c r="M111" s="2"/>
      <c r="N111" s="22">
        <f t="shared" si="11"/>
        <v>0</v>
      </c>
      <c r="O111" s="11"/>
      <c r="P111" s="2">
        <v>1702.87</v>
      </c>
      <c r="Q111" s="2"/>
      <c r="R111" s="22">
        <f t="shared" si="12"/>
        <v>4.3888120861163764E-4</v>
      </c>
      <c r="S111" s="2"/>
      <c r="T111" s="2"/>
      <c r="U111" s="2"/>
      <c r="V111" s="22">
        <f t="shared" si="13"/>
        <v>0</v>
      </c>
      <c r="W111" s="2"/>
      <c r="X111" s="2">
        <f t="shared" si="14"/>
        <v>1702.87</v>
      </c>
      <c r="Y111" s="2"/>
      <c r="Z111" s="22">
        <f t="shared" si="15"/>
        <v>0</v>
      </c>
    </row>
    <row r="112" spans="1:26" s="24" customFormat="1" hidden="1" outlineLevel="1" x14ac:dyDescent="0.35">
      <c r="A112" s="51"/>
      <c r="B112" s="11" t="str">
        <f>CONCATENATE("          ", "5542", " - ", "FREIGHT-IN-EVERYDAY GIFTS")</f>
        <v xml:space="preserve">          5542 - FREIGHT-IN-EVERYDAY GIFTS</v>
      </c>
      <c r="C112" s="11"/>
      <c r="D112" s="2">
        <v>187.38</v>
      </c>
      <c r="E112" s="2"/>
      <c r="F112" s="22">
        <f t="shared" si="8"/>
        <v>1.5895506277261657E-4</v>
      </c>
      <c r="G112" s="2"/>
      <c r="H112" s="2"/>
      <c r="I112" s="2"/>
      <c r="J112" s="22">
        <f t="shared" si="9"/>
        <v>0</v>
      </c>
      <c r="K112" s="2"/>
      <c r="L112" s="2">
        <f t="shared" si="10"/>
        <v>187.38</v>
      </c>
      <c r="M112" s="2"/>
      <c r="N112" s="22">
        <f t="shared" si="11"/>
        <v>0</v>
      </c>
      <c r="O112" s="11"/>
      <c r="P112" s="2">
        <v>383.93</v>
      </c>
      <c r="Q112" s="2"/>
      <c r="R112" s="22">
        <f t="shared" si="12"/>
        <v>9.8950396931219684E-5</v>
      </c>
      <c r="S112" s="2"/>
      <c r="T112" s="2"/>
      <c r="U112" s="2"/>
      <c r="V112" s="22">
        <f t="shared" si="13"/>
        <v>0</v>
      </c>
      <c r="W112" s="2"/>
      <c r="X112" s="2">
        <f t="shared" si="14"/>
        <v>383.93</v>
      </c>
      <c r="Y112" s="2"/>
      <c r="Z112" s="22">
        <f t="shared" si="15"/>
        <v>0</v>
      </c>
    </row>
    <row r="113" spans="1:26" s="24" customFormat="1" hidden="1" outlineLevel="1" x14ac:dyDescent="0.35">
      <c r="A113" s="51"/>
      <c r="B113" s="11" t="str">
        <f>CONCATENATE("          ", "5543", " - ", "FREIGHT-IN-CARDS")</f>
        <v xml:space="preserve">          5543 - FREIGHT-IN-CARDS</v>
      </c>
      <c r="C113" s="11"/>
      <c r="D113" s="2">
        <v>1992.81</v>
      </c>
      <c r="E113" s="2"/>
      <c r="F113" s="22">
        <f t="shared" si="8"/>
        <v>1.6905071973737753E-3</v>
      </c>
      <c r="G113" s="2"/>
      <c r="H113" s="2"/>
      <c r="I113" s="2"/>
      <c r="J113" s="22">
        <f t="shared" si="9"/>
        <v>0</v>
      </c>
      <c r="K113" s="2"/>
      <c r="L113" s="2">
        <f t="shared" si="10"/>
        <v>1992.81</v>
      </c>
      <c r="M113" s="2"/>
      <c r="N113" s="22">
        <f t="shared" si="11"/>
        <v>0</v>
      </c>
      <c r="O113" s="11"/>
      <c r="P113" s="2">
        <v>9110.5300000000007</v>
      </c>
      <c r="Q113" s="2"/>
      <c r="R113" s="22">
        <f t="shared" si="12"/>
        <v>2.3480596977412155E-3</v>
      </c>
      <c r="S113" s="2"/>
      <c r="T113" s="2"/>
      <c r="U113" s="2"/>
      <c r="V113" s="22">
        <f t="shared" si="13"/>
        <v>0</v>
      </c>
      <c r="W113" s="2"/>
      <c r="X113" s="2">
        <f t="shared" si="14"/>
        <v>9110.5300000000007</v>
      </c>
      <c r="Y113" s="2"/>
      <c r="Z113" s="22">
        <f t="shared" si="15"/>
        <v>0</v>
      </c>
    </row>
    <row r="114" spans="1:26" s="24" customFormat="1" hidden="1" outlineLevel="1" x14ac:dyDescent="0.35">
      <c r="A114" s="51"/>
      <c r="B114" s="11" t="str">
        <f>CONCATENATE("          ", "5545", " - ", "FREIGHT-IN-SPECIAL ORDERS")</f>
        <v xml:space="preserve">          5545 - FREIGHT-IN-SPECIAL ORDERS</v>
      </c>
      <c r="C114" s="11"/>
      <c r="D114" s="2"/>
      <c r="E114" s="2"/>
      <c r="F114" s="22">
        <f t="shared" si="8"/>
        <v>0</v>
      </c>
      <c r="G114" s="2"/>
      <c r="H114" s="2"/>
      <c r="I114" s="2"/>
      <c r="J114" s="22">
        <f t="shared" si="9"/>
        <v>0</v>
      </c>
      <c r="K114" s="2"/>
      <c r="L114" s="2">
        <f t="shared" si="10"/>
        <v>0</v>
      </c>
      <c r="M114" s="2"/>
      <c r="N114" s="22">
        <f t="shared" si="11"/>
        <v>0</v>
      </c>
      <c r="O114" s="11"/>
      <c r="P114" s="2">
        <v>1113.79</v>
      </c>
      <c r="Q114" s="2"/>
      <c r="R114" s="22">
        <f t="shared" si="12"/>
        <v>2.8705743911135666E-4</v>
      </c>
      <c r="S114" s="2"/>
      <c r="T114" s="2"/>
      <c r="U114" s="2"/>
      <c r="V114" s="22">
        <f t="shared" si="13"/>
        <v>0</v>
      </c>
      <c r="W114" s="2"/>
      <c r="X114" s="2">
        <f t="shared" si="14"/>
        <v>1113.79</v>
      </c>
      <c r="Y114" s="2"/>
      <c r="Z114" s="22">
        <f t="shared" si="15"/>
        <v>0</v>
      </c>
    </row>
    <row r="115" spans="1:26" x14ac:dyDescent="0.3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35">
      <c r="A116" s="10"/>
      <c r="B116" s="26" t="s">
        <v>6</v>
      </c>
      <c r="C116" s="26"/>
      <c r="D116" s="19">
        <f>D12-D78</f>
        <v>407488.1399999999</v>
      </c>
      <c r="E116" s="13"/>
      <c r="F116" s="21">
        <f>IF(D$12=0,0,D116/D$12)</f>
        <v>0.34567351303659277</v>
      </c>
      <c r="G116" s="13"/>
      <c r="H116" s="19">
        <f>H12-H78</f>
        <v>709309.99999999977</v>
      </c>
      <c r="I116" s="13"/>
      <c r="J116" s="21">
        <f>IF(H$12=0,0,H116/H$12)</f>
        <v>0.3570454190807455</v>
      </c>
      <c r="K116" s="16"/>
      <c r="L116" s="19">
        <f>+D116-H116</f>
        <v>-301821.85999999987</v>
      </c>
      <c r="M116" s="16"/>
      <c r="N116" s="21">
        <f>IF(H116=0,0,L116/H116)</f>
        <v>-0.42551473967658704</v>
      </c>
      <c r="O116" s="25"/>
      <c r="P116" s="19">
        <f>P12-P78</f>
        <v>1364933.129999999</v>
      </c>
      <c r="Q116" s="13"/>
      <c r="R116" s="21">
        <f>IF(P$12=0,0,P116/P$12)</f>
        <v>0.35178463521494013</v>
      </c>
      <c r="S116" s="13"/>
      <c r="T116" s="19">
        <f>T12-T78</f>
        <v>2714051.0000000005</v>
      </c>
      <c r="U116" s="13"/>
      <c r="V116" s="21">
        <f>IF(T$12=0,0,T116/T$12)</f>
        <v>0.39423168825313332</v>
      </c>
      <c r="W116" s="16"/>
      <c r="X116" s="19">
        <f>+P116-T116</f>
        <v>-1349117.8700000015</v>
      </c>
      <c r="Y116" s="16"/>
      <c r="Z116" s="21">
        <f>IF(T116=0,0,X116/T116)</f>
        <v>-0.49708641068277687</v>
      </c>
    </row>
    <row r="117" spans="1:26" x14ac:dyDescent="0.35">
      <c r="A117" s="9"/>
      <c r="B117" s="10"/>
      <c r="C117" s="9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6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3" customFormat="1" x14ac:dyDescent="0.35">
      <c r="A118" s="10"/>
      <c r="B118" s="25" t="s">
        <v>9</v>
      </c>
      <c r="C118" s="10"/>
      <c r="D118" s="20">
        <f>SUM(OSRRefD22x_0)</f>
        <v>314919.26000000013</v>
      </c>
      <c r="E118" s="20"/>
      <c r="F118" s="30">
        <f t="shared" ref="F118:F129" si="16">IF(D$12=0,0,D118/D$12)</f>
        <v>0.26714703138865398</v>
      </c>
      <c r="G118" s="20"/>
      <c r="H118" s="20">
        <f>SUM(OSRRefH22x_0)</f>
        <v>504230.04730977316</v>
      </c>
      <c r="I118" s="20"/>
      <c r="J118" s="30">
        <f t="shared" ref="J118:J129" si="17">IF(H$12=0,0,H118/H$12)</f>
        <v>0.25381431046343933</v>
      </c>
      <c r="K118" s="4"/>
      <c r="L118" s="20">
        <f t="shared" ref="L118:L129" si="18">+D118-H118</f>
        <v>-189310.78730977303</v>
      </c>
      <c r="M118" s="4"/>
      <c r="N118" s="30">
        <f t="shared" ref="N118:N129" si="19">IF(H118=0,0,L118/H118)</f>
        <v>-0.37544527209317646</v>
      </c>
      <c r="O118" s="10"/>
      <c r="P118" s="20">
        <f>SUM(OSRRefP22x_0)</f>
        <v>2094355.3299999998</v>
      </c>
      <c r="Q118" s="20"/>
      <c r="R118" s="30">
        <f t="shared" ref="R118:R129" si="20">IF(P$12=0,0,P118/P$12)</f>
        <v>0.53977884306648494</v>
      </c>
      <c r="S118" s="20"/>
      <c r="T118" s="20">
        <f>SUM(OSRRefT22x_0)</f>
        <v>3034880.8088884233</v>
      </c>
      <c r="U118" s="20"/>
      <c r="V118" s="30">
        <f t="shared" ref="V118:V129" si="21">IF(T$12=0,0,T118/T$12)</f>
        <v>0.44083408341815156</v>
      </c>
      <c r="W118" s="4"/>
      <c r="X118" s="20">
        <f t="shared" ref="X118:X129" si="22">+P118-T118</f>
        <v>-940525.47888842341</v>
      </c>
      <c r="Y118" s="4"/>
      <c r="Z118" s="30">
        <f t="shared" ref="Z118:Z129" si="23">IF(T118=0,0,X118/T118)</f>
        <v>-0.30990524442800338</v>
      </c>
    </row>
    <row r="119" spans="1:26" s="28" customFormat="1" outlineLevel="1" collapsed="1" x14ac:dyDescent="0.35">
      <c r="A119" s="27"/>
      <c r="B119" s="14" t="str">
        <f>CONCATENATE("     ","*Benefits                                         ")</f>
        <v xml:space="preserve">     *Benefits                                         </v>
      </c>
      <c r="C119" s="14"/>
      <c r="D119" s="1">
        <f>SUM(OSRRefD22_0x_0)</f>
        <v>51590.869999999995</v>
      </c>
      <c r="E119" s="1"/>
      <c r="F119" s="5">
        <f t="shared" si="16"/>
        <v>4.3764702632852495E-2</v>
      </c>
      <c r="G119" s="1"/>
      <c r="H119" s="1">
        <f>SUM(OSRRefH22_0x_0)</f>
        <v>60540.541005157676</v>
      </c>
      <c r="I119" s="1"/>
      <c r="J119" s="5">
        <f t="shared" si="17"/>
        <v>3.0474295913721205E-2</v>
      </c>
      <c r="K119" s="1"/>
      <c r="L119" s="1">
        <f t="shared" si="18"/>
        <v>-8949.6710051576811</v>
      </c>
      <c r="M119" s="1"/>
      <c r="N119" s="5">
        <f t="shared" si="19"/>
        <v>-0.14782938600425169</v>
      </c>
      <c r="O119" s="14"/>
      <c r="P119" s="1">
        <f>SUM(OSRRefP22_0x_0)</f>
        <v>354480.73</v>
      </c>
      <c r="Q119" s="1"/>
      <c r="R119" s="5">
        <f t="shared" si="20"/>
        <v>9.1360427520559756E-2</v>
      </c>
      <c r="S119" s="1"/>
      <c r="T119" s="1">
        <f>SUM(OSRRefT22_0x_0)</f>
        <v>376086.63499980769</v>
      </c>
      <c r="U119" s="1"/>
      <c r="V119" s="5">
        <f t="shared" si="21"/>
        <v>5.4628770441459681E-2</v>
      </c>
      <c r="W119" s="1"/>
      <c r="X119" s="1">
        <f t="shared" si="22"/>
        <v>-21605.90499980771</v>
      </c>
      <c r="Y119" s="1"/>
      <c r="Z119" s="5">
        <f t="shared" si="23"/>
        <v>-5.7449276281298214E-2</v>
      </c>
    </row>
    <row r="120" spans="1:26" s="24" customFormat="1" hidden="1" outlineLevel="2" x14ac:dyDescent="0.35">
      <c r="A120" s="29"/>
      <c r="B120" s="11" t="str">
        <f>CONCATENATE("          ", "6111", " - ", "F.I.C.A.")</f>
        <v xml:space="preserve">          6111 - F.I.C.A.</v>
      </c>
      <c r="C120" s="11"/>
      <c r="D120" s="7">
        <v>7931.47</v>
      </c>
      <c r="E120" s="2"/>
      <c r="F120" s="6">
        <f t="shared" si="16"/>
        <v>6.7282917692876787E-3</v>
      </c>
      <c r="G120" s="2"/>
      <c r="H120" s="7">
        <v>10652.585387936535</v>
      </c>
      <c r="I120" s="2"/>
      <c r="J120" s="6">
        <f t="shared" si="17"/>
        <v>5.3621925732461511E-3</v>
      </c>
      <c r="K120" s="2"/>
      <c r="L120" s="7">
        <f t="shared" si="18"/>
        <v>-2721.1153879365347</v>
      </c>
      <c r="M120" s="2"/>
      <c r="N120" s="6">
        <f t="shared" si="19"/>
        <v>-0.25544178139309237</v>
      </c>
      <c r="O120" s="11"/>
      <c r="P120" s="7">
        <v>67358.39</v>
      </c>
      <c r="Q120" s="2"/>
      <c r="R120" s="6">
        <f t="shared" si="20"/>
        <v>1.7360298562623128E-2</v>
      </c>
      <c r="S120" s="2"/>
      <c r="T120" s="7">
        <v>68384.724675086545</v>
      </c>
      <c r="U120" s="2"/>
      <c r="V120" s="6">
        <f t="shared" si="21"/>
        <v>9.9332788733097008E-3</v>
      </c>
      <c r="W120" s="2"/>
      <c r="X120" s="7">
        <f t="shared" si="22"/>
        <v>-1026.3346750865458</v>
      </c>
      <c r="Y120" s="2"/>
      <c r="Z120" s="6">
        <f t="shared" si="23"/>
        <v>-1.5008244603790194E-2</v>
      </c>
    </row>
    <row r="121" spans="1:26" s="24" customFormat="1" hidden="1" outlineLevel="2" x14ac:dyDescent="0.35">
      <c r="A121" s="29"/>
      <c r="B121" s="11" t="str">
        <f>CONCATENATE("          ", "6112", " - ", "COMPENSATION INSURANCE")</f>
        <v xml:space="preserve">          6112 - COMPENSATION INSURANCE</v>
      </c>
      <c r="C121" s="11"/>
      <c r="D121" s="7">
        <v>804.16</v>
      </c>
      <c r="E121" s="2"/>
      <c r="F121" s="6">
        <f t="shared" si="16"/>
        <v>6.8217154060853523E-4</v>
      </c>
      <c r="G121" s="2"/>
      <c r="H121" s="7">
        <v>5450.1837071634609</v>
      </c>
      <c r="I121" s="2"/>
      <c r="J121" s="6">
        <f t="shared" si="17"/>
        <v>2.7434593136868644E-3</v>
      </c>
      <c r="K121" s="2"/>
      <c r="L121" s="7">
        <f t="shared" si="18"/>
        <v>-4646.023707163461</v>
      </c>
      <c r="M121" s="2"/>
      <c r="N121" s="6">
        <f t="shared" si="19"/>
        <v>-0.85245267990819273</v>
      </c>
      <c r="O121" s="11"/>
      <c r="P121" s="7">
        <v>17320.240000000002</v>
      </c>
      <c r="Q121" s="2"/>
      <c r="R121" s="6">
        <f t="shared" si="20"/>
        <v>4.4639507799442302E-3</v>
      </c>
      <c r="S121" s="2"/>
      <c r="T121" s="7">
        <v>26250.923719663457</v>
      </c>
      <c r="U121" s="2"/>
      <c r="V121" s="6">
        <f t="shared" si="21"/>
        <v>3.8130993029265644E-3</v>
      </c>
      <c r="W121" s="2"/>
      <c r="X121" s="7">
        <f t="shared" si="22"/>
        <v>-8930.6837196634551</v>
      </c>
      <c r="Y121" s="2"/>
      <c r="Z121" s="6">
        <f t="shared" si="23"/>
        <v>-0.34020455108685788</v>
      </c>
    </row>
    <row r="122" spans="1:26" s="24" customFormat="1" hidden="1" outlineLevel="2" x14ac:dyDescent="0.35">
      <c r="A122" s="29"/>
      <c r="B122" s="11" t="str">
        <f>CONCATENATE("          ", "6113", " - ", "GROUP INSURANCE")</f>
        <v xml:space="preserve">          6113 - GROUP INSURANCE</v>
      </c>
      <c r="C122" s="11"/>
      <c r="D122" s="7">
        <v>21620.289999999997</v>
      </c>
      <c r="E122" s="2"/>
      <c r="F122" s="6">
        <f t="shared" si="16"/>
        <v>1.8340562248437262E-2</v>
      </c>
      <c r="G122" s="2"/>
      <c r="H122" s="7">
        <v>22027.499999999989</v>
      </c>
      <c r="I122" s="2"/>
      <c r="J122" s="6">
        <f t="shared" si="17"/>
        <v>1.1087984053236414E-2</v>
      </c>
      <c r="K122" s="2"/>
      <c r="L122" s="7">
        <f t="shared" si="18"/>
        <v>-407.20999999999185</v>
      </c>
      <c r="M122" s="2"/>
      <c r="N122" s="6">
        <f t="shared" si="19"/>
        <v>-1.8486437407785362E-2</v>
      </c>
      <c r="O122" s="11"/>
      <c r="P122" s="7">
        <v>128085.70999999999</v>
      </c>
      <c r="Q122" s="2"/>
      <c r="R122" s="6">
        <f t="shared" si="20"/>
        <v>3.3011569415562977E-2</v>
      </c>
      <c r="S122" s="2"/>
      <c r="T122" s="7">
        <v>151072.49999999997</v>
      </c>
      <c r="U122" s="2"/>
      <c r="V122" s="6">
        <f t="shared" si="21"/>
        <v>2.1944159016769198E-2</v>
      </c>
      <c r="W122" s="2"/>
      <c r="X122" s="7">
        <f t="shared" si="22"/>
        <v>-22986.789999999979</v>
      </c>
      <c r="Y122" s="2"/>
      <c r="Z122" s="6">
        <f t="shared" si="23"/>
        <v>-0.1521573416736996</v>
      </c>
    </row>
    <row r="123" spans="1:26" s="24" customFormat="1" hidden="1" outlineLevel="2" x14ac:dyDescent="0.35">
      <c r="A123" s="29"/>
      <c r="B123" s="11" t="str">
        <f>CONCATENATE("          ", "6114", " - ", "STATE UNEMPLOYMENT INSURANCE")</f>
        <v xml:space="preserve">          6114 - STATE UNEMPLOYMENT INSURANCE</v>
      </c>
      <c r="C123" s="11"/>
      <c r="D123" s="7">
        <v>667.99</v>
      </c>
      <c r="E123" s="2"/>
      <c r="F123" s="6">
        <f t="shared" si="16"/>
        <v>5.6665808721037536E-4</v>
      </c>
      <c r="G123" s="2"/>
      <c r="H123" s="7">
        <v>771.04582025000002</v>
      </c>
      <c r="I123" s="2"/>
      <c r="J123" s="6">
        <f t="shared" si="17"/>
        <v>3.8812138278273043E-4</v>
      </c>
      <c r="K123" s="2"/>
      <c r="L123" s="7">
        <f t="shared" si="18"/>
        <v>-103.05582025000001</v>
      </c>
      <c r="M123" s="2"/>
      <c r="N123" s="6">
        <f t="shared" si="19"/>
        <v>-0.13365719331256568</v>
      </c>
      <c r="O123" s="11"/>
      <c r="P123" s="7">
        <v>2748.41</v>
      </c>
      <c r="Q123" s="2"/>
      <c r="R123" s="6">
        <f t="shared" si="20"/>
        <v>7.0834855424096435E-4</v>
      </c>
      <c r="S123" s="2"/>
      <c r="T123" s="7">
        <v>3715.5180652500003</v>
      </c>
      <c r="U123" s="2"/>
      <c r="V123" s="6">
        <f t="shared" si="21"/>
        <v>5.3970060238312499E-4</v>
      </c>
      <c r="W123" s="2"/>
      <c r="X123" s="7">
        <f t="shared" si="22"/>
        <v>-967.10806525000044</v>
      </c>
      <c r="Y123" s="2"/>
      <c r="Z123" s="6">
        <f t="shared" si="23"/>
        <v>-0.26028888791984062</v>
      </c>
    </row>
    <row r="124" spans="1:26" s="24" customFormat="1" hidden="1" outlineLevel="2" x14ac:dyDescent="0.35">
      <c r="A124" s="29"/>
      <c r="B124" s="11" t="str">
        <f>CONCATENATE("          ", "6115", " - ", "P.E.R.S.")</f>
        <v xml:space="preserve">          6115 - P.E.R.S.</v>
      </c>
      <c r="C124" s="11"/>
      <c r="D124" s="7">
        <v>9507.2199999999993</v>
      </c>
      <c r="E124" s="2"/>
      <c r="F124" s="6">
        <f t="shared" si="16"/>
        <v>8.0650056136891638E-3</v>
      </c>
      <c r="G124" s="2"/>
      <c r="H124" s="7">
        <v>7006.0350176923075</v>
      </c>
      <c r="I124" s="2"/>
      <c r="J124" s="6">
        <f t="shared" si="17"/>
        <v>3.5266282852156731E-3</v>
      </c>
      <c r="K124" s="2"/>
      <c r="L124" s="7">
        <f t="shared" si="18"/>
        <v>2501.1849823076918</v>
      </c>
      <c r="M124" s="2"/>
      <c r="N124" s="6">
        <f t="shared" si="19"/>
        <v>0.35700435067644698</v>
      </c>
      <c r="O124" s="11"/>
      <c r="P124" s="7">
        <v>55050.76</v>
      </c>
      <c r="Q124" s="2"/>
      <c r="R124" s="6">
        <f t="shared" si="20"/>
        <v>1.4188249299000628E-2</v>
      </c>
      <c r="S124" s="2"/>
      <c r="T124" s="7">
        <v>42945.781167692308</v>
      </c>
      <c r="U124" s="2"/>
      <c r="V124" s="6">
        <f t="shared" si="21"/>
        <v>6.2381244173705481E-3</v>
      </c>
      <c r="W124" s="2"/>
      <c r="X124" s="7">
        <f t="shared" si="22"/>
        <v>12104.978832307694</v>
      </c>
      <c r="Y124" s="2"/>
      <c r="Z124" s="6">
        <f t="shared" si="23"/>
        <v>0.28186654202518385</v>
      </c>
    </row>
    <row r="125" spans="1:26" s="24" customFormat="1" hidden="1" outlineLevel="2" x14ac:dyDescent="0.35">
      <c r="A125" s="29"/>
      <c r="B125" s="11" t="str">
        <f>CONCATENATE("          ", "6116", " - ", "EDUCATIONAL BENEFITS")</f>
        <v xml:space="preserve">          6116 - EDUCATIONAL BENEFITS</v>
      </c>
      <c r="C125" s="11"/>
      <c r="D125" s="7"/>
      <c r="E125" s="2"/>
      <c r="F125" s="6">
        <f t="shared" si="16"/>
        <v>0</v>
      </c>
      <c r="G125" s="2"/>
      <c r="H125" s="7">
        <v>0</v>
      </c>
      <c r="I125" s="2"/>
      <c r="J125" s="6">
        <f t="shared" si="17"/>
        <v>0</v>
      </c>
      <c r="K125" s="2"/>
      <c r="L125" s="7">
        <f t="shared" si="18"/>
        <v>0</v>
      </c>
      <c r="M125" s="2"/>
      <c r="N125" s="6">
        <f t="shared" si="19"/>
        <v>0</v>
      </c>
      <c r="O125" s="11"/>
      <c r="P125" s="7">
        <v>0</v>
      </c>
      <c r="Q125" s="2"/>
      <c r="R125" s="6">
        <f t="shared" si="20"/>
        <v>0</v>
      </c>
      <c r="S125" s="2"/>
      <c r="T125" s="7">
        <v>0</v>
      </c>
      <c r="U125" s="2"/>
      <c r="V125" s="6">
        <f t="shared" si="21"/>
        <v>0</v>
      </c>
      <c r="W125" s="2"/>
      <c r="X125" s="7">
        <f t="shared" si="22"/>
        <v>0</v>
      </c>
      <c r="Y125" s="2"/>
      <c r="Z125" s="6">
        <f t="shared" si="23"/>
        <v>0</v>
      </c>
    </row>
    <row r="126" spans="1:26" s="24" customFormat="1" hidden="1" outlineLevel="2" x14ac:dyDescent="0.35">
      <c r="A126" s="29"/>
      <c r="B126" s="11" t="str">
        <f>CONCATENATE("          ", "6117", " - ", "RETIREMENT STAFF HOURLY")</f>
        <v xml:space="preserve">          6117 - RETIREMENT STAFF HOURLY</v>
      </c>
      <c r="C126" s="11"/>
      <c r="D126" s="7">
        <v>506.92</v>
      </c>
      <c r="E126" s="2"/>
      <c r="F126" s="6">
        <f t="shared" si="16"/>
        <v>4.3002188291543813E-4</v>
      </c>
      <c r="G126" s="2"/>
      <c r="H126" s="7"/>
      <c r="I126" s="2"/>
      <c r="J126" s="6">
        <f t="shared" si="17"/>
        <v>0</v>
      </c>
      <c r="K126" s="2"/>
      <c r="L126" s="7">
        <f t="shared" si="18"/>
        <v>506.92</v>
      </c>
      <c r="M126" s="2"/>
      <c r="N126" s="6">
        <f t="shared" si="19"/>
        <v>0</v>
      </c>
      <c r="O126" s="11"/>
      <c r="P126" s="7">
        <v>2241.04</v>
      </c>
      <c r="Q126" s="2"/>
      <c r="R126" s="6">
        <f t="shared" si="20"/>
        <v>5.775839281607078E-4</v>
      </c>
      <c r="S126" s="2"/>
      <c r="T126" s="7"/>
      <c r="U126" s="2"/>
      <c r="V126" s="6">
        <f t="shared" si="21"/>
        <v>0</v>
      </c>
      <c r="W126" s="2"/>
      <c r="X126" s="7">
        <f t="shared" si="22"/>
        <v>2241.04</v>
      </c>
      <c r="Y126" s="2"/>
      <c r="Z126" s="6">
        <f t="shared" si="23"/>
        <v>0</v>
      </c>
    </row>
    <row r="127" spans="1:26" s="24" customFormat="1" hidden="1" outlineLevel="2" x14ac:dyDescent="0.35">
      <c r="A127" s="29"/>
      <c r="B127" s="11" t="str">
        <f>CONCATENATE("          ", "6118", " - ", "VACATION")</f>
        <v xml:space="preserve">          6118 - VACATION</v>
      </c>
      <c r="C127" s="11"/>
      <c r="D127" s="7">
        <v>5779.06</v>
      </c>
      <c r="E127" s="2"/>
      <c r="F127" s="6">
        <f t="shared" si="16"/>
        <v>4.9023953733947998E-3</v>
      </c>
      <c r="G127" s="2"/>
      <c r="H127" s="7">
        <v>5463.0725153846106</v>
      </c>
      <c r="I127" s="2"/>
      <c r="J127" s="6">
        <f t="shared" si="17"/>
        <v>2.7499471538875828E-3</v>
      </c>
      <c r="K127" s="2"/>
      <c r="L127" s="7">
        <f t="shared" si="18"/>
        <v>315.9874846153898</v>
      </c>
      <c r="M127" s="2"/>
      <c r="N127" s="6">
        <f t="shared" si="19"/>
        <v>5.7840616928575346E-2</v>
      </c>
      <c r="O127" s="11"/>
      <c r="P127" s="7">
        <v>41451.310000000005</v>
      </c>
      <c r="Q127" s="2"/>
      <c r="R127" s="6">
        <f t="shared" si="20"/>
        <v>1.0683258869635184E-2</v>
      </c>
      <c r="S127" s="2"/>
      <c r="T127" s="7">
        <v>33547.77474538461</v>
      </c>
      <c r="U127" s="2"/>
      <c r="V127" s="6">
        <f t="shared" si="21"/>
        <v>4.873009341021522E-3</v>
      </c>
      <c r="W127" s="2"/>
      <c r="X127" s="7">
        <f t="shared" si="22"/>
        <v>7903.5352546153954</v>
      </c>
      <c r="Y127" s="2"/>
      <c r="Z127" s="6">
        <f t="shared" si="23"/>
        <v>0.23559044719360223</v>
      </c>
    </row>
    <row r="128" spans="1:26" s="24" customFormat="1" hidden="1" outlineLevel="2" x14ac:dyDescent="0.35">
      <c r="A128" s="29"/>
      <c r="B128" s="11" t="str">
        <f>CONCATENATE("          ", "6119", " - ", "SICK LEAVE")</f>
        <v xml:space="preserve">          6119 - SICK LEAVE</v>
      </c>
      <c r="C128" s="11"/>
      <c r="D128" s="7">
        <v>3939.34</v>
      </c>
      <c r="E128" s="2"/>
      <c r="F128" s="6">
        <f t="shared" si="16"/>
        <v>3.3417549203900061E-3</v>
      </c>
      <c r="G128" s="2"/>
      <c r="H128" s="7">
        <v>7370.1185567307666</v>
      </c>
      <c r="I128" s="2"/>
      <c r="J128" s="6">
        <f t="shared" si="17"/>
        <v>3.7098970390417683E-3</v>
      </c>
      <c r="K128" s="2"/>
      <c r="L128" s="7">
        <f t="shared" si="18"/>
        <v>-3430.7785567307665</v>
      </c>
      <c r="M128" s="2"/>
      <c r="N128" s="6">
        <f t="shared" si="19"/>
        <v>-0.46549842181271361</v>
      </c>
      <c r="O128" s="11"/>
      <c r="P128" s="7">
        <v>29767.63</v>
      </c>
      <c r="Q128" s="2"/>
      <c r="R128" s="6">
        <f t="shared" si="20"/>
        <v>7.6720204313330109E-3</v>
      </c>
      <c r="S128" s="2"/>
      <c r="T128" s="7">
        <v>37569.412626730744</v>
      </c>
      <c r="U128" s="2"/>
      <c r="V128" s="6">
        <f t="shared" si="21"/>
        <v>5.4571756265872091E-3</v>
      </c>
      <c r="W128" s="2"/>
      <c r="X128" s="7">
        <f t="shared" si="22"/>
        <v>-7801.7826267307428</v>
      </c>
      <c r="Y128" s="2"/>
      <c r="Z128" s="6">
        <f t="shared" si="23"/>
        <v>-0.20766315151756598</v>
      </c>
    </row>
    <row r="129" spans="1:26" s="24" customFormat="1" hidden="1" outlineLevel="2" x14ac:dyDescent="0.35">
      <c r="A129" s="29"/>
      <c r="B129" s="11" t="str">
        <f>CONCATENATE("          ", "6156", " - ", "EMPLOYEE MEALS")</f>
        <v xml:space="preserve">          6156 - EMPLOYEE MEALS</v>
      </c>
      <c r="C129" s="11"/>
      <c r="D129" s="7">
        <v>834.42</v>
      </c>
      <c r="E129" s="2"/>
      <c r="F129" s="6">
        <f t="shared" si="16"/>
        <v>7.0784119691923739E-4</v>
      </c>
      <c r="G129" s="2"/>
      <c r="H129" s="7">
        <v>1800</v>
      </c>
      <c r="I129" s="2"/>
      <c r="J129" s="6">
        <f t="shared" si="17"/>
        <v>9.0606611262401794E-4</v>
      </c>
      <c r="K129" s="2"/>
      <c r="L129" s="7">
        <f t="shared" si="18"/>
        <v>-965.58</v>
      </c>
      <c r="M129" s="2"/>
      <c r="N129" s="6">
        <f t="shared" si="19"/>
        <v>-0.53643333333333332</v>
      </c>
      <c r="O129" s="11"/>
      <c r="P129" s="7">
        <v>10457.24</v>
      </c>
      <c r="Q129" s="2"/>
      <c r="R129" s="6">
        <f t="shared" si="20"/>
        <v>2.6951476800589368E-3</v>
      </c>
      <c r="S129" s="2"/>
      <c r="T129" s="7">
        <v>12600</v>
      </c>
      <c r="U129" s="2"/>
      <c r="V129" s="6">
        <f t="shared" si="21"/>
        <v>1.8302232610918066E-3</v>
      </c>
      <c r="W129" s="2"/>
      <c r="X129" s="7">
        <f t="shared" si="22"/>
        <v>-2142.7600000000002</v>
      </c>
      <c r="Y129" s="2"/>
      <c r="Z129" s="6">
        <f t="shared" si="23"/>
        <v>-0.17006031746031747</v>
      </c>
    </row>
    <row r="130" spans="1:26" s="28" customFormat="1" outlineLevel="1" collapsed="1" x14ac:dyDescent="0.35">
      <c r="A130" s="27"/>
      <c r="B130" s="14" t="str">
        <f>CONCATENATE("     ","*Payroll                                          ")</f>
        <v xml:space="preserve">     *Payroll                                          </v>
      </c>
      <c r="C130" s="14"/>
      <c r="D130" s="1">
        <f>SUM(OSRRefD22_1x_0)</f>
        <v>164815.32</v>
      </c>
      <c r="E130" s="1"/>
      <c r="F130" s="5">
        <f t="shared" ref="F130:F140" si="24">IF(D$12=0,0,D130/D$12)</f>
        <v>0.13981337141898223</v>
      </c>
      <c r="G130" s="1"/>
      <c r="H130" s="1">
        <f>SUM(OSRRefH22_1x_0)</f>
        <v>280575.50630461547</v>
      </c>
      <c r="I130" s="1"/>
      <c r="J130" s="5">
        <f t="shared" ref="J130:J140" si="25">IF(H$12=0,0,H130/H$12)</f>
        <v>0.14123331016385476</v>
      </c>
      <c r="K130" s="1"/>
      <c r="L130" s="1">
        <f t="shared" ref="L130:L140" si="26">+D130-H130</f>
        <v>-115760.18630461546</v>
      </c>
      <c r="M130" s="1"/>
      <c r="N130" s="5">
        <f t="shared" ref="N130:N140" si="27">IF(H130=0,0,L130/H130)</f>
        <v>-0.41258122574298001</v>
      </c>
      <c r="O130" s="14"/>
      <c r="P130" s="1">
        <f>SUM(OSRRefP22_1x_0)</f>
        <v>936998.2</v>
      </c>
      <c r="Q130" s="1"/>
      <c r="R130" s="5">
        <f t="shared" ref="R130:R140" si="28">IF(P$12=0,0,P130/P$12)</f>
        <v>0.24149283414642866</v>
      </c>
      <c r="S130" s="1"/>
      <c r="T130" s="1">
        <f>SUM(OSRRefT22_1x_0)</f>
        <v>1335040.1738886158</v>
      </c>
      <c r="U130" s="1"/>
      <c r="V130" s="5">
        <f t="shared" ref="V130:V140" si="29">IF(T$12=0,0,T130/T$12)</f>
        <v>0.19392234767801547</v>
      </c>
      <c r="W130" s="1"/>
      <c r="X130" s="1">
        <f t="shared" ref="X130:X140" si="30">+P130-T130</f>
        <v>-398041.97388861584</v>
      </c>
      <c r="Y130" s="1"/>
      <c r="Z130" s="5">
        <f t="shared" ref="Z130:Z140" si="31">IF(T130=0,0,X130/T130)</f>
        <v>-0.2981498097763049</v>
      </c>
    </row>
    <row r="131" spans="1:26" s="24" customFormat="1" hidden="1" outlineLevel="2" x14ac:dyDescent="0.35">
      <c r="A131" s="29"/>
      <c r="B131" s="11" t="str">
        <f>CONCATENATE("          ", "6001", " - ", "ADMINISTRATIVE SALARIES")</f>
        <v xml:space="preserve">          6001 - ADMINISTRATIVE SALARIES</v>
      </c>
      <c r="C131" s="11"/>
      <c r="D131" s="7">
        <v>5332.74</v>
      </c>
      <c r="E131" s="2"/>
      <c r="F131" s="6">
        <f t="shared" si="24"/>
        <v>4.5237806673606743E-3</v>
      </c>
      <c r="G131" s="2"/>
      <c r="H131" s="7">
        <v>16309.24038461539</v>
      </c>
      <c r="I131" s="2"/>
      <c r="J131" s="6">
        <f t="shared" si="25"/>
        <v>8.2095833528550606E-3</v>
      </c>
      <c r="K131" s="2"/>
      <c r="L131" s="7">
        <f t="shared" si="26"/>
        <v>-10976.50038461539</v>
      </c>
      <c r="M131" s="2"/>
      <c r="N131" s="6">
        <f t="shared" si="27"/>
        <v>-0.67302339813260659</v>
      </c>
      <c r="O131" s="11"/>
      <c r="P131" s="7">
        <v>30215.85</v>
      </c>
      <c r="Q131" s="2"/>
      <c r="R131" s="6">
        <f t="shared" si="28"/>
        <v>7.7875403097288414E-3</v>
      </c>
      <c r="S131" s="2"/>
      <c r="T131" s="7">
        <v>101117.29038461541</v>
      </c>
      <c r="U131" s="2"/>
      <c r="V131" s="6">
        <f t="shared" si="29"/>
        <v>1.4687874361944285E-2</v>
      </c>
      <c r="W131" s="2"/>
      <c r="X131" s="7">
        <f t="shared" si="30"/>
        <v>-70901.440384615416</v>
      </c>
      <c r="Y131" s="2"/>
      <c r="Z131" s="6">
        <f t="shared" si="31"/>
        <v>-0.70118018505965418</v>
      </c>
    </row>
    <row r="132" spans="1:26" s="24" customFormat="1" hidden="1" outlineLevel="2" x14ac:dyDescent="0.35">
      <c r="A132" s="29"/>
      <c r="B132" s="11" t="str">
        <f>CONCATENATE("          ", "6002", " - ", "STAFF SALARIES")</f>
        <v xml:space="preserve">          6002 - STAFF SALARIES</v>
      </c>
      <c r="C132" s="11"/>
      <c r="D132" s="7">
        <v>79241.260000000009</v>
      </c>
      <c r="E132" s="2"/>
      <c r="F132" s="6">
        <f t="shared" si="24"/>
        <v>6.722061830228003E-2</v>
      </c>
      <c r="G132" s="2"/>
      <c r="H132" s="7">
        <v>57178.522570000074</v>
      </c>
      <c r="I132" s="2"/>
      <c r="J132" s="6">
        <f t="shared" si="25"/>
        <v>2.8781956483658132E-2</v>
      </c>
      <c r="K132" s="2"/>
      <c r="L132" s="7">
        <f t="shared" si="26"/>
        <v>22062.737429999936</v>
      </c>
      <c r="M132" s="2"/>
      <c r="N132" s="6">
        <f t="shared" si="27"/>
        <v>0.38585707427102389</v>
      </c>
      <c r="O132" s="11"/>
      <c r="P132" s="7">
        <v>454581.87</v>
      </c>
      <c r="Q132" s="2"/>
      <c r="R132" s="6">
        <f t="shared" si="28"/>
        <v>0.11715952510675411</v>
      </c>
      <c r="S132" s="2"/>
      <c r="T132" s="7">
        <v>349361.81263400026</v>
      </c>
      <c r="U132" s="2"/>
      <c r="V132" s="6">
        <f t="shared" si="29"/>
        <v>5.0746834604757513E-2</v>
      </c>
      <c r="W132" s="2"/>
      <c r="X132" s="7">
        <f t="shared" si="30"/>
        <v>105220.05736599973</v>
      </c>
      <c r="Y132" s="2"/>
      <c r="Z132" s="6">
        <f t="shared" si="31"/>
        <v>0.30117790084925727</v>
      </c>
    </row>
    <row r="133" spans="1:26" s="24" customFormat="1" hidden="1" outlineLevel="2" x14ac:dyDescent="0.35">
      <c r="A133" s="29"/>
      <c r="B133" s="11" t="str">
        <f>CONCATENATE("          ", "6003", " - ", "STAFF HOURLY-9 MONTH")</f>
        <v xml:space="preserve">          6003 - STAFF HOURLY-9 MONTH</v>
      </c>
      <c r="C133" s="11"/>
      <c r="D133" s="7"/>
      <c r="E133" s="2"/>
      <c r="F133" s="6">
        <f t="shared" si="24"/>
        <v>0</v>
      </c>
      <c r="G133" s="2"/>
      <c r="H133" s="7">
        <v>0</v>
      </c>
      <c r="I133" s="2"/>
      <c r="J133" s="6">
        <f t="shared" si="25"/>
        <v>0</v>
      </c>
      <c r="K133" s="2"/>
      <c r="L133" s="7">
        <f t="shared" si="26"/>
        <v>0</v>
      </c>
      <c r="M133" s="2"/>
      <c r="N133" s="6">
        <f t="shared" si="27"/>
        <v>0</v>
      </c>
      <c r="O133" s="11"/>
      <c r="P133" s="7"/>
      <c r="Q133" s="2"/>
      <c r="R133" s="6">
        <f t="shared" si="28"/>
        <v>0</v>
      </c>
      <c r="S133" s="2"/>
      <c r="T133" s="7">
        <v>0</v>
      </c>
      <c r="U133" s="2"/>
      <c r="V133" s="6">
        <f t="shared" si="29"/>
        <v>0</v>
      </c>
      <c r="W133" s="2"/>
      <c r="X133" s="7">
        <f t="shared" si="30"/>
        <v>0</v>
      </c>
      <c r="Y133" s="2"/>
      <c r="Z133" s="6">
        <f t="shared" si="31"/>
        <v>0</v>
      </c>
    </row>
    <row r="134" spans="1:26" s="24" customFormat="1" hidden="1" outlineLevel="2" x14ac:dyDescent="0.35">
      <c r="A134" s="29"/>
      <c r="B134" s="11" t="str">
        <f>CONCATENATE("          ", "6004", " - ", "STAFF HOURLY")</f>
        <v xml:space="preserve">          6004 - STAFF HOURLY</v>
      </c>
      <c r="C134" s="11"/>
      <c r="D134" s="7">
        <v>18984.73</v>
      </c>
      <c r="E134" s="2"/>
      <c r="F134" s="6">
        <f t="shared" si="24"/>
        <v>1.6104808137854504E-2</v>
      </c>
      <c r="G134" s="2"/>
      <c r="H134" s="7">
        <v>38813.335099999997</v>
      </c>
      <c r="I134" s="2"/>
      <c r="J134" s="6">
        <f t="shared" si="25"/>
        <v>1.9537470917794637E-2</v>
      </c>
      <c r="K134" s="2"/>
      <c r="L134" s="7">
        <f t="shared" si="26"/>
        <v>-19828.605099999997</v>
      </c>
      <c r="M134" s="2"/>
      <c r="N134" s="6">
        <f t="shared" si="27"/>
        <v>-0.51087094290951562</v>
      </c>
      <c r="O134" s="11"/>
      <c r="P134" s="7">
        <v>110021.64</v>
      </c>
      <c r="Q134" s="2"/>
      <c r="R134" s="6">
        <f t="shared" si="28"/>
        <v>2.8355911101043827E-2</v>
      </c>
      <c r="S134" s="2"/>
      <c r="T134" s="7">
        <v>215243.24062</v>
      </c>
      <c r="U134" s="2"/>
      <c r="V134" s="6">
        <f t="shared" si="29"/>
        <v>3.1265332204405145E-2</v>
      </c>
      <c r="W134" s="2"/>
      <c r="X134" s="7">
        <f t="shared" si="30"/>
        <v>-105221.60062</v>
      </c>
      <c r="Y134" s="2"/>
      <c r="Z134" s="6">
        <f t="shared" si="31"/>
        <v>-0.48884973259514752</v>
      </c>
    </row>
    <row r="135" spans="1:26" s="24" customFormat="1" hidden="1" outlineLevel="2" x14ac:dyDescent="0.35">
      <c r="A135" s="29"/>
      <c r="B135" s="11" t="str">
        <f>CONCATENATE("          ", "6005", " - ", "TEMPORARY WAGES-HOURLY")</f>
        <v xml:space="preserve">          6005 - TEMPORARY WAGES-HOURLY</v>
      </c>
      <c r="C135" s="11"/>
      <c r="D135" s="7">
        <v>12550.77</v>
      </c>
      <c r="E135" s="2"/>
      <c r="F135" s="6">
        <f t="shared" si="24"/>
        <v>1.0646858966776992E-2</v>
      </c>
      <c r="G135" s="2"/>
      <c r="H135" s="7">
        <v>12836.66</v>
      </c>
      <c r="I135" s="2"/>
      <c r="J135" s="6">
        <f t="shared" si="25"/>
        <v>6.4615903473756809E-3</v>
      </c>
      <c r="K135" s="2"/>
      <c r="L135" s="7">
        <f t="shared" si="26"/>
        <v>-285.88999999999942</v>
      </c>
      <c r="M135" s="2"/>
      <c r="N135" s="6">
        <f t="shared" si="27"/>
        <v>-2.227136965534644E-2</v>
      </c>
      <c r="O135" s="11"/>
      <c r="P135" s="7">
        <v>112326.18</v>
      </c>
      <c r="Q135" s="2"/>
      <c r="R135" s="6">
        <f t="shared" si="28"/>
        <v>2.8949860903726275E-2</v>
      </c>
      <c r="S135" s="2"/>
      <c r="T135" s="7">
        <v>52173.982000000004</v>
      </c>
      <c r="U135" s="2"/>
      <c r="V135" s="6">
        <f t="shared" si="29"/>
        <v>7.578574244459145E-3</v>
      </c>
      <c r="W135" s="2"/>
      <c r="X135" s="7">
        <f t="shared" si="30"/>
        <v>60152.197999999989</v>
      </c>
      <c r="Y135" s="2"/>
      <c r="Z135" s="6">
        <f t="shared" si="31"/>
        <v>1.152915604563209</v>
      </c>
    </row>
    <row r="136" spans="1:26" s="24" customFormat="1" hidden="1" outlineLevel="2" x14ac:dyDescent="0.35">
      <c r="A136" s="29"/>
      <c r="B136" s="11" t="str">
        <f>CONCATENATE("          ", "6006", " - ", "TEMPORARY PART TIME")</f>
        <v xml:space="preserve">          6006 - TEMPORARY PART TIME</v>
      </c>
      <c r="C136" s="11"/>
      <c r="D136" s="7"/>
      <c r="E136" s="2"/>
      <c r="F136" s="6">
        <f t="shared" si="24"/>
        <v>0</v>
      </c>
      <c r="G136" s="2"/>
      <c r="H136" s="7">
        <v>0</v>
      </c>
      <c r="I136" s="2"/>
      <c r="J136" s="6">
        <f t="shared" si="25"/>
        <v>0</v>
      </c>
      <c r="K136" s="2"/>
      <c r="L136" s="7">
        <f t="shared" si="26"/>
        <v>0</v>
      </c>
      <c r="M136" s="2"/>
      <c r="N136" s="6">
        <f t="shared" si="27"/>
        <v>0</v>
      </c>
      <c r="O136" s="11"/>
      <c r="P136" s="7">
        <v>9987.9599999999991</v>
      </c>
      <c r="Q136" s="2"/>
      <c r="R136" s="6">
        <f t="shared" si="28"/>
        <v>2.5742000013886509E-3</v>
      </c>
      <c r="S136" s="2"/>
      <c r="T136" s="7">
        <v>0</v>
      </c>
      <c r="U136" s="2"/>
      <c r="V136" s="6">
        <f t="shared" si="29"/>
        <v>0</v>
      </c>
      <c r="W136" s="2"/>
      <c r="X136" s="7">
        <f t="shared" si="30"/>
        <v>9987.9599999999991</v>
      </c>
      <c r="Y136" s="2"/>
      <c r="Z136" s="6">
        <f t="shared" si="31"/>
        <v>0</v>
      </c>
    </row>
    <row r="137" spans="1:26" s="24" customFormat="1" hidden="1" outlineLevel="2" x14ac:dyDescent="0.35">
      <c r="A137" s="29"/>
      <c r="B137" s="11" t="str">
        <f>CONCATENATE("          ", "6007", " - ", "STUDENT HOURLY")</f>
        <v xml:space="preserve">          6007 - STUDENT HOURLY</v>
      </c>
      <c r="C137" s="11"/>
      <c r="D137" s="7">
        <v>47460.94</v>
      </c>
      <c r="E137" s="2"/>
      <c r="F137" s="6">
        <f t="shared" si="24"/>
        <v>4.0261269596261015E-2</v>
      </c>
      <c r="G137" s="2"/>
      <c r="H137" s="7">
        <v>14878.362499999999</v>
      </c>
      <c r="I137" s="2"/>
      <c r="J137" s="6">
        <f t="shared" si="25"/>
        <v>7.4893222625477575E-3</v>
      </c>
      <c r="K137" s="2"/>
      <c r="L137" s="7">
        <f t="shared" si="26"/>
        <v>32582.577500000003</v>
      </c>
      <c r="M137" s="2"/>
      <c r="N137" s="6">
        <f t="shared" si="27"/>
        <v>2.1899303434769792</v>
      </c>
      <c r="O137" s="11"/>
      <c r="P137" s="7">
        <v>213689.37</v>
      </c>
      <c r="Q137" s="2"/>
      <c r="R137" s="6">
        <f t="shared" si="28"/>
        <v>5.5074227024411393E-2</v>
      </c>
      <c r="S137" s="2"/>
      <c r="T137" s="7">
        <v>152654.96249999999</v>
      </c>
      <c r="U137" s="2"/>
      <c r="V137" s="6">
        <f t="shared" si="29"/>
        <v>2.2174020895920431E-2</v>
      </c>
      <c r="W137" s="2"/>
      <c r="X137" s="7">
        <f t="shared" si="30"/>
        <v>61034.407500000001</v>
      </c>
      <c r="Y137" s="2"/>
      <c r="Z137" s="6">
        <f t="shared" si="31"/>
        <v>0.39981934750401582</v>
      </c>
    </row>
    <row r="138" spans="1:26" s="24" customFormat="1" hidden="1" outlineLevel="2" x14ac:dyDescent="0.35">
      <c r="A138" s="29"/>
      <c r="B138" s="11" t="str">
        <f>CONCATENATE("          ", "6008", " - ", "STUDENT HOURLY-FICA EXEMPT")</f>
        <v xml:space="preserve">          6008 - STUDENT HOURLY-FICA EXEMPT</v>
      </c>
      <c r="C138" s="11"/>
      <c r="D138" s="7">
        <v>1244.8800000000001</v>
      </c>
      <c r="E138" s="2"/>
      <c r="F138" s="6">
        <f t="shared" si="24"/>
        <v>1.0560357484490071E-3</v>
      </c>
      <c r="G138" s="2"/>
      <c r="H138" s="7">
        <v>140559.38575000002</v>
      </c>
      <c r="I138" s="2"/>
      <c r="J138" s="6">
        <f t="shared" si="25"/>
        <v>7.0753386799623494E-2</v>
      </c>
      <c r="K138" s="2"/>
      <c r="L138" s="7">
        <f t="shared" si="26"/>
        <v>-139314.50575000001</v>
      </c>
      <c r="M138" s="2"/>
      <c r="N138" s="6">
        <f t="shared" si="27"/>
        <v>-0.99114338759124798</v>
      </c>
      <c r="O138" s="11"/>
      <c r="P138" s="7">
        <v>6175.33</v>
      </c>
      <c r="Q138" s="2"/>
      <c r="R138" s="6">
        <f t="shared" si="28"/>
        <v>1.5915696993755862E-3</v>
      </c>
      <c r="S138" s="2"/>
      <c r="T138" s="7">
        <v>464488.88575000002</v>
      </c>
      <c r="U138" s="2"/>
      <c r="V138" s="6">
        <f t="shared" si="29"/>
        <v>6.7469711366528934E-2</v>
      </c>
      <c r="W138" s="2"/>
      <c r="X138" s="7">
        <f t="shared" si="30"/>
        <v>-458313.55575</v>
      </c>
      <c r="Y138" s="2"/>
      <c r="Z138" s="6">
        <f t="shared" si="31"/>
        <v>-0.98670510707693504</v>
      </c>
    </row>
    <row r="139" spans="1:26" s="24" customFormat="1" hidden="1" outlineLevel="2" x14ac:dyDescent="0.35">
      <c r="A139" s="29"/>
      <c r="B139" s="11" t="str">
        <f>CONCATENATE("          ", "6009", " - ", "TEMPORARY-SEASONAL")</f>
        <v xml:space="preserve">          6009 - TEMPORARY-SEASONAL</v>
      </c>
      <c r="C139" s="11"/>
      <c r="D139" s="7"/>
      <c r="E139" s="2"/>
      <c r="F139" s="6">
        <f t="shared" si="24"/>
        <v>0</v>
      </c>
      <c r="G139" s="2"/>
      <c r="H139" s="7">
        <v>0</v>
      </c>
      <c r="I139" s="2"/>
      <c r="J139" s="6">
        <f t="shared" si="25"/>
        <v>0</v>
      </c>
      <c r="K139" s="2"/>
      <c r="L139" s="7">
        <f t="shared" si="26"/>
        <v>0</v>
      </c>
      <c r="M139" s="2"/>
      <c r="N139" s="6">
        <f t="shared" si="27"/>
        <v>0</v>
      </c>
      <c r="O139" s="11"/>
      <c r="P139" s="7"/>
      <c r="Q139" s="2"/>
      <c r="R139" s="6">
        <f t="shared" si="28"/>
        <v>0</v>
      </c>
      <c r="S139" s="2"/>
      <c r="T139" s="7">
        <v>0</v>
      </c>
      <c r="U139" s="2"/>
      <c r="V139" s="6">
        <f t="shared" si="29"/>
        <v>0</v>
      </c>
      <c r="W139" s="2"/>
      <c r="X139" s="7">
        <f t="shared" si="30"/>
        <v>0</v>
      </c>
      <c r="Y139" s="2"/>
      <c r="Z139" s="6">
        <f t="shared" si="31"/>
        <v>0</v>
      </c>
    </row>
    <row r="140" spans="1:26" s="24" customFormat="1" hidden="1" outlineLevel="2" x14ac:dyDescent="0.35">
      <c r="A140" s="29"/>
      <c r="B140" s="11" t="str">
        <f>CONCATENATE("          ", "6010", " - ", "GRATUITY")</f>
        <v xml:space="preserve">          6010 - GRATUITY</v>
      </c>
      <c r="C140" s="11"/>
      <c r="D140" s="7"/>
      <c r="E140" s="2"/>
      <c r="F140" s="6">
        <f t="shared" si="24"/>
        <v>0</v>
      </c>
      <c r="G140" s="2"/>
      <c r="H140" s="7">
        <v>0</v>
      </c>
      <c r="I140" s="2"/>
      <c r="J140" s="6">
        <f t="shared" si="25"/>
        <v>0</v>
      </c>
      <c r="K140" s="2"/>
      <c r="L140" s="7">
        <f t="shared" si="26"/>
        <v>0</v>
      </c>
      <c r="M140" s="2"/>
      <c r="N140" s="6">
        <f t="shared" si="27"/>
        <v>0</v>
      </c>
      <c r="O140" s="11"/>
      <c r="P140" s="7"/>
      <c r="Q140" s="2"/>
      <c r="R140" s="6">
        <f t="shared" si="28"/>
        <v>0</v>
      </c>
      <c r="S140" s="2"/>
      <c r="T140" s="7">
        <v>0</v>
      </c>
      <c r="U140" s="2"/>
      <c r="V140" s="6">
        <f t="shared" si="29"/>
        <v>0</v>
      </c>
      <c r="W140" s="2"/>
      <c r="X140" s="7">
        <f t="shared" si="30"/>
        <v>0</v>
      </c>
      <c r="Y140" s="2"/>
      <c r="Z140" s="6">
        <f t="shared" si="31"/>
        <v>0</v>
      </c>
    </row>
    <row r="141" spans="1:26" s="28" customFormat="1" outlineLevel="1" collapsed="1" x14ac:dyDescent="0.35">
      <c r="A141" s="27"/>
      <c r="B141" s="14" t="str">
        <f>CONCATENATE("     ","Advertising/Promo                                 ")</f>
        <v xml:space="preserve">     Advertising/Promo                                 </v>
      </c>
      <c r="C141" s="14"/>
      <c r="D141" s="1">
        <f>SUM(OSRRefD22_2x_0)</f>
        <v>1331.63</v>
      </c>
      <c r="E141" s="1"/>
      <c r="F141" s="5">
        <f t="shared" ref="F141:F145" si="32">IF(D$12=0,0,D141/D$12)</f>
        <v>1.1296260552881813E-3</v>
      </c>
      <c r="G141" s="1"/>
      <c r="H141" s="1">
        <f>SUM(OSRRefH22_2x_0)</f>
        <v>1742</v>
      </c>
      <c r="I141" s="1"/>
      <c r="J141" s="5">
        <f t="shared" ref="J141:J145" si="33">IF(H$12=0,0,H141/H$12)</f>
        <v>8.7687064899502176E-4</v>
      </c>
      <c r="K141" s="1"/>
      <c r="L141" s="1">
        <f t="shared" ref="L141:L145" si="34">+D141-H141</f>
        <v>-410.36999999999989</v>
      </c>
      <c r="M141" s="1"/>
      <c r="N141" s="5">
        <f t="shared" ref="N141:N145" si="35">IF(H141=0,0,L141/H141)</f>
        <v>-0.23557405281285873</v>
      </c>
      <c r="O141" s="14"/>
      <c r="P141" s="1">
        <f>SUM(OSRRefP22_2x_0)</f>
        <v>16034.14</v>
      </c>
      <c r="Q141" s="1"/>
      <c r="R141" s="5">
        <f t="shared" ref="R141:R145" si="36">IF(P$12=0,0,P141/P$12)</f>
        <v>4.1324838315597804E-3</v>
      </c>
      <c r="S141" s="1"/>
      <c r="T141" s="1">
        <f>SUM(OSRRefT22_2x_0)</f>
        <v>10490</v>
      </c>
      <c r="U141" s="1"/>
      <c r="V141" s="5">
        <f t="shared" ref="V141:V145" si="37">IF(T$12=0,0,T141/T$12)</f>
        <v>1.5237334927661152E-3</v>
      </c>
      <c r="W141" s="1"/>
      <c r="X141" s="1">
        <f t="shared" ref="X141:X145" si="38">+P141-T141</f>
        <v>5544.1399999999994</v>
      </c>
      <c r="Y141" s="1"/>
      <c r="Z141" s="5">
        <f t="shared" ref="Z141:Z145" si="39">IF(T141=0,0,X141/T141)</f>
        <v>0.5285166825548141</v>
      </c>
    </row>
    <row r="142" spans="1:26" s="24" customFormat="1" hidden="1" outlineLevel="2" x14ac:dyDescent="0.35">
      <c r="A142" s="29"/>
      <c r="B142" s="11" t="str">
        <f>CONCATENATE("          ", "6362", " - ", "ADVERTISING EXPENSE")</f>
        <v xml:space="preserve">          6362 - ADVERTISING EXPENSE</v>
      </c>
      <c r="C142" s="11"/>
      <c r="D142" s="7">
        <v>1331.63</v>
      </c>
      <c r="E142" s="2"/>
      <c r="F142" s="6">
        <f t="shared" si="32"/>
        <v>1.1296260552881813E-3</v>
      </c>
      <c r="G142" s="2"/>
      <c r="H142" s="7">
        <v>1742</v>
      </c>
      <c r="I142" s="2"/>
      <c r="J142" s="6">
        <f t="shared" si="33"/>
        <v>8.7687064899502176E-4</v>
      </c>
      <c r="K142" s="2"/>
      <c r="L142" s="7">
        <f t="shared" si="34"/>
        <v>-410.36999999999989</v>
      </c>
      <c r="M142" s="2"/>
      <c r="N142" s="6">
        <f t="shared" si="35"/>
        <v>-0.23557405281285873</v>
      </c>
      <c r="O142" s="11"/>
      <c r="P142" s="7">
        <v>16034.14</v>
      </c>
      <c r="Q142" s="2"/>
      <c r="R142" s="6">
        <f t="shared" si="36"/>
        <v>4.1324838315597804E-3</v>
      </c>
      <c r="S142" s="2"/>
      <c r="T142" s="7">
        <v>10490</v>
      </c>
      <c r="U142" s="2"/>
      <c r="V142" s="6">
        <f t="shared" si="37"/>
        <v>1.5237334927661152E-3</v>
      </c>
      <c r="W142" s="2"/>
      <c r="X142" s="7">
        <f t="shared" si="38"/>
        <v>5544.1399999999994</v>
      </c>
      <c r="Y142" s="2"/>
      <c r="Z142" s="6">
        <f t="shared" si="39"/>
        <v>0.5285166825548141</v>
      </c>
    </row>
    <row r="143" spans="1:26" s="28" customFormat="1" outlineLevel="1" collapsed="1" x14ac:dyDescent="0.35">
      <c r="A143" s="27"/>
      <c r="B143" s="14" t="str">
        <f>CONCATENATE("     ","Bad Debts/Over/Short                              ")</f>
        <v xml:space="preserve">     Bad Debts/Over/Short                              </v>
      </c>
      <c r="C143" s="14"/>
      <c r="D143" s="1">
        <f>SUM(OSRRefD22_3x_0)</f>
        <v>1872.1</v>
      </c>
      <c r="E143" s="1"/>
      <c r="F143" s="5">
        <f t="shared" si="32"/>
        <v>1.5881085122030924E-3</v>
      </c>
      <c r="G143" s="1"/>
      <c r="H143" s="1">
        <f>SUM(OSRRefH22_3x_0)</f>
        <v>115</v>
      </c>
      <c r="I143" s="1"/>
      <c r="J143" s="5">
        <f t="shared" si="33"/>
        <v>5.7887557195423369E-5</v>
      </c>
      <c r="K143" s="1"/>
      <c r="L143" s="1">
        <f t="shared" si="34"/>
        <v>1757.1</v>
      </c>
      <c r="M143" s="1"/>
      <c r="N143" s="5">
        <f t="shared" si="35"/>
        <v>15.279130434782608</v>
      </c>
      <c r="O143" s="14"/>
      <c r="P143" s="1">
        <f>SUM(OSRRefP22_3x_0)</f>
        <v>1921.37</v>
      </c>
      <c r="Q143" s="1"/>
      <c r="R143" s="5">
        <f t="shared" si="36"/>
        <v>4.9519528078487628E-4</v>
      </c>
      <c r="S143" s="1"/>
      <c r="T143" s="1">
        <f>SUM(OSRRefT22_3x_0)</f>
        <v>829</v>
      </c>
      <c r="U143" s="1"/>
      <c r="V143" s="5">
        <f t="shared" si="37"/>
        <v>1.2041707011469108E-4</v>
      </c>
      <c r="W143" s="1"/>
      <c r="X143" s="1">
        <f t="shared" si="38"/>
        <v>1092.3699999999999</v>
      </c>
      <c r="Y143" s="1"/>
      <c r="Z143" s="5">
        <f t="shared" si="39"/>
        <v>1.3176960193003617</v>
      </c>
    </row>
    <row r="144" spans="1:26" s="24" customFormat="1" hidden="1" outlineLevel="2" x14ac:dyDescent="0.35">
      <c r="A144" s="29"/>
      <c r="B144" s="11" t="str">
        <f>CONCATENATE("          ", "6272", " - ", "CASH (OVER/SHORT)")</f>
        <v xml:space="preserve">          6272 - CASH (OVER/SHORT)</v>
      </c>
      <c r="C144" s="11"/>
      <c r="D144" s="7">
        <v>-124.68</v>
      </c>
      <c r="E144" s="2"/>
      <c r="F144" s="6">
        <f t="shared" si="32"/>
        <v>-1.0576644906868308E-4</v>
      </c>
      <c r="G144" s="2"/>
      <c r="H144" s="7">
        <v>65</v>
      </c>
      <c r="I144" s="2"/>
      <c r="J144" s="6">
        <f t="shared" si="33"/>
        <v>3.2719054066978423E-5</v>
      </c>
      <c r="K144" s="2"/>
      <c r="L144" s="7">
        <f t="shared" si="34"/>
        <v>-189.68</v>
      </c>
      <c r="M144" s="2"/>
      <c r="N144" s="6">
        <f t="shared" si="35"/>
        <v>-2.9181538461538463</v>
      </c>
      <c r="O144" s="11"/>
      <c r="P144" s="7">
        <v>-75.41</v>
      </c>
      <c r="Q144" s="2"/>
      <c r="R144" s="6">
        <f t="shared" si="36"/>
        <v>-1.9435442483221619E-5</v>
      </c>
      <c r="S144" s="2"/>
      <c r="T144" s="7">
        <v>479</v>
      </c>
      <c r="U144" s="2"/>
      <c r="V144" s="6">
        <f t="shared" si="37"/>
        <v>6.9577535084363118E-5</v>
      </c>
      <c r="W144" s="2"/>
      <c r="X144" s="7">
        <f t="shared" si="38"/>
        <v>-554.41</v>
      </c>
      <c r="Y144" s="2"/>
      <c r="Z144" s="6">
        <f t="shared" si="39"/>
        <v>-1.1574321503131524</v>
      </c>
    </row>
    <row r="145" spans="1:26" s="24" customFormat="1" hidden="1" outlineLevel="2" x14ac:dyDescent="0.35">
      <c r="A145" s="29"/>
      <c r="B145" s="11" t="str">
        <f>CONCATENATE("          ", "6342", " - ", "BAD DEBT")</f>
        <v xml:space="preserve">          6342 - BAD DEBT</v>
      </c>
      <c r="C145" s="11"/>
      <c r="D145" s="7">
        <v>1996.78</v>
      </c>
      <c r="E145" s="2"/>
      <c r="F145" s="6">
        <f t="shared" si="32"/>
        <v>1.6938749612717754E-3</v>
      </c>
      <c r="G145" s="2"/>
      <c r="H145" s="7">
        <v>50</v>
      </c>
      <c r="I145" s="2"/>
      <c r="J145" s="6">
        <f t="shared" si="33"/>
        <v>2.5168503128444943E-5</v>
      </c>
      <c r="K145" s="2"/>
      <c r="L145" s="7">
        <f t="shared" si="34"/>
        <v>1946.78</v>
      </c>
      <c r="M145" s="2"/>
      <c r="N145" s="6">
        <f t="shared" si="35"/>
        <v>38.935600000000001</v>
      </c>
      <c r="O145" s="11"/>
      <c r="P145" s="7">
        <v>1996.78</v>
      </c>
      <c r="Q145" s="2"/>
      <c r="R145" s="6">
        <f t="shared" si="36"/>
        <v>5.1463072326809794E-4</v>
      </c>
      <c r="S145" s="2"/>
      <c r="T145" s="7">
        <v>350</v>
      </c>
      <c r="U145" s="2"/>
      <c r="V145" s="6">
        <f t="shared" si="37"/>
        <v>5.0839535030327963E-5</v>
      </c>
      <c r="W145" s="2"/>
      <c r="X145" s="7">
        <f t="shared" si="38"/>
        <v>1646.78</v>
      </c>
      <c r="Y145" s="2"/>
      <c r="Z145" s="6">
        <f t="shared" si="39"/>
        <v>4.7050857142857145</v>
      </c>
    </row>
    <row r="146" spans="1:26" s="28" customFormat="1" outlineLevel="1" collapsed="1" x14ac:dyDescent="0.35">
      <c r="A146" s="27"/>
      <c r="B146" s="14" t="str">
        <f>CONCATENATE("     ","Bank/card Fees                                    ")</f>
        <v xml:space="preserve">     Bank/card Fees                                    </v>
      </c>
      <c r="C146" s="14"/>
      <c r="D146" s="1">
        <f>SUM(OSRRefD22_4x_0)</f>
        <v>15172.830000000002</v>
      </c>
      <c r="E146" s="1"/>
      <c r="F146" s="5">
        <f t="shared" ref="F146:F150" si="40">IF(D$12=0,0,D146/D$12)</f>
        <v>1.2871160983500054E-2</v>
      </c>
      <c r="G146" s="1"/>
      <c r="H146" s="1">
        <f>SUM(OSRRefH22_4x_0)</f>
        <v>20329</v>
      </c>
      <c r="I146" s="1"/>
      <c r="J146" s="5">
        <f t="shared" ref="J146:J150" si="41">IF(H$12=0,0,H146/H$12)</f>
        <v>1.0233010001963144E-2</v>
      </c>
      <c r="K146" s="1"/>
      <c r="L146" s="1">
        <f t="shared" ref="L146:L150" si="42">+D146-H146</f>
        <v>-5156.1699999999983</v>
      </c>
      <c r="M146" s="1"/>
      <c r="N146" s="5">
        <f t="shared" ref="N146:N150" si="43">IF(H146=0,0,L146/H146)</f>
        <v>-0.25363618476068661</v>
      </c>
      <c r="O146" s="14"/>
      <c r="P146" s="1">
        <f>SUM(OSRRefP22_4x_0)</f>
        <v>62882.94</v>
      </c>
      <c r="Q146" s="1"/>
      <c r="R146" s="5">
        <f t="shared" ref="R146:R150" si="44">IF(P$12=0,0,P146/P$12)</f>
        <v>1.6206839458239967E-2</v>
      </c>
      <c r="S146" s="1"/>
      <c r="T146" s="1">
        <f>SUM(OSRRefT22_4x_0)</f>
        <v>162019</v>
      </c>
      <c r="U146" s="1"/>
      <c r="V146" s="5">
        <f t="shared" ref="V146:V150" si="45">IF(T$12=0,0,T146/T$12)</f>
        <v>2.3534201788796304E-2</v>
      </c>
      <c r="W146" s="1"/>
      <c r="X146" s="1">
        <f t="shared" ref="X146:X150" si="46">+P146-T146</f>
        <v>-99136.06</v>
      </c>
      <c r="Y146" s="1"/>
      <c r="Z146" s="5">
        <f t="shared" ref="Z146:Z150" si="47">IF(T146=0,0,X146/T146)</f>
        <v>-0.61187922404162476</v>
      </c>
    </row>
    <row r="147" spans="1:26" s="24" customFormat="1" hidden="1" outlineLevel="2" x14ac:dyDescent="0.35">
      <c r="A147" s="29"/>
      <c r="B147" s="11" t="str">
        <f>CONCATENATE("          ", "6381", " - ", "BANK/CREDIT CARD FEES")</f>
        <v xml:space="preserve">          6381 - BANK/CREDIT CARD FEES</v>
      </c>
      <c r="C147" s="11"/>
      <c r="D147" s="7">
        <v>15172.830000000002</v>
      </c>
      <c r="E147" s="2"/>
      <c r="F147" s="6">
        <f t="shared" si="40"/>
        <v>1.2871160983500054E-2</v>
      </c>
      <c r="G147" s="2"/>
      <c r="H147" s="7">
        <v>20329</v>
      </c>
      <c r="I147" s="2"/>
      <c r="J147" s="6">
        <f t="shared" si="41"/>
        <v>1.0233010001963144E-2</v>
      </c>
      <c r="K147" s="2"/>
      <c r="L147" s="7">
        <f t="shared" si="42"/>
        <v>-5156.1699999999983</v>
      </c>
      <c r="M147" s="2"/>
      <c r="N147" s="6">
        <f t="shared" si="43"/>
        <v>-0.25363618476068661</v>
      </c>
      <c r="O147" s="11"/>
      <c r="P147" s="7">
        <v>62882.94</v>
      </c>
      <c r="Q147" s="2"/>
      <c r="R147" s="6">
        <f t="shared" si="44"/>
        <v>1.6206839458239967E-2</v>
      </c>
      <c r="S147" s="2"/>
      <c r="T147" s="7">
        <v>162019</v>
      </c>
      <c r="U147" s="2"/>
      <c r="V147" s="6">
        <f t="shared" si="45"/>
        <v>2.3534201788796304E-2</v>
      </c>
      <c r="W147" s="2"/>
      <c r="X147" s="7">
        <f t="shared" si="46"/>
        <v>-99136.06</v>
      </c>
      <c r="Y147" s="2"/>
      <c r="Z147" s="6">
        <f t="shared" si="47"/>
        <v>-0.61187922404162476</v>
      </c>
    </row>
    <row r="148" spans="1:26" s="28" customFormat="1" outlineLevel="1" collapsed="1" x14ac:dyDescent="0.35">
      <c r="A148" s="27"/>
      <c r="B148" s="14" t="str">
        <f>CONCATENATE("     ","Depreciation                                      ")</f>
        <v xml:space="preserve">     Depreciation                                      </v>
      </c>
      <c r="C148" s="14"/>
      <c r="D148" s="1">
        <f>SUM(OSRRefD22_5x_0)</f>
        <v>39887.94</v>
      </c>
      <c r="E148" s="1"/>
      <c r="F148" s="5">
        <f t="shared" si="40"/>
        <v>3.3837069092594534E-2</v>
      </c>
      <c r="G148" s="1"/>
      <c r="H148" s="1">
        <f>SUM(OSRRefH22_5x_0)</f>
        <v>38857</v>
      </c>
      <c r="I148" s="1"/>
      <c r="J148" s="5">
        <f t="shared" si="41"/>
        <v>1.9559450521239703E-2</v>
      </c>
      <c r="K148" s="1"/>
      <c r="L148" s="1">
        <f t="shared" si="42"/>
        <v>1030.9400000000023</v>
      </c>
      <c r="M148" s="1"/>
      <c r="N148" s="5">
        <f t="shared" si="43"/>
        <v>2.6531641660447341E-2</v>
      </c>
      <c r="O148" s="14"/>
      <c r="P148" s="1">
        <f>SUM(OSRRefP22_5x_0)</f>
        <v>279692.35000000003</v>
      </c>
      <c r="Q148" s="1"/>
      <c r="R148" s="5">
        <f t="shared" si="44"/>
        <v>7.2085195351042172E-2</v>
      </c>
      <c r="S148" s="1"/>
      <c r="T148" s="1">
        <f>SUM(OSRRefT22_5x_0)</f>
        <v>273455</v>
      </c>
      <c r="U148" s="1"/>
      <c r="V148" s="5">
        <f t="shared" si="45"/>
        <v>3.9720928719195234E-2</v>
      </c>
      <c r="W148" s="1"/>
      <c r="X148" s="1">
        <f t="shared" si="46"/>
        <v>6237.3500000000349</v>
      </c>
      <c r="Y148" s="1"/>
      <c r="Z148" s="5">
        <f t="shared" si="47"/>
        <v>2.2809420197107511E-2</v>
      </c>
    </row>
    <row r="149" spans="1:26" s="24" customFormat="1" hidden="1" outlineLevel="2" x14ac:dyDescent="0.35">
      <c r="A149" s="29"/>
      <c r="B149" s="11" t="str">
        <f>CONCATENATE("          ", "6321", " - ", "BUILDING DEPRECIATION")</f>
        <v xml:space="preserve">          6321 - BUILDING DEPRECIATION</v>
      </c>
      <c r="C149" s="11"/>
      <c r="D149" s="7">
        <v>21477.030000000002</v>
      </c>
      <c r="E149" s="2"/>
      <c r="F149" s="6">
        <f t="shared" si="40"/>
        <v>1.821903432500464E-2</v>
      </c>
      <c r="G149" s="2"/>
      <c r="H149" s="7"/>
      <c r="I149" s="2"/>
      <c r="J149" s="6">
        <f t="shared" si="41"/>
        <v>0</v>
      </c>
      <c r="K149" s="2"/>
      <c r="L149" s="7">
        <f t="shared" si="42"/>
        <v>21477.030000000002</v>
      </c>
      <c r="M149" s="2"/>
      <c r="N149" s="6">
        <f t="shared" si="43"/>
        <v>0</v>
      </c>
      <c r="O149" s="11"/>
      <c r="P149" s="7">
        <v>150339.21000000002</v>
      </c>
      <c r="Q149" s="2"/>
      <c r="R149" s="6">
        <f t="shared" si="44"/>
        <v>3.8746970811934449E-2</v>
      </c>
      <c r="S149" s="2"/>
      <c r="T149" s="7"/>
      <c r="U149" s="2"/>
      <c r="V149" s="6">
        <f t="shared" si="45"/>
        <v>0</v>
      </c>
      <c r="W149" s="2"/>
      <c r="X149" s="7">
        <f t="shared" si="46"/>
        <v>150339.21000000002</v>
      </c>
      <c r="Y149" s="2"/>
      <c r="Z149" s="6">
        <f t="shared" si="47"/>
        <v>0</v>
      </c>
    </row>
    <row r="150" spans="1:26" s="24" customFormat="1" hidden="1" outlineLevel="2" x14ac:dyDescent="0.35">
      <c r="A150" s="29"/>
      <c r="B150" s="11" t="str">
        <f>CONCATENATE("          ", "6322", " - ", "EQUIPMENT DEPRECIATION EXPENSE")</f>
        <v xml:space="preserve">          6322 - EQUIPMENT DEPRECIATION EXPENSE</v>
      </c>
      <c r="C150" s="11"/>
      <c r="D150" s="7">
        <v>18410.91</v>
      </c>
      <c r="E150" s="2"/>
      <c r="F150" s="6">
        <f t="shared" si="40"/>
        <v>1.5618034767589892E-2</v>
      </c>
      <c r="G150" s="2"/>
      <c r="H150" s="7">
        <v>38857</v>
      </c>
      <c r="I150" s="2"/>
      <c r="J150" s="6">
        <f t="shared" si="41"/>
        <v>1.9559450521239703E-2</v>
      </c>
      <c r="K150" s="2"/>
      <c r="L150" s="7">
        <f t="shared" si="42"/>
        <v>-20446.09</v>
      </c>
      <c r="M150" s="2"/>
      <c r="N150" s="6">
        <f t="shared" si="43"/>
        <v>-0.52618807422086111</v>
      </c>
      <c r="O150" s="11"/>
      <c r="P150" s="7">
        <v>129353.14</v>
      </c>
      <c r="Q150" s="2"/>
      <c r="R150" s="6">
        <f t="shared" si="44"/>
        <v>3.3338224539107723E-2</v>
      </c>
      <c r="S150" s="2"/>
      <c r="T150" s="7">
        <v>273455</v>
      </c>
      <c r="U150" s="2"/>
      <c r="V150" s="6">
        <f t="shared" si="45"/>
        <v>3.9720928719195234E-2</v>
      </c>
      <c r="W150" s="2"/>
      <c r="X150" s="7">
        <f t="shared" si="46"/>
        <v>-144101.85999999999</v>
      </c>
      <c r="Y150" s="2"/>
      <c r="Z150" s="6">
        <f t="shared" si="47"/>
        <v>-0.52696736208882622</v>
      </c>
    </row>
    <row r="151" spans="1:26" s="28" customFormat="1" outlineLevel="1" collapsed="1" x14ac:dyDescent="0.35">
      <c r="A151" s="27"/>
      <c r="B151" s="14" t="str">
        <f>CONCATENATE("     ","Discounts and Markdowns                           ")</f>
        <v xml:space="preserve">     Discounts and Markdowns                           </v>
      </c>
      <c r="C151" s="14"/>
      <c r="D151" s="1">
        <f>SUM(OSRRefD22_6x_0)</f>
        <v>-42.86</v>
      </c>
      <c r="E151" s="1"/>
      <c r="F151" s="5">
        <f t="shared" ref="F151:F153" si="48">IF(D$12=0,0,D151/D$12)</f>
        <v>-3.6358277246420889E-5</v>
      </c>
      <c r="G151" s="1"/>
      <c r="H151" s="1">
        <f>SUM(OSRRefH22_6x_0)</f>
        <v>27008</v>
      </c>
      <c r="I151" s="1"/>
      <c r="J151" s="5">
        <f t="shared" ref="J151:J153" si="49">IF(H$12=0,0,H151/H$12)</f>
        <v>1.359501864986082E-2</v>
      </c>
      <c r="K151" s="1"/>
      <c r="L151" s="1">
        <f t="shared" ref="L151:L153" si="50">+D151-H151</f>
        <v>-27050.86</v>
      </c>
      <c r="M151" s="1"/>
      <c r="N151" s="5">
        <f t="shared" ref="N151:N153" si="51">IF(H151=0,0,L151/H151)</f>
        <v>-1.0015869372037915</v>
      </c>
      <c r="O151" s="14"/>
      <c r="P151" s="1">
        <f>SUM(OSRRefP22_6x_0)</f>
        <v>-42.86</v>
      </c>
      <c r="Q151" s="1"/>
      <c r="R151" s="5">
        <f t="shared" ref="R151:R153" si="52">IF(P$12=0,0,P151/P$12)</f>
        <v>-1.1046320976407355E-5</v>
      </c>
      <c r="S151" s="1"/>
      <c r="T151" s="1">
        <f>SUM(OSRRefT22_6x_0)</f>
        <v>186831</v>
      </c>
      <c r="U151" s="1"/>
      <c r="V151" s="5">
        <f t="shared" ref="V151:V153" si="53">IF(T$12=0,0,T151/T$12)</f>
        <v>2.7138289055003439E-2</v>
      </c>
      <c r="W151" s="1"/>
      <c r="X151" s="1">
        <f t="shared" ref="X151:X153" si="54">+P151-T151</f>
        <v>-186873.86</v>
      </c>
      <c r="Y151" s="1"/>
      <c r="Z151" s="5">
        <f t="shared" ref="Z151:Z153" si="55">IF(T151=0,0,X151/T151)</f>
        <v>-1.0002294051843643</v>
      </c>
    </row>
    <row r="152" spans="1:26" s="24" customFormat="1" hidden="1" outlineLevel="2" x14ac:dyDescent="0.35">
      <c r="A152" s="29"/>
      <c r="B152" s="11" t="str">
        <f>CONCATENATE("          ", "6382", " - ", "DISCOUNTS/MARK DOWNS")</f>
        <v xml:space="preserve">          6382 - DISCOUNTS/MARK DOWNS</v>
      </c>
      <c r="C152" s="11"/>
      <c r="D152" s="7"/>
      <c r="E152" s="2"/>
      <c r="F152" s="6">
        <f t="shared" si="48"/>
        <v>0</v>
      </c>
      <c r="G152" s="2"/>
      <c r="H152" s="7">
        <v>27008</v>
      </c>
      <c r="I152" s="2"/>
      <c r="J152" s="6">
        <f t="shared" si="49"/>
        <v>1.359501864986082E-2</v>
      </c>
      <c r="K152" s="2"/>
      <c r="L152" s="7">
        <f t="shared" si="50"/>
        <v>-27008</v>
      </c>
      <c r="M152" s="2"/>
      <c r="N152" s="6">
        <f t="shared" si="51"/>
        <v>-1</v>
      </c>
      <c r="O152" s="11"/>
      <c r="P152" s="7">
        <v>0</v>
      </c>
      <c r="Q152" s="2"/>
      <c r="R152" s="6">
        <f t="shared" si="52"/>
        <v>0</v>
      </c>
      <c r="S152" s="2"/>
      <c r="T152" s="7">
        <v>186831</v>
      </c>
      <c r="U152" s="2"/>
      <c r="V152" s="6">
        <f t="shared" si="53"/>
        <v>2.7138289055003439E-2</v>
      </c>
      <c r="W152" s="2"/>
      <c r="X152" s="7">
        <f t="shared" si="54"/>
        <v>-186831</v>
      </c>
      <c r="Y152" s="2"/>
      <c r="Z152" s="6">
        <f t="shared" si="55"/>
        <v>-1</v>
      </c>
    </row>
    <row r="153" spans="1:26" s="24" customFormat="1" hidden="1" outlineLevel="2" x14ac:dyDescent="0.35">
      <c r="A153" s="29"/>
      <c r="B153" s="11" t="str">
        <f>CONCATENATE("          ", "9175", " - ", "EARNED DISCOUNTS")</f>
        <v xml:space="preserve">          9175 - EARNED DISCOUNTS</v>
      </c>
      <c r="C153" s="11"/>
      <c r="D153" s="7">
        <v>-42.86</v>
      </c>
      <c r="E153" s="2"/>
      <c r="F153" s="6">
        <f t="shared" si="48"/>
        <v>-3.6358277246420889E-5</v>
      </c>
      <c r="G153" s="2"/>
      <c r="H153" s="7"/>
      <c r="I153" s="2"/>
      <c r="J153" s="6">
        <f t="shared" si="49"/>
        <v>0</v>
      </c>
      <c r="K153" s="2"/>
      <c r="L153" s="7">
        <f t="shared" si="50"/>
        <v>-42.86</v>
      </c>
      <c r="M153" s="2"/>
      <c r="N153" s="6">
        <f t="shared" si="51"/>
        <v>0</v>
      </c>
      <c r="O153" s="11"/>
      <c r="P153" s="7">
        <v>-42.86</v>
      </c>
      <c r="Q153" s="2"/>
      <c r="R153" s="6">
        <f t="shared" si="52"/>
        <v>-1.1046320976407355E-5</v>
      </c>
      <c r="S153" s="2"/>
      <c r="T153" s="7"/>
      <c r="U153" s="2"/>
      <c r="V153" s="6">
        <f t="shared" si="53"/>
        <v>0</v>
      </c>
      <c r="W153" s="2"/>
      <c r="X153" s="7">
        <f t="shared" si="54"/>
        <v>-42.86</v>
      </c>
      <c r="Y153" s="2"/>
      <c r="Z153" s="6">
        <f t="shared" si="55"/>
        <v>0</v>
      </c>
    </row>
    <row r="154" spans="1:26" s="28" customFormat="1" outlineLevel="1" collapsed="1" x14ac:dyDescent="0.35">
      <c r="A154" s="27"/>
      <c r="B154" s="14" t="str">
        <f>CONCATENATE("     ","Donations                                         ")</f>
        <v xml:space="preserve">     Donations                                         </v>
      </c>
      <c r="C154" s="14"/>
      <c r="D154" s="1">
        <f>SUM(OSRRefD22_7x_0)</f>
        <v>0</v>
      </c>
      <c r="E154" s="1"/>
      <c r="F154" s="5">
        <f t="shared" ref="F154:F156" si="56">IF(D$12=0,0,D154/D$12)</f>
        <v>0</v>
      </c>
      <c r="G154" s="1"/>
      <c r="H154" s="1">
        <f>SUM(OSRRefH22_7x_0)</f>
        <v>1000</v>
      </c>
      <c r="I154" s="1"/>
      <c r="J154" s="5">
        <f t="shared" ref="J154:J156" si="57">IF(H$12=0,0,H154/H$12)</f>
        <v>5.0337006256889879E-4</v>
      </c>
      <c r="K154" s="1"/>
      <c r="L154" s="1">
        <f t="shared" ref="L154:L156" si="58">+D154-H154</f>
        <v>-1000</v>
      </c>
      <c r="M154" s="1"/>
      <c r="N154" s="5">
        <f t="shared" ref="N154:N156" si="59">IF(H154=0,0,L154/H154)</f>
        <v>-1</v>
      </c>
      <c r="O154" s="14"/>
      <c r="P154" s="1">
        <f>SUM(OSRRefP22_7x_0)</f>
        <v>0</v>
      </c>
      <c r="Q154" s="1"/>
      <c r="R154" s="5">
        <f t="shared" ref="R154:R156" si="60">IF(P$12=0,0,P154/P$12)</f>
        <v>0</v>
      </c>
      <c r="S154" s="1"/>
      <c r="T154" s="1">
        <f>SUM(OSRRefT22_7x_0)</f>
        <v>7000</v>
      </c>
      <c r="U154" s="1"/>
      <c r="V154" s="5">
        <f t="shared" ref="V154:V156" si="61">IF(T$12=0,0,T154/T$12)</f>
        <v>1.0167907006065592E-3</v>
      </c>
      <c r="W154" s="1"/>
      <c r="X154" s="1">
        <f t="shared" ref="X154:X156" si="62">+P154-T154</f>
        <v>-7000</v>
      </c>
      <c r="Y154" s="1"/>
      <c r="Z154" s="5">
        <f t="shared" ref="Z154:Z156" si="63">IF(T154=0,0,X154/T154)</f>
        <v>-1</v>
      </c>
    </row>
    <row r="155" spans="1:26" s="24" customFormat="1" hidden="1" outlineLevel="2" x14ac:dyDescent="0.35">
      <c r="A155" s="29"/>
      <c r="B155" s="11" t="str">
        <f>CONCATENATE("          ", "6395", " - ", "DONATION-OFF CAMPUS")</f>
        <v xml:space="preserve">          6395 - DONATION-OFF CAMPUS</v>
      </c>
      <c r="C155" s="11"/>
      <c r="D155" s="7"/>
      <c r="E155" s="2"/>
      <c r="F155" s="6">
        <f t="shared" si="56"/>
        <v>0</v>
      </c>
      <c r="G155" s="2"/>
      <c r="H155" s="7"/>
      <c r="I155" s="2"/>
      <c r="J155" s="6">
        <f t="shared" si="57"/>
        <v>0</v>
      </c>
      <c r="K155" s="2"/>
      <c r="L155" s="7">
        <f t="shared" si="58"/>
        <v>0</v>
      </c>
      <c r="M155" s="2"/>
      <c r="N155" s="6">
        <f t="shared" si="59"/>
        <v>0</v>
      </c>
      <c r="O155" s="11"/>
      <c r="P155" s="7"/>
      <c r="Q155" s="2"/>
      <c r="R155" s="6">
        <f t="shared" si="60"/>
        <v>0</v>
      </c>
      <c r="S155" s="2"/>
      <c r="T155" s="7">
        <v>0</v>
      </c>
      <c r="U155" s="2"/>
      <c r="V155" s="6">
        <f t="shared" si="61"/>
        <v>0</v>
      </c>
      <c r="W155" s="2"/>
      <c r="X155" s="7">
        <f t="shared" si="62"/>
        <v>0</v>
      </c>
      <c r="Y155" s="2"/>
      <c r="Z155" s="6">
        <f t="shared" si="63"/>
        <v>0</v>
      </c>
    </row>
    <row r="156" spans="1:26" s="24" customFormat="1" hidden="1" outlineLevel="2" x14ac:dyDescent="0.35">
      <c r="A156" s="29"/>
      <c r="B156" s="11" t="str">
        <f>CONCATENATE("          ", "6399", " - ", "DONATION-ON CAMPUS")</f>
        <v xml:space="preserve">          6399 - DONATION-ON CAMPUS</v>
      </c>
      <c r="C156" s="11"/>
      <c r="D156" s="7"/>
      <c r="E156" s="2"/>
      <c r="F156" s="6">
        <f t="shared" si="56"/>
        <v>0</v>
      </c>
      <c r="G156" s="2"/>
      <c r="H156" s="7">
        <v>1000</v>
      </c>
      <c r="I156" s="2"/>
      <c r="J156" s="6">
        <f t="shared" si="57"/>
        <v>5.0337006256889879E-4</v>
      </c>
      <c r="K156" s="2"/>
      <c r="L156" s="7">
        <f t="shared" si="58"/>
        <v>-1000</v>
      </c>
      <c r="M156" s="2"/>
      <c r="N156" s="6">
        <f t="shared" si="59"/>
        <v>-1</v>
      </c>
      <c r="O156" s="11"/>
      <c r="P156" s="7"/>
      <c r="Q156" s="2"/>
      <c r="R156" s="6">
        <f t="shared" si="60"/>
        <v>0</v>
      </c>
      <c r="S156" s="2"/>
      <c r="T156" s="7">
        <v>7000</v>
      </c>
      <c r="U156" s="2"/>
      <c r="V156" s="6">
        <f t="shared" si="61"/>
        <v>1.0167907006065592E-3</v>
      </c>
      <c r="W156" s="2"/>
      <c r="X156" s="7">
        <f t="shared" si="62"/>
        <v>-7000</v>
      </c>
      <c r="Y156" s="2"/>
      <c r="Z156" s="6">
        <f t="shared" si="63"/>
        <v>-1</v>
      </c>
    </row>
    <row r="157" spans="1:26" s="28" customFormat="1" outlineLevel="1" collapsed="1" x14ac:dyDescent="0.35">
      <c r="A157" s="27"/>
      <c r="B157" s="14" t="str">
        <f>CONCATENATE("     ","Employees' Appreciation                           ")</f>
        <v xml:space="preserve">     Employees' Appreciation                           </v>
      </c>
      <c r="C157" s="14"/>
      <c r="D157" s="1">
        <f>SUM(OSRRefD22_8x_0)</f>
        <v>78.33</v>
      </c>
      <c r="E157" s="1"/>
      <c r="F157" s="5">
        <f t="shared" ref="F157:F163" si="64">IF(D$12=0,0,D157/D$12)</f>
        <v>6.6447593483717882E-5</v>
      </c>
      <c r="G157" s="1"/>
      <c r="H157" s="1">
        <f>SUM(OSRRefH22_8x_0)</f>
        <v>425</v>
      </c>
      <c r="I157" s="1"/>
      <c r="J157" s="5">
        <f t="shared" ref="J157:J163" si="65">IF(H$12=0,0,H157/H$12)</f>
        <v>2.1393227659178201E-4</v>
      </c>
      <c r="K157" s="1"/>
      <c r="L157" s="1">
        <f t="shared" ref="L157:L163" si="66">+D157-H157</f>
        <v>-346.67</v>
      </c>
      <c r="M157" s="1"/>
      <c r="N157" s="5">
        <f t="shared" ref="N157:N163" si="67">IF(H157=0,0,L157/H157)</f>
        <v>-0.8156941176470589</v>
      </c>
      <c r="O157" s="14"/>
      <c r="P157" s="1">
        <f>SUM(OSRRefP22_8x_0)</f>
        <v>186.03</v>
      </c>
      <c r="Q157" s="1"/>
      <c r="R157" s="5">
        <f t="shared" ref="R157:R163" si="68">IF(P$12=0,0,P157/P$12)</f>
        <v>4.794556909101867E-5</v>
      </c>
      <c r="S157" s="1"/>
      <c r="T157" s="1">
        <f>SUM(OSRRefT22_8x_0)</f>
        <v>2925</v>
      </c>
      <c r="U157" s="1"/>
      <c r="V157" s="5">
        <f t="shared" ref="V157:V163" si="69">IF(T$12=0,0,T157/T$12)</f>
        <v>4.2487325703916939E-4</v>
      </c>
      <c r="W157" s="1"/>
      <c r="X157" s="1">
        <f t="shared" ref="X157:X163" si="70">+P157-T157</f>
        <v>-2738.97</v>
      </c>
      <c r="Y157" s="1"/>
      <c r="Z157" s="5">
        <f t="shared" ref="Z157:Z163" si="71">IF(T157=0,0,X157/T157)</f>
        <v>-0.9363999999999999</v>
      </c>
    </row>
    <row r="158" spans="1:26" s="24" customFormat="1" hidden="1" outlineLevel="2" x14ac:dyDescent="0.35">
      <c r="A158" s="29"/>
      <c r="B158" s="11" t="str">
        <f>CONCATENATE("          ", "6277", " - ", "EMPLOYEE APPRECIATION")</f>
        <v xml:space="preserve">          6277 - EMPLOYEE APPRECIATION</v>
      </c>
      <c r="C158" s="11"/>
      <c r="D158" s="7">
        <v>78.33</v>
      </c>
      <c r="E158" s="2"/>
      <c r="F158" s="6">
        <f t="shared" si="64"/>
        <v>6.6447593483717882E-5</v>
      </c>
      <c r="G158" s="2"/>
      <c r="H158" s="7">
        <v>425</v>
      </c>
      <c r="I158" s="2"/>
      <c r="J158" s="6">
        <f t="shared" si="65"/>
        <v>2.1393227659178201E-4</v>
      </c>
      <c r="K158" s="2"/>
      <c r="L158" s="7">
        <f t="shared" si="66"/>
        <v>-346.67</v>
      </c>
      <c r="M158" s="2"/>
      <c r="N158" s="6">
        <f t="shared" si="67"/>
        <v>-0.8156941176470589</v>
      </c>
      <c r="O158" s="11"/>
      <c r="P158" s="7">
        <v>186.03</v>
      </c>
      <c r="Q158" s="2"/>
      <c r="R158" s="6">
        <f t="shared" si="68"/>
        <v>4.794556909101867E-5</v>
      </c>
      <c r="S158" s="2"/>
      <c r="T158" s="7">
        <v>2925</v>
      </c>
      <c r="U158" s="2"/>
      <c r="V158" s="6">
        <f t="shared" si="69"/>
        <v>4.2487325703916939E-4</v>
      </c>
      <c r="W158" s="2"/>
      <c r="X158" s="7">
        <f t="shared" si="70"/>
        <v>-2738.97</v>
      </c>
      <c r="Y158" s="2"/>
      <c r="Z158" s="6">
        <f t="shared" si="71"/>
        <v>-0.9363999999999999</v>
      </c>
    </row>
    <row r="159" spans="1:26" s="28" customFormat="1" outlineLevel="1" collapsed="1" x14ac:dyDescent="0.35">
      <c r="A159" s="27"/>
      <c r="B159" s="14" t="str">
        <f>CONCATENATE("     ","Equipment Rental                                  ")</f>
        <v xml:space="preserve">     Equipment Rental                                  </v>
      </c>
      <c r="C159" s="14"/>
      <c r="D159" s="1">
        <f>SUM(OSRRefD22_9x_0)</f>
        <v>1564.56</v>
      </c>
      <c r="E159" s="1"/>
      <c r="F159" s="5">
        <f t="shared" si="64"/>
        <v>1.3272213310466696E-3</v>
      </c>
      <c r="G159" s="1"/>
      <c r="H159" s="1">
        <f>SUM(OSRRefH22_9x_0)</f>
        <v>3152</v>
      </c>
      <c r="I159" s="1"/>
      <c r="J159" s="5">
        <f t="shared" si="65"/>
        <v>1.5866224372171691E-3</v>
      </c>
      <c r="K159" s="1"/>
      <c r="L159" s="1">
        <f t="shared" si="66"/>
        <v>-1587.44</v>
      </c>
      <c r="M159" s="1"/>
      <c r="N159" s="5">
        <f t="shared" si="67"/>
        <v>-0.50362944162436551</v>
      </c>
      <c r="O159" s="14"/>
      <c r="P159" s="1">
        <f>SUM(OSRRefP22_9x_0)</f>
        <v>10629.45</v>
      </c>
      <c r="Q159" s="1"/>
      <c r="R159" s="5">
        <f t="shared" si="68"/>
        <v>2.7395314163012868E-3</v>
      </c>
      <c r="S159" s="1"/>
      <c r="T159" s="1">
        <f>SUM(OSRRefT22_9x_0)</f>
        <v>21626</v>
      </c>
      <c r="U159" s="1"/>
      <c r="V159" s="5">
        <f t="shared" si="69"/>
        <v>3.1413022416167786E-3</v>
      </c>
      <c r="W159" s="1"/>
      <c r="X159" s="1">
        <f t="shared" si="70"/>
        <v>-10996.55</v>
      </c>
      <c r="Y159" s="1"/>
      <c r="Z159" s="5">
        <f t="shared" si="71"/>
        <v>-0.50848746878757045</v>
      </c>
    </row>
    <row r="160" spans="1:26" s="24" customFormat="1" hidden="1" outlineLevel="2" x14ac:dyDescent="0.35">
      <c r="A160" s="29"/>
      <c r="B160" s="11" t="str">
        <f>CONCATENATE("          ", "6351", " - ", "EQUIPMENT RENTAL")</f>
        <v xml:space="preserve">          6351 - EQUIPMENT RENTAL</v>
      </c>
      <c r="C160" s="11"/>
      <c r="D160" s="7">
        <v>1564.56</v>
      </c>
      <c r="E160" s="2"/>
      <c r="F160" s="6">
        <f t="shared" si="64"/>
        <v>1.3272213310466696E-3</v>
      </c>
      <c r="G160" s="2"/>
      <c r="H160" s="7">
        <v>3152</v>
      </c>
      <c r="I160" s="2"/>
      <c r="J160" s="6">
        <f t="shared" si="65"/>
        <v>1.5866224372171691E-3</v>
      </c>
      <c r="K160" s="2"/>
      <c r="L160" s="7">
        <f t="shared" si="66"/>
        <v>-1587.44</v>
      </c>
      <c r="M160" s="2"/>
      <c r="N160" s="6">
        <f t="shared" si="67"/>
        <v>-0.50362944162436551</v>
      </c>
      <c r="O160" s="11"/>
      <c r="P160" s="7">
        <v>10629.45</v>
      </c>
      <c r="Q160" s="2"/>
      <c r="R160" s="6">
        <f t="shared" si="68"/>
        <v>2.7395314163012868E-3</v>
      </c>
      <c r="S160" s="2"/>
      <c r="T160" s="7">
        <v>21626</v>
      </c>
      <c r="U160" s="2"/>
      <c r="V160" s="6">
        <f t="shared" si="69"/>
        <v>3.1413022416167786E-3</v>
      </c>
      <c r="W160" s="2"/>
      <c r="X160" s="7">
        <f t="shared" si="70"/>
        <v>-10996.55</v>
      </c>
      <c r="Y160" s="2"/>
      <c r="Z160" s="6">
        <f t="shared" si="71"/>
        <v>-0.50848746878757045</v>
      </c>
    </row>
    <row r="161" spans="1:26" s="28" customFormat="1" outlineLevel="1" collapsed="1" x14ac:dyDescent="0.35">
      <c r="A161" s="27"/>
      <c r="B161" s="14" t="str">
        <f>CONCATENATE("     ","Freight out/Postage                               ")</f>
        <v xml:space="preserve">     Freight out/Postage                               </v>
      </c>
      <c r="C161" s="14"/>
      <c r="D161" s="1">
        <f>SUM(OSRRefD22_10x_0)</f>
        <v>-21762.36</v>
      </c>
      <c r="E161" s="1"/>
      <c r="F161" s="5">
        <f t="shared" si="64"/>
        <v>-1.8461080691003735E-2</v>
      </c>
      <c r="G161" s="1"/>
      <c r="H161" s="1">
        <f>SUM(OSRRefH22_10x_0)</f>
        <v>-11310</v>
      </c>
      <c r="I161" s="1"/>
      <c r="J161" s="5">
        <f t="shared" si="65"/>
        <v>-5.6931154076542458E-3</v>
      </c>
      <c r="K161" s="1"/>
      <c r="L161" s="1">
        <f t="shared" si="66"/>
        <v>-10452.36</v>
      </c>
      <c r="M161" s="1"/>
      <c r="N161" s="5">
        <f t="shared" si="67"/>
        <v>0.9241697612732096</v>
      </c>
      <c r="O161" s="14"/>
      <c r="P161" s="1">
        <f>SUM(OSRRefP22_10x_0)</f>
        <v>-36701.959999999992</v>
      </c>
      <c r="Q161" s="1"/>
      <c r="R161" s="5">
        <f t="shared" si="68"/>
        <v>-9.4592074340472138E-3</v>
      </c>
      <c r="S161" s="1"/>
      <c r="T161" s="1">
        <f>SUM(OSRRefT22_10x_0)</f>
        <v>40765</v>
      </c>
      <c r="U161" s="1"/>
      <c r="V161" s="5">
        <f t="shared" si="69"/>
        <v>5.9213532728894834E-3</v>
      </c>
      <c r="W161" s="1"/>
      <c r="X161" s="1">
        <f t="shared" si="70"/>
        <v>-77466.959999999992</v>
      </c>
      <c r="Y161" s="1"/>
      <c r="Z161" s="5">
        <f t="shared" si="71"/>
        <v>-1.9003301852078986</v>
      </c>
    </row>
    <row r="162" spans="1:26" s="24" customFormat="1" hidden="1" outlineLevel="2" x14ac:dyDescent="0.35">
      <c r="A162" s="29"/>
      <c r="B162" s="11" t="str">
        <f>CONCATENATE("          ", "6305", " - ", "FREIGHT OUT")</f>
        <v xml:space="preserve">          6305 - FREIGHT OUT</v>
      </c>
      <c r="C162" s="11"/>
      <c r="D162" s="7">
        <v>18723.86</v>
      </c>
      <c r="E162" s="2"/>
      <c r="F162" s="6">
        <f t="shared" si="64"/>
        <v>1.5883511269322685E-2</v>
      </c>
      <c r="G162" s="2"/>
      <c r="H162" s="7">
        <v>4670</v>
      </c>
      <c r="I162" s="2"/>
      <c r="J162" s="6">
        <f t="shared" si="65"/>
        <v>2.3507381921967574E-3</v>
      </c>
      <c r="K162" s="2"/>
      <c r="L162" s="7">
        <f t="shared" si="66"/>
        <v>14053.86</v>
      </c>
      <c r="M162" s="2"/>
      <c r="N162" s="6">
        <f t="shared" si="67"/>
        <v>3.0093918629550322</v>
      </c>
      <c r="O162" s="11"/>
      <c r="P162" s="7">
        <v>135606.63</v>
      </c>
      <c r="Q162" s="2"/>
      <c r="R162" s="6">
        <f t="shared" si="68"/>
        <v>3.4949938439311962E-2</v>
      </c>
      <c r="S162" s="2"/>
      <c r="T162" s="7">
        <v>37375</v>
      </c>
      <c r="U162" s="2"/>
      <c r="V162" s="6">
        <f t="shared" si="69"/>
        <v>5.4289360621671643E-3</v>
      </c>
      <c r="W162" s="2"/>
      <c r="X162" s="7">
        <f t="shared" si="70"/>
        <v>98231.63</v>
      </c>
      <c r="Y162" s="2"/>
      <c r="Z162" s="6">
        <f t="shared" si="71"/>
        <v>2.6282710367892976</v>
      </c>
    </row>
    <row r="163" spans="1:26" s="24" customFormat="1" hidden="1" outlineLevel="2" x14ac:dyDescent="0.35">
      <c r="A163" s="29"/>
      <c r="B163" s="11" t="str">
        <f>CONCATENATE("          ", "6307", " - ", "POSTAGE")</f>
        <v xml:space="preserve">          6307 - POSTAGE</v>
      </c>
      <c r="C163" s="11"/>
      <c r="D163" s="7">
        <v>-40486.22</v>
      </c>
      <c r="E163" s="2"/>
      <c r="F163" s="6">
        <f t="shared" si="64"/>
        <v>-3.4344591960326416E-2</v>
      </c>
      <c r="G163" s="2"/>
      <c r="H163" s="7">
        <v>-15980</v>
      </c>
      <c r="I163" s="2"/>
      <c r="J163" s="6">
        <f t="shared" si="65"/>
        <v>-8.0438535998510041E-3</v>
      </c>
      <c r="K163" s="2"/>
      <c r="L163" s="7">
        <f t="shared" si="66"/>
        <v>-24506.22</v>
      </c>
      <c r="M163" s="2"/>
      <c r="N163" s="6">
        <f t="shared" si="67"/>
        <v>1.5335556946182729</v>
      </c>
      <c r="O163" s="11"/>
      <c r="P163" s="7">
        <v>-172308.59</v>
      </c>
      <c r="Q163" s="2"/>
      <c r="R163" s="6">
        <f t="shared" si="68"/>
        <v>-4.4409145873359181E-2</v>
      </c>
      <c r="S163" s="2"/>
      <c r="T163" s="7">
        <v>3390</v>
      </c>
      <c r="U163" s="2"/>
      <c r="V163" s="6">
        <f t="shared" si="69"/>
        <v>4.9241721072231935E-4</v>
      </c>
      <c r="W163" s="2"/>
      <c r="X163" s="7">
        <f t="shared" si="70"/>
        <v>-175698.59</v>
      </c>
      <c r="Y163" s="2"/>
      <c r="Z163" s="6">
        <f t="shared" si="71"/>
        <v>-51.828492625368732</v>
      </c>
    </row>
    <row r="164" spans="1:26" s="28" customFormat="1" outlineLevel="1" collapsed="1" x14ac:dyDescent="0.35">
      <c r="A164" s="27"/>
      <c r="B164" s="14" t="str">
        <f>CONCATENATE("     ","General                                           ")</f>
        <v xml:space="preserve">     General                                           </v>
      </c>
      <c r="C164" s="14"/>
      <c r="D164" s="1">
        <f>SUM(OSRRefD22_11x_0)</f>
        <v>-198.36</v>
      </c>
      <c r="E164" s="1"/>
      <c r="F164" s="5">
        <f t="shared" ref="F164:F167" si="72">IF(D$12=0,0,D164/D$12)</f>
        <v>-1.6826943244517144E-4</v>
      </c>
      <c r="G164" s="1"/>
      <c r="H164" s="1">
        <f>SUM(OSRRefH22_11x_0)</f>
        <v>1000</v>
      </c>
      <c r="I164" s="1"/>
      <c r="J164" s="5">
        <f t="shared" ref="J164:J167" si="73">IF(H$12=0,0,H164/H$12)</f>
        <v>5.0337006256889879E-4</v>
      </c>
      <c r="K164" s="1"/>
      <c r="L164" s="1">
        <f t="shared" ref="L164:L167" si="74">+D164-H164</f>
        <v>-1198.3600000000001</v>
      </c>
      <c r="M164" s="1"/>
      <c r="N164" s="5">
        <f t="shared" ref="N164:N167" si="75">IF(H164=0,0,L164/H164)</f>
        <v>-1.1983600000000001</v>
      </c>
      <c r="O164" s="14"/>
      <c r="P164" s="1">
        <f>SUM(OSRRefP22_11x_0)</f>
        <v>5302.49</v>
      </c>
      <c r="Q164" s="1"/>
      <c r="R164" s="5">
        <f t="shared" ref="R164:R167" si="76">IF(P$12=0,0,P164/P$12)</f>
        <v>1.3666123778392494E-3</v>
      </c>
      <c r="S164" s="1"/>
      <c r="T164" s="1">
        <f>SUM(OSRRefT22_11x_0)</f>
        <v>11225</v>
      </c>
      <c r="U164" s="1"/>
      <c r="V164" s="5">
        <f t="shared" ref="V164:V167" si="77">IF(T$12=0,0,T164/T$12)</f>
        <v>1.6304965163298039E-3</v>
      </c>
      <c r="W164" s="1"/>
      <c r="X164" s="1">
        <f t="shared" ref="X164:X167" si="78">+P164-T164</f>
        <v>-5922.51</v>
      </c>
      <c r="Y164" s="1"/>
      <c r="Z164" s="5">
        <f t="shared" ref="Z164:Z167" si="79">IF(T164=0,0,X164/T164)</f>
        <v>-0.52761781737193769</v>
      </c>
    </row>
    <row r="165" spans="1:26" s="24" customFormat="1" hidden="1" outlineLevel="2" x14ac:dyDescent="0.35">
      <c r="A165" s="29"/>
      <c r="B165" s="11" t="str">
        <f>CONCATENATE("          ", "6269", " - ", "ENTERTAINMENT")</f>
        <v xml:space="preserve">          6269 - ENTERTAINMENT</v>
      </c>
      <c r="C165" s="11"/>
      <c r="D165" s="7"/>
      <c r="E165" s="2"/>
      <c r="F165" s="6">
        <f t="shared" si="72"/>
        <v>0</v>
      </c>
      <c r="G165" s="2"/>
      <c r="H165" s="7"/>
      <c r="I165" s="2"/>
      <c r="J165" s="6">
        <f t="shared" si="73"/>
        <v>0</v>
      </c>
      <c r="K165" s="2"/>
      <c r="L165" s="7">
        <f t="shared" si="74"/>
        <v>0</v>
      </c>
      <c r="M165" s="2"/>
      <c r="N165" s="6">
        <f t="shared" si="75"/>
        <v>0</v>
      </c>
      <c r="O165" s="11"/>
      <c r="P165" s="7"/>
      <c r="Q165" s="2"/>
      <c r="R165" s="6">
        <f t="shared" si="76"/>
        <v>0</v>
      </c>
      <c r="S165" s="2"/>
      <c r="T165" s="7">
        <v>1375</v>
      </c>
      <c r="U165" s="2"/>
      <c r="V165" s="6">
        <f t="shared" si="77"/>
        <v>1.997267447620027E-4</v>
      </c>
      <c r="W165" s="2"/>
      <c r="X165" s="7">
        <f t="shared" si="78"/>
        <v>-1375</v>
      </c>
      <c r="Y165" s="2"/>
      <c r="Z165" s="6">
        <f t="shared" si="79"/>
        <v>-1</v>
      </c>
    </row>
    <row r="166" spans="1:26" s="24" customFormat="1" hidden="1" outlineLevel="2" x14ac:dyDescent="0.35">
      <c r="A166" s="29"/>
      <c r="B166" s="11" t="str">
        <f>CONCATENATE("          ", "6276", " - ", "PROPERTY TAX")</f>
        <v xml:space="preserve">          6276 - PROPERTY TAX</v>
      </c>
      <c r="C166" s="11"/>
      <c r="D166" s="7"/>
      <c r="E166" s="2"/>
      <c r="F166" s="6">
        <f t="shared" si="72"/>
        <v>0</v>
      </c>
      <c r="G166" s="2"/>
      <c r="H166" s="7"/>
      <c r="I166" s="2"/>
      <c r="J166" s="6">
        <f t="shared" si="73"/>
        <v>0</v>
      </c>
      <c r="K166" s="2"/>
      <c r="L166" s="7">
        <f t="shared" si="74"/>
        <v>0</v>
      </c>
      <c r="M166" s="2"/>
      <c r="N166" s="6">
        <f t="shared" si="75"/>
        <v>0</v>
      </c>
      <c r="O166" s="11"/>
      <c r="P166" s="7"/>
      <c r="Q166" s="2"/>
      <c r="R166" s="6">
        <f t="shared" si="76"/>
        <v>0</v>
      </c>
      <c r="S166" s="2"/>
      <c r="T166" s="7">
        <v>150</v>
      </c>
      <c r="U166" s="2"/>
      <c r="V166" s="6">
        <f t="shared" si="77"/>
        <v>2.1788372155854841E-5</v>
      </c>
      <c r="W166" s="2"/>
      <c r="X166" s="7">
        <f t="shared" si="78"/>
        <v>-150</v>
      </c>
      <c r="Y166" s="2"/>
      <c r="Z166" s="6">
        <f t="shared" si="79"/>
        <v>-1</v>
      </c>
    </row>
    <row r="167" spans="1:26" s="24" customFormat="1" hidden="1" outlineLevel="2" x14ac:dyDescent="0.35">
      <c r="A167" s="29"/>
      <c r="B167" s="11" t="str">
        <f>CONCATENATE("          ", "6279", " - ", "GENERAL EXPENSE")</f>
        <v xml:space="preserve">          6279 - GENERAL EXPENSE</v>
      </c>
      <c r="C167" s="11"/>
      <c r="D167" s="7">
        <v>-198.36</v>
      </c>
      <c r="E167" s="2"/>
      <c r="F167" s="6">
        <f t="shared" si="72"/>
        <v>-1.6826943244517144E-4</v>
      </c>
      <c r="G167" s="2"/>
      <c r="H167" s="7">
        <v>1000</v>
      </c>
      <c r="I167" s="2"/>
      <c r="J167" s="6">
        <f t="shared" si="73"/>
        <v>5.0337006256889879E-4</v>
      </c>
      <c r="K167" s="2"/>
      <c r="L167" s="7">
        <f t="shared" si="74"/>
        <v>-1198.3600000000001</v>
      </c>
      <c r="M167" s="2"/>
      <c r="N167" s="6">
        <f t="shared" si="75"/>
        <v>-1.1983600000000001</v>
      </c>
      <c r="O167" s="11"/>
      <c r="P167" s="7">
        <v>5302.49</v>
      </c>
      <c r="Q167" s="2"/>
      <c r="R167" s="6">
        <f t="shared" si="76"/>
        <v>1.3666123778392494E-3</v>
      </c>
      <c r="S167" s="2"/>
      <c r="T167" s="7">
        <v>9700</v>
      </c>
      <c r="U167" s="2"/>
      <c r="V167" s="6">
        <f t="shared" si="77"/>
        <v>1.4089813994119463E-3</v>
      </c>
      <c r="W167" s="2"/>
      <c r="X167" s="7">
        <f t="shared" si="78"/>
        <v>-4397.51</v>
      </c>
      <c r="Y167" s="2"/>
      <c r="Z167" s="6">
        <f t="shared" si="79"/>
        <v>-0.45335154639175262</v>
      </c>
    </row>
    <row r="168" spans="1:26" s="28" customFormat="1" outlineLevel="1" collapsed="1" x14ac:dyDescent="0.35">
      <c r="A168" s="27"/>
      <c r="B168" s="14" t="str">
        <f>CONCATENATE("     ","Insurance                                         ")</f>
        <v xml:space="preserve">     Insurance                                         </v>
      </c>
      <c r="C168" s="14"/>
      <c r="D168" s="1">
        <f>SUM(OSRRefD22_12x_0)</f>
        <v>4288.28</v>
      </c>
      <c r="E168" s="1"/>
      <c r="F168" s="5">
        <f t="shared" ref="F168:F182" si="80">IF(D$12=0,0,D168/D$12)</f>
        <v>3.6377618560495045E-3</v>
      </c>
      <c r="G168" s="1"/>
      <c r="H168" s="1">
        <f>SUM(OSRRefH22_12x_0)</f>
        <v>4716</v>
      </c>
      <c r="I168" s="1"/>
      <c r="J168" s="5">
        <f t="shared" ref="J168:J182" si="81">IF(H$12=0,0,H168/H$12)</f>
        <v>2.3738932150749268E-3</v>
      </c>
      <c r="K168" s="1"/>
      <c r="L168" s="1">
        <f t="shared" ref="L168:L182" si="82">+D168-H168</f>
        <v>-427.72000000000025</v>
      </c>
      <c r="M168" s="1"/>
      <c r="N168" s="5">
        <f t="shared" ref="N168:N182" si="83">IF(H168=0,0,L168/H168)</f>
        <v>-9.0695504664970367E-2</v>
      </c>
      <c r="O168" s="14"/>
      <c r="P168" s="1">
        <f>SUM(OSRRefP22_12x_0)</f>
        <v>30017.96</v>
      </c>
      <c r="Q168" s="1"/>
      <c r="R168" s="5">
        <f t="shared" ref="R168:R182" si="84">IF(P$12=0,0,P168/P$12)</f>
        <v>7.7365380591917143E-3</v>
      </c>
      <c r="S168" s="1"/>
      <c r="T168" s="1">
        <f>SUM(OSRRefT22_12x_0)</f>
        <v>33012</v>
      </c>
      <c r="U168" s="1"/>
      <c r="V168" s="5">
        <f t="shared" ref="V168:V182" si="85">IF(T$12=0,0,T168/T$12)</f>
        <v>4.795184944060533E-3</v>
      </c>
      <c r="W168" s="1"/>
      <c r="X168" s="1">
        <f t="shared" ref="X168:X182" si="86">+P168-T168</f>
        <v>-2994.0400000000009</v>
      </c>
      <c r="Y168" s="1"/>
      <c r="Z168" s="5">
        <f t="shared" ref="Z168:Z182" si="87">IF(T168=0,0,X168/T168)</f>
        <v>-9.0695504664970339E-2</v>
      </c>
    </row>
    <row r="169" spans="1:26" s="24" customFormat="1" hidden="1" outlineLevel="2" x14ac:dyDescent="0.35">
      <c r="A169" s="29"/>
      <c r="B169" s="11" t="str">
        <f>CONCATENATE("          ", "6314", " - ", "LIABILITY INSURANCE")</f>
        <v xml:space="preserve">          6314 - LIABILITY INSURANCE</v>
      </c>
      <c r="C169" s="11"/>
      <c r="D169" s="7">
        <v>4288.28</v>
      </c>
      <c r="E169" s="2"/>
      <c r="F169" s="6">
        <f t="shared" si="80"/>
        <v>3.6377618560495045E-3</v>
      </c>
      <c r="G169" s="2"/>
      <c r="H169" s="7">
        <v>4716</v>
      </c>
      <c r="I169" s="2"/>
      <c r="J169" s="6">
        <f t="shared" si="81"/>
        <v>2.3738932150749268E-3</v>
      </c>
      <c r="K169" s="2"/>
      <c r="L169" s="7">
        <f t="shared" si="82"/>
        <v>-427.72000000000025</v>
      </c>
      <c r="M169" s="2"/>
      <c r="N169" s="6">
        <f t="shared" si="83"/>
        <v>-9.0695504664970367E-2</v>
      </c>
      <c r="O169" s="11"/>
      <c r="P169" s="7">
        <v>30017.96</v>
      </c>
      <c r="Q169" s="2"/>
      <c r="R169" s="6">
        <f t="shared" si="84"/>
        <v>7.7365380591917143E-3</v>
      </c>
      <c r="S169" s="2"/>
      <c r="T169" s="7">
        <v>33012</v>
      </c>
      <c r="U169" s="2"/>
      <c r="V169" s="6">
        <f t="shared" si="85"/>
        <v>4.795184944060533E-3</v>
      </c>
      <c r="W169" s="2"/>
      <c r="X169" s="7">
        <f t="shared" si="86"/>
        <v>-2994.0400000000009</v>
      </c>
      <c r="Y169" s="2"/>
      <c r="Z169" s="6">
        <f t="shared" si="87"/>
        <v>-9.0695504664970339E-2</v>
      </c>
    </row>
    <row r="170" spans="1:26" s="28" customFormat="1" outlineLevel="1" collapsed="1" x14ac:dyDescent="0.35">
      <c r="A170" s="27"/>
      <c r="B170" s="14" t="str">
        <f>CONCATENATE("     ","Interest                                          ")</f>
        <v xml:space="preserve">     Interest                                          </v>
      </c>
      <c r="C170" s="14"/>
      <c r="D170" s="1">
        <f>SUM(OSRRefD22_13x_0)</f>
        <v>4044</v>
      </c>
      <c r="E170" s="1"/>
      <c r="F170" s="5">
        <f t="shared" si="80"/>
        <v>3.4305383384163808E-3</v>
      </c>
      <c r="G170" s="1"/>
      <c r="H170" s="1">
        <f>SUM(OSRRefH22_13x_0)</f>
        <v>4044</v>
      </c>
      <c r="I170" s="1"/>
      <c r="J170" s="5">
        <f t="shared" si="81"/>
        <v>2.0356285330286267E-3</v>
      </c>
      <c r="K170" s="1"/>
      <c r="L170" s="1">
        <f t="shared" si="82"/>
        <v>0</v>
      </c>
      <c r="M170" s="1"/>
      <c r="N170" s="5">
        <f t="shared" si="83"/>
        <v>0</v>
      </c>
      <c r="O170" s="14"/>
      <c r="P170" s="1">
        <f>SUM(OSRRefP22_13x_0)</f>
        <v>28045.85</v>
      </c>
      <c r="Q170" s="1"/>
      <c r="R170" s="5">
        <f t="shared" si="84"/>
        <v>7.2282655426078903E-3</v>
      </c>
      <c r="S170" s="1"/>
      <c r="T170" s="1">
        <f>SUM(OSRRefT22_13x_0)</f>
        <v>28308</v>
      </c>
      <c r="U170" s="1"/>
      <c r="V170" s="5">
        <f t="shared" si="85"/>
        <v>4.1119015932529254E-3</v>
      </c>
      <c r="W170" s="1"/>
      <c r="X170" s="1">
        <f t="shared" si="86"/>
        <v>-262.15000000000146</v>
      </c>
      <c r="Y170" s="1"/>
      <c r="Z170" s="5">
        <f t="shared" si="87"/>
        <v>-9.2606330365974793E-3</v>
      </c>
    </row>
    <row r="171" spans="1:26" s="24" customFormat="1" hidden="1" outlineLevel="2" x14ac:dyDescent="0.35">
      <c r="A171" s="29"/>
      <c r="B171" s="11" t="str">
        <f>CONCATENATE("          ", "6401", " - ", "INTEREST EXPENSE")</f>
        <v xml:space="preserve">          6401 - INTEREST EXPENSE</v>
      </c>
      <c r="C171" s="11"/>
      <c r="D171" s="7">
        <v>4044</v>
      </c>
      <c r="E171" s="2"/>
      <c r="F171" s="6">
        <f t="shared" si="80"/>
        <v>3.4305383384163808E-3</v>
      </c>
      <c r="G171" s="2"/>
      <c r="H171" s="7">
        <v>4044</v>
      </c>
      <c r="I171" s="2"/>
      <c r="J171" s="6">
        <f t="shared" si="81"/>
        <v>2.0356285330286267E-3</v>
      </c>
      <c r="K171" s="2"/>
      <c r="L171" s="7">
        <f t="shared" si="82"/>
        <v>0</v>
      </c>
      <c r="M171" s="2"/>
      <c r="N171" s="6">
        <f t="shared" si="83"/>
        <v>0</v>
      </c>
      <c r="O171" s="11"/>
      <c r="P171" s="7">
        <v>28045.85</v>
      </c>
      <c r="Q171" s="2"/>
      <c r="R171" s="6">
        <f t="shared" si="84"/>
        <v>7.2282655426078903E-3</v>
      </c>
      <c r="S171" s="2"/>
      <c r="T171" s="7">
        <v>28308</v>
      </c>
      <c r="U171" s="2"/>
      <c r="V171" s="6">
        <f t="shared" si="85"/>
        <v>4.1119015932529254E-3</v>
      </c>
      <c r="W171" s="2"/>
      <c r="X171" s="7">
        <f t="shared" si="86"/>
        <v>-262.15000000000146</v>
      </c>
      <c r="Y171" s="2"/>
      <c r="Z171" s="6">
        <f t="shared" si="87"/>
        <v>-9.2606330365974793E-3</v>
      </c>
    </row>
    <row r="172" spans="1:26" s="28" customFormat="1" outlineLevel="1" collapsed="1" x14ac:dyDescent="0.35">
      <c r="A172" s="27"/>
      <c r="B172" s="14" t="str">
        <f>CONCATENATE("     ","Inventory Adjustment                              ")</f>
        <v xml:space="preserve">     Inventory Adjustment                              </v>
      </c>
      <c r="C172" s="14"/>
      <c r="D172" s="1">
        <f>SUM(OSRRefD22_14x_0)</f>
        <v>2100</v>
      </c>
      <c r="E172" s="1"/>
      <c r="F172" s="5">
        <f t="shared" si="80"/>
        <v>1.7814368226197821E-3</v>
      </c>
      <c r="G172" s="1"/>
      <c r="H172" s="1">
        <f>SUM(OSRRefH22_14x_0)</f>
        <v>3100</v>
      </c>
      <c r="I172" s="1"/>
      <c r="J172" s="5">
        <f t="shared" si="81"/>
        <v>1.5604471939635865E-3</v>
      </c>
      <c r="K172" s="1"/>
      <c r="L172" s="1">
        <f t="shared" si="82"/>
        <v>-1000</v>
      </c>
      <c r="M172" s="1"/>
      <c r="N172" s="5">
        <f t="shared" si="83"/>
        <v>-0.32258064516129031</v>
      </c>
      <c r="O172" s="14"/>
      <c r="P172" s="1">
        <f>SUM(OSRRefP22_14x_0)</f>
        <v>19700</v>
      </c>
      <c r="Q172" s="1"/>
      <c r="R172" s="5">
        <f t="shared" si="84"/>
        <v>5.0772870563514901E-3</v>
      </c>
      <c r="S172" s="1"/>
      <c r="T172" s="1">
        <f>SUM(OSRRefT22_14x_0)</f>
        <v>26700</v>
      </c>
      <c r="U172" s="1"/>
      <c r="V172" s="5">
        <f t="shared" si="85"/>
        <v>3.8783302437421616E-3</v>
      </c>
      <c r="W172" s="1"/>
      <c r="X172" s="1">
        <f t="shared" si="86"/>
        <v>-7000</v>
      </c>
      <c r="Y172" s="1"/>
      <c r="Z172" s="5">
        <f t="shared" si="87"/>
        <v>-0.26217228464419473</v>
      </c>
    </row>
    <row r="173" spans="1:26" s="24" customFormat="1" hidden="1" outlineLevel="2" x14ac:dyDescent="0.35">
      <c r="A173" s="29"/>
      <c r="B173" s="11" t="str">
        <f>CONCATENATE("          ", "6408", " - ", "INVENTORY ADJUSTMENT")</f>
        <v xml:space="preserve">          6408 - INVENTORY ADJUSTMENT</v>
      </c>
      <c r="C173" s="11"/>
      <c r="D173" s="7">
        <v>2100</v>
      </c>
      <c r="E173" s="2"/>
      <c r="F173" s="6">
        <f t="shared" si="80"/>
        <v>1.7814368226197821E-3</v>
      </c>
      <c r="G173" s="2"/>
      <c r="H173" s="7">
        <v>3100</v>
      </c>
      <c r="I173" s="2"/>
      <c r="J173" s="6">
        <f t="shared" si="81"/>
        <v>1.5604471939635865E-3</v>
      </c>
      <c r="K173" s="2"/>
      <c r="L173" s="7">
        <f t="shared" si="82"/>
        <v>-1000</v>
      </c>
      <c r="M173" s="2"/>
      <c r="N173" s="6">
        <f t="shared" si="83"/>
        <v>-0.32258064516129031</v>
      </c>
      <c r="O173" s="11"/>
      <c r="P173" s="7">
        <v>19700</v>
      </c>
      <c r="Q173" s="2"/>
      <c r="R173" s="6">
        <f t="shared" si="84"/>
        <v>5.0772870563514901E-3</v>
      </c>
      <c r="S173" s="2"/>
      <c r="T173" s="7">
        <v>26700</v>
      </c>
      <c r="U173" s="2"/>
      <c r="V173" s="6">
        <f t="shared" si="85"/>
        <v>3.8783302437421616E-3</v>
      </c>
      <c r="W173" s="2"/>
      <c r="X173" s="7">
        <f t="shared" si="86"/>
        <v>-7000</v>
      </c>
      <c r="Y173" s="2"/>
      <c r="Z173" s="6">
        <f t="shared" si="87"/>
        <v>-0.26217228464419473</v>
      </c>
    </row>
    <row r="174" spans="1:26" s="28" customFormat="1" outlineLevel="1" collapsed="1" x14ac:dyDescent="0.35">
      <c r="A174" s="27"/>
      <c r="B174" s="14" t="str">
        <f>CONCATENATE("     ","Professional Services                             ")</f>
        <v xml:space="preserve">     Professional Services                             </v>
      </c>
      <c r="C174" s="14"/>
      <c r="D174" s="1">
        <f>SUM(OSRRefD22_15x_0)</f>
        <v>0</v>
      </c>
      <c r="E174" s="1"/>
      <c r="F174" s="5">
        <f t="shared" si="80"/>
        <v>0</v>
      </c>
      <c r="G174" s="1"/>
      <c r="H174" s="1">
        <f>SUM(OSRRefH22_15x_0)</f>
        <v>250</v>
      </c>
      <c r="I174" s="1"/>
      <c r="J174" s="5">
        <f t="shared" si="81"/>
        <v>1.258425156422247E-4</v>
      </c>
      <c r="K174" s="1"/>
      <c r="L174" s="1">
        <f t="shared" si="82"/>
        <v>-250</v>
      </c>
      <c r="M174" s="1"/>
      <c r="N174" s="5">
        <f t="shared" si="83"/>
        <v>-1</v>
      </c>
      <c r="O174" s="14"/>
      <c r="P174" s="1">
        <f>SUM(OSRRefP22_15x_0)</f>
        <v>0</v>
      </c>
      <c r="Q174" s="1"/>
      <c r="R174" s="5">
        <f t="shared" si="84"/>
        <v>0</v>
      </c>
      <c r="S174" s="1"/>
      <c r="T174" s="1">
        <f>SUM(OSRRefT22_15x_0)</f>
        <v>7050</v>
      </c>
      <c r="U174" s="1"/>
      <c r="V174" s="5">
        <f t="shared" si="85"/>
        <v>1.0240534913251774E-3</v>
      </c>
      <c r="W174" s="1"/>
      <c r="X174" s="1">
        <f t="shared" si="86"/>
        <v>-7050</v>
      </c>
      <c r="Y174" s="1"/>
      <c r="Z174" s="5">
        <f t="shared" si="87"/>
        <v>-1</v>
      </c>
    </row>
    <row r="175" spans="1:26" s="24" customFormat="1" hidden="1" outlineLevel="2" x14ac:dyDescent="0.35">
      <c r="A175" s="29"/>
      <c r="B175" s="11" t="str">
        <f>CONCATENATE("          ", "6336", " - ", "PROFESSIONAL SERVICES")</f>
        <v xml:space="preserve">          6336 - PROFESSIONAL SERVICES</v>
      </c>
      <c r="C175" s="11"/>
      <c r="D175" s="7"/>
      <c r="E175" s="2"/>
      <c r="F175" s="6">
        <f t="shared" si="80"/>
        <v>0</v>
      </c>
      <c r="G175" s="2"/>
      <c r="H175" s="7">
        <v>250</v>
      </c>
      <c r="I175" s="2"/>
      <c r="J175" s="6">
        <f t="shared" si="81"/>
        <v>1.258425156422247E-4</v>
      </c>
      <c r="K175" s="2"/>
      <c r="L175" s="7">
        <f t="shared" si="82"/>
        <v>-250</v>
      </c>
      <c r="M175" s="2"/>
      <c r="N175" s="6">
        <f t="shared" si="83"/>
        <v>-1</v>
      </c>
      <c r="O175" s="11"/>
      <c r="P175" s="7"/>
      <c r="Q175" s="2"/>
      <c r="R175" s="6">
        <f t="shared" si="84"/>
        <v>0</v>
      </c>
      <c r="S175" s="2"/>
      <c r="T175" s="7">
        <v>7050</v>
      </c>
      <c r="U175" s="2"/>
      <c r="V175" s="6">
        <f t="shared" si="85"/>
        <v>1.0240534913251774E-3</v>
      </c>
      <c r="W175" s="2"/>
      <c r="X175" s="7">
        <f t="shared" si="86"/>
        <v>-7050</v>
      </c>
      <c r="Y175" s="2"/>
      <c r="Z175" s="6">
        <f t="shared" si="87"/>
        <v>-1</v>
      </c>
    </row>
    <row r="176" spans="1:26" s="28" customFormat="1" outlineLevel="1" collapsed="1" x14ac:dyDescent="0.35">
      <c r="A176" s="27"/>
      <c r="B176" s="14" t="str">
        <f>CONCATENATE("     ","Rent                                              ")</f>
        <v xml:space="preserve">     Rent                                              </v>
      </c>
      <c r="C176" s="14"/>
      <c r="D176" s="1">
        <f>SUM(OSRRefD22_16x_0)</f>
        <v>6100</v>
      </c>
      <c r="E176" s="1"/>
      <c r="F176" s="5">
        <f t="shared" si="80"/>
        <v>5.1746498180860337E-3</v>
      </c>
      <c r="G176" s="1"/>
      <c r="H176" s="1">
        <f>SUM(OSRRefH22_16x_0)</f>
        <v>6100</v>
      </c>
      <c r="I176" s="1"/>
      <c r="J176" s="5">
        <f t="shared" si="81"/>
        <v>3.0705573816702829E-3</v>
      </c>
      <c r="K176" s="1"/>
      <c r="L176" s="1">
        <f t="shared" si="82"/>
        <v>0</v>
      </c>
      <c r="M176" s="1"/>
      <c r="N176" s="5">
        <f t="shared" si="83"/>
        <v>0</v>
      </c>
      <c r="O176" s="14"/>
      <c r="P176" s="1">
        <f>SUM(OSRRefP22_16x_0)</f>
        <v>42700</v>
      </c>
      <c r="Q176" s="1"/>
      <c r="R176" s="5">
        <f t="shared" si="84"/>
        <v>1.1005084127218713E-2</v>
      </c>
      <c r="S176" s="1"/>
      <c r="T176" s="1">
        <f>SUM(OSRRefT22_16x_0)</f>
        <v>42701</v>
      </c>
      <c r="U176" s="1"/>
      <c r="V176" s="5">
        <f t="shared" si="85"/>
        <v>6.202568529514384E-3</v>
      </c>
      <c r="W176" s="1"/>
      <c r="X176" s="1">
        <f t="shared" si="86"/>
        <v>-1</v>
      </c>
      <c r="Y176" s="1"/>
      <c r="Z176" s="5">
        <f t="shared" si="87"/>
        <v>-2.3418655300812628E-5</v>
      </c>
    </row>
    <row r="177" spans="1:26" s="24" customFormat="1" hidden="1" outlineLevel="2" x14ac:dyDescent="0.35">
      <c r="A177" s="29"/>
      <c r="B177" s="11" t="str">
        <f>CONCATENATE("          ", "6273", " - ", "RENT")</f>
        <v xml:space="preserve">          6273 - RENT</v>
      </c>
      <c r="C177" s="11"/>
      <c r="D177" s="7">
        <v>6100</v>
      </c>
      <c r="E177" s="2"/>
      <c r="F177" s="6">
        <f t="shared" si="80"/>
        <v>5.1746498180860337E-3</v>
      </c>
      <c r="G177" s="2"/>
      <c r="H177" s="7">
        <v>6100</v>
      </c>
      <c r="I177" s="2"/>
      <c r="J177" s="6">
        <f t="shared" si="81"/>
        <v>3.0705573816702829E-3</v>
      </c>
      <c r="K177" s="2"/>
      <c r="L177" s="7">
        <f t="shared" si="82"/>
        <v>0</v>
      </c>
      <c r="M177" s="2"/>
      <c r="N177" s="6">
        <f t="shared" si="83"/>
        <v>0</v>
      </c>
      <c r="O177" s="11"/>
      <c r="P177" s="7">
        <v>42700</v>
      </c>
      <c r="Q177" s="2"/>
      <c r="R177" s="6">
        <f t="shared" si="84"/>
        <v>1.1005084127218713E-2</v>
      </c>
      <c r="S177" s="2"/>
      <c r="T177" s="7">
        <v>42701</v>
      </c>
      <c r="U177" s="2"/>
      <c r="V177" s="6">
        <f t="shared" si="85"/>
        <v>6.202568529514384E-3</v>
      </c>
      <c r="W177" s="2"/>
      <c r="X177" s="7">
        <f t="shared" si="86"/>
        <v>-1</v>
      </c>
      <c r="Y177" s="2"/>
      <c r="Z177" s="6">
        <f t="shared" si="87"/>
        <v>-2.3418655300812628E-5</v>
      </c>
    </row>
    <row r="178" spans="1:26" s="28" customFormat="1" outlineLevel="1" collapsed="1" x14ac:dyDescent="0.35">
      <c r="A178" s="27"/>
      <c r="B178" s="14" t="str">
        <f>CONCATENATE("     ","Repair and Maintenance                            ")</f>
        <v xml:space="preserve">     Repair and Maintenance                            </v>
      </c>
      <c r="C178" s="14"/>
      <c r="D178" s="1">
        <f>SUM(OSRRefD22_17x_0)</f>
        <v>3697</v>
      </c>
      <c r="E178" s="1"/>
      <c r="F178" s="5">
        <f t="shared" si="80"/>
        <v>3.1361771110596831E-3</v>
      </c>
      <c r="G178" s="1"/>
      <c r="H178" s="1">
        <f>SUM(OSRRefH22_17x_0)</f>
        <v>18417</v>
      </c>
      <c r="I178" s="1"/>
      <c r="J178" s="5">
        <f t="shared" si="81"/>
        <v>9.2705664423314103E-3</v>
      </c>
      <c r="K178" s="1"/>
      <c r="L178" s="1">
        <f t="shared" si="82"/>
        <v>-14720</v>
      </c>
      <c r="M178" s="1"/>
      <c r="N178" s="5">
        <f t="shared" si="83"/>
        <v>-0.79926155182711622</v>
      </c>
      <c r="O178" s="14"/>
      <c r="P178" s="1">
        <f>SUM(OSRRefP22_17x_0)</f>
        <v>115119.17</v>
      </c>
      <c r="Q178" s="1"/>
      <c r="R178" s="5">
        <f t="shared" si="84"/>
        <v>2.9669699075072425E-2</v>
      </c>
      <c r="S178" s="1"/>
      <c r="T178" s="1">
        <f>SUM(OSRRefT22_17x_0)</f>
        <v>149417</v>
      </c>
      <c r="U178" s="1"/>
      <c r="V178" s="5">
        <f t="shared" si="85"/>
        <v>2.1703688016075751E-2</v>
      </c>
      <c r="W178" s="1"/>
      <c r="X178" s="1">
        <f t="shared" si="86"/>
        <v>-34297.83</v>
      </c>
      <c r="Y178" s="1"/>
      <c r="Z178" s="5">
        <f t="shared" si="87"/>
        <v>-0.22954436242194665</v>
      </c>
    </row>
    <row r="179" spans="1:26" s="24" customFormat="1" hidden="1" outlineLevel="2" x14ac:dyDescent="0.35">
      <c r="A179" s="29"/>
      <c r="B179" s="11" t="str">
        <f>CONCATENATE("          ", "6371", " - ", "COMPUTER SOFTWARE MAINTENANCE")</f>
        <v xml:space="preserve">          6371 - COMPUTER SOFTWARE MAINTENANCE</v>
      </c>
      <c r="C179" s="11"/>
      <c r="D179" s="7"/>
      <c r="E179" s="2"/>
      <c r="F179" s="6">
        <f t="shared" si="80"/>
        <v>0</v>
      </c>
      <c r="G179" s="2"/>
      <c r="H179" s="7"/>
      <c r="I179" s="2"/>
      <c r="J179" s="6">
        <f t="shared" si="81"/>
        <v>0</v>
      </c>
      <c r="K179" s="2"/>
      <c r="L179" s="7">
        <f t="shared" si="82"/>
        <v>0</v>
      </c>
      <c r="M179" s="2"/>
      <c r="N179" s="6">
        <f t="shared" si="83"/>
        <v>0</v>
      </c>
      <c r="O179" s="11"/>
      <c r="P179" s="7">
        <v>58436.47</v>
      </c>
      <c r="Q179" s="2"/>
      <c r="R179" s="6">
        <f t="shared" si="84"/>
        <v>1.50608493781661E-2</v>
      </c>
      <c r="S179" s="2"/>
      <c r="T179" s="7">
        <v>45043</v>
      </c>
      <c r="U179" s="2"/>
      <c r="V179" s="6">
        <f t="shared" si="85"/>
        <v>6.5427576467744636E-3</v>
      </c>
      <c r="W179" s="2"/>
      <c r="X179" s="7">
        <f t="shared" si="86"/>
        <v>13393.470000000001</v>
      </c>
      <c r="Y179" s="2"/>
      <c r="Z179" s="6">
        <f t="shared" si="87"/>
        <v>0.2973485336234265</v>
      </c>
    </row>
    <row r="180" spans="1:26" s="24" customFormat="1" hidden="1" outlineLevel="2" x14ac:dyDescent="0.35">
      <c r="A180" s="29"/>
      <c r="B180" s="11" t="str">
        <f>CONCATENATE("          ", "6372", " - ", "COMPUTER HARDWARE MAINTENANCE")</f>
        <v xml:space="preserve">          6372 - COMPUTER HARDWARE MAINTENANCE</v>
      </c>
      <c r="C180" s="11"/>
      <c r="D180" s="7"/>
      <c r="E180" s="2"/>
      <c r="F180" s="6">
        <f t="shared" si="80"/>
        <v>0</v>
      </c>
      <c r="G180" s="2"/>
      <c r="H180" s="7"/>
      <c r="I180" s="2"/>
      <c r="J180" s="6">
        <f t="shared" si="81"/>
        <v>0</v>
      </c>
      <c r="K180" s="2"/>
      <c r="L180" s="7">
        <f t="shared" si="82"/>
        <v>0</v>
      </c>
      <c r="M180" s="2"/>
      <c r="N180" s="6">
        <f t="shared" si="83"/>
        <v>0</v>
      </c>
      <c r="O180" s="11"/>
      <c r="P180" s="7">
        <v>0</v>
      </c>
      <c r="Q180" s="2"/>
      <c r="R180" s="6">
        <f t="shared" si="84"/>
        <v>0</v>
      </c>
      <c r="S180" s="2"/>
      <c r="T180" s="7">
        <v>437</v>
      </c>
      <c r="U180" s="2"/>
      <c r="V180" s="6">
        <f t="shared" si="85"/>
        <v>6.3476790880723772E-5</v>
      </c>
      <c r="W180" s="2"/>
      <c r="X180" s="7">
        <f t="shared" si="86"/>
        <v>-437</v>
      </c>
      <c r="Y180" s="2"/>
      <c r="Z180" s="6">
        <f t="shared" si="87"/>
        <v>-1</v>
      </c>
    </row>
    <row r="181" spans="1:26" s="24" customFormat="1" hidden="1" outlineLevel="2" x14ac:dyDescent="0.35">
      <c r="A181" s="29"/>
      <c r="B181" s="11" t="str">
        <f>CONCATENATE("          ", "6373", " - ", "MAINTENANCE CONTRACTS")</f>
        <v xml:space="preserve">          6373 - MAINTENANCE CONTRACTS</v>
      </c>
      <c r="C181" s="11"/>
      <c r="D181" s="7">
        <v>1122</v>
      </c>
      <c r="E181" s="2"/>
      <c r="F181" s="6">
        <f t="shared" si="80"/>
        <v>9.5179624522828362E-4</v>
      </c>
      <c r="G181" s="2"/>
      <c r="H181" s="7">
        <v>9761</v>
      </c>
      <c r="I181" s="2"/>
      <c r="J181" s="6">
        <f t="shared" si="81"/>
        <v>4.9133951807350217E-3</v>
      </c>
      <c r="K181" s="2"/>
      <c r="L181" s="7">
        <f t="shared" si="82"/>
        <v>-8639</v>
      </c>
      <c r="M181" s="2"/>
      <c r="N181" s="6">
        <f t="shared" si="83"/>
        <v>-0.88505276098760377</v>
      </c>
      <c r="O181" s="11"/>
      <c r="P181" s="7">
        <v>41010.780000000006</v>
      </c>
      <c r="Q181" s="2"/>
      <c r="R181" s="6">
        <f t="shared" si="84"/>
        <v>1.0569720937303483E-2</v>
      </c>
      <c r="S181" s="2"/>
      <c r="T181" s="7">
        <v>42911</v>
      </c>
      <c r="U181" s="2"/>
      <c r="V181" s="6">
        <f t="shared" si="85"/>
        <v>6.23307225053258E-3</v>
      </c>
      <c r="W181" s="2"/>
      <c r="X181" s="7">
        <f t="shared" si="86"/>
        <v>-1900.2199999999939</v>
      </c>
      <c r="Y181" s="2"/>
      <c r="Z181" s="6">
        <f t="shared" si="87"/>
        <v>-4.4282817925473512E-2</v>
      </c>
    </row>
    <row r="182" spans="1:26" s="24" customFormat="1" hidden="1" outlineLevel="2" x14ac:dyDescent="0.35">
      <c r="A182" s="29"/>
      <c r="B182" s="11" t="str">
        <f>CONCATENATE("          ", "6375", " - ", "OUTSIDE REPAIRS &amp; MAINTENANCE")</f>
        <v xml:space="preserve">          6375 - OUTSIDE REPAIRS &amp; MAINTENANCE</v>
      </c>
      <c r="C182" s="11"/>
      <c r="D182" s="7">
        <v>2575</v>
      </c>
      <c r="E182" s="2"/>
      <c r="F182" s="6">
        <f t="shared" si="80"/>
        <v>2.1843808658313997E-3</v>
      </c>
      <c r="G182" s="2"/>
      <c r="H182" s="7">
        <v>8656</v>
      </c>
      <c r="I182" s="2"/>
      <c r="J182" s="6">
        <f t="shared" si="81"/>
        <v>4.3571712615963886E-3</v>
      </c>
      <c r="K182" s="2"/>
      <c r="L182" s="7">
        <f t="shared" si="82"/>
        <v>-6081</v>
      </c>
      <c r="M182" s="2"/>
      <c r="N182" s="6">
        <f t="shared" si="83"/>
        <v>-0.70251848428835495</v>
      </c>
      <c r="O182" s="11"/>
      <c r="P182" s="7">
        <v>15671.92</v>
      </c>
      <c r="Q182" s="2"/>
      <c r="R182" s="6">
        <f t="shared" si="84"/>
        <v>4.0391287596028454E-3</v>
      </c>
      <c r="S182" s="2"/>
      <c r="T182" s="7">
        <v>61026</v>
      </c>
      <c r="U182" s="2"/>
      <c r="V182" s="6">
        <f t="shared" si="85"/>
        <v>8.8643813278879834E-3</v>
      </c>
      <c r="W182" s="2"/>
      <c r="X182" s="7">
        <f t="shared" si="86"/>
        <v>-45354.080000000002</v>
      </c>
      <c r="Y182" s="2"/>
      <c r="Z182" s="6">
        <f t="shared" si="87"/>
        <v>-0.74319273752171211</v>
      </c>
    </row>
    <row r="183" spans="1:26" s="28" customFormat="1" outlineLevel="1" collapsed="1" x14ac:dyDescent="0.35">
      <c r="A183" s="27"/>
      <c r="B183" s="14" t="str">
        <f>CONCATENATE("     ","Royalty &amp; Commissions                             ")</f>
        <v xml:space="preserve">     Royalty &amp; Commissions                             </v>
      </c>
      <c r="C183" s="14"/>
      <c r="D183" s="1">
        <f>SUM(OSRRefD22_18x_0)</f>
        <v>7789.59</v>
      </c>
      <c r="E183" s="1"/>
      <c r="F183" s="5">
        <f t="shared" ref="F183:F187" si="88">IF(D$12=0,0,D183/D$12)</f>
        <v>6.6079345043384904E-3</v>
      </c>
      <c r="G183" s="1"/>
      <c r="H183" s="1">
        <f>SUM(OSRRefH22_18x_0)</f>
        <v>12899</v>
      </c>
      <c r="I183" s="1"/>
      <c r="J183" s="5">
        <f t="shared" ref="J183:J187" si="89">IF(H$12=0,0,H183/H$12)</f>
        <v>6.4929704370762257E-3</v>
      </c>
      <c r="K183" s="1"/>
      <c r="L183" s="1">
        <f t="shared" ref="L183:L187" si="90">+D183-H183</f>
        <v>-5109.41</v>
      </c>
      <c r="M183" s="1"/>
      <c r="N183" s="5">
        <f t="shared" ref="N183:N187" si="91">IF(H183=0,0,L183/H183)</f>
        <v>-0.39610900069772847</v>
      </c>
      <c r="O183" s="14"/>
      <c r="P183" s="1">
        <f>SUM(OSRRefP22_18x_0)</f>
        <v>36551.350000000006</v>
      </c>
      <c r="Q183" s="1"/>
      <c r="R183" s="5">
        <f t="shared" ref="R183:R187" si="92">IF(P$12=0,0,P183/P$12)</f>
        <v>9.4203906724453328E-3</v>
      </c>
      <c r="S183" s="1"/>
      <c r="T183" s="1">
        <f>SUM(OSRRefT22_18x_0)</f>
        <v>58033</v>
      </c>
      <c r="U183" s="1"/>
      <c r="V183" s="5">
        <f t="shared" ref="V183:V187" si="93">IF(T$12=0,0,T183/T$12)</f>
        <v>8.4296306754714934E-3</v>
      </c>
      <c r="W183" s="1"/>
      <c r="X183" s="1">
        <f t="shared" ref="X183:X187" si="94">+P183-T183</f>
        <v>-21481.649999999994</v>
      </c>
      <c r="Y183" s="1"/>
      <c r="Z183" s="5">
        <f t="shared" ref="Z183:Z187" si="95">IF(T183=0,0,X183/T183)</f>
        <v>-0.37016266606930531</v>
      </c>
    </row>
    <row r="184" spans="1:26" s="24" customFormat="1" hidden="1" outlineLevel="2" x14ac:dyDescent="0.35">
      <c r="A184" s="29"/>
      <c r="B184" s="11" t="str">
        <f>CONCATENATE("          ", "6252", " - ", "ROYALTY DUE CSTV")</f>
        <v xml:space="preserve">          6252 - ROYALTY DUE CSTV</v>
      </c>
      <c r="C184" s="11"/>
      <c r="D184" s="7"/>
      <c r="E184" s="2"/>
      <c r="F184" s="6">
        <f t="shared" si="88"/>
        <v>0</v>
      </c>
      <c r="G184" s="2"/>
      <c r="H184" s="7">
        <v>1085</v>
      </c>
      <c r="I184" s="2"/>
      <c r="J184" s="6">
        <f t="shared" si="89"/>
        <v>5.4615651788725522E-4</v>
      </c>
      <c r="K184" s="2"/>
      <c r="L184" s="7">
        <f t="shared" si="90"/>
        <v>-1085</v>
      </c>
      <c r="M184" s="2"/>
      <c r="N184" s="6">
        <f t="shared" si="91"/>
        <v>-1</v>
      </c>
      <c r="O184" s="11"/>
      <c r="P184" s="7"/>
      <c r="Q184" s="2"/>
      <c r="R184" s="6">
        <f t="shared" si="92"/>
        <v>0</v>
      </c>
      <c r="S184" s="2"/>
      <c r="T184" s="7">
        <v>7595</v>
      </c>
      <c r="U184" s="2"/>
      <c r="V184" s="6">
        <f t="shared" si="93"/>
        <v>1.1032179101581167E-3</v>
      </c>
      <c r="W184" s="2"/>
      <c r="X184" s="7">
        <f t="shared" si="94"/>
        <v>-7595</v>
      </c>
      <c r="Y184" s="2"/>
      <c r="Z184" s="6">
        <f t="shared" si="95"/>
        <v>-1</v>
      </c>
    </row>
    <row r="185" spans="1:26" s="24" customFormat="1" hidden="1" outlineLevel="2" x14ac:dyDescent="0.35">
      <c r="A185" s="29"/>
      <c r="B185" s="11" t="str">
        <f>CONCATENATE("          ", "6253", " - ", "ROYALTY DUE ATHLETICS-LRG")</f>
        <v xml:space="preserve">          6253 - ROYALTY DUE ATHLETICS-LRG</v>
      </c>
      <c r="C185" s="11"/>
      <c r="D185" s="7">
        <v>7785.78</v>
      </c>
      <c r="E185" s="2"/>
      <c r="F185" s="6">
        <f t="shared" si="88"/>
        <v>6.6047024689603086E-3</v>
      </c>
      <c r="G185" s="2"/>
      <c r="H185" s="7">
        <v>4037</v>
      </c>
      <c r="I185" s="2"/>
      <c r="J185" s="6">
        <f t="shared" si="89"/>
        <v>2.0321049425906447E-3</v>
      </c>
      <c r="K185" s="2"/>
      <c r="L185" s="7">
        <f t="shared" si="90"/>
        <v>3748.7799999999997</v>
      </c>
      <c r="M185" s="2"/>
      <c r="N185" s="6">
        <f t="shared" si="91"/>
        <v>0.92860540004954173</v>
      </c>
      <c r="O185" s="11"/>
      <c r="P185" s="7">
        <v>26197.58</v>
      </c>
      <c r="Q185" s="2"/>
      <c r="R185" s="6">
        <f t="shared" si="92"/>
        <v>6.7519103472960754E-3</v>
      </c>
      <c r="S185" s="2"/>
      <c r="T185" s="7">
        <v>28259</v>
      </c>
      <c r="U185" s="2"/>
      <c r="V185" s="6">
        <f t="shared" si="93"/>
        <v>4.1047840583486794E-3</v>
      </c>
      <c r="W185" s="2"/>
      <c r="X185" s="7">
        <f t="shared" si="94"/>
        <v>-2061.4199999999983</v>
      </c>
      <c r="Y185" s="2"/>
      <c r="Z185" s="6">
        <f t="shared" si="95"/>
        <v>-7.2947379595880893E-2</v>
      </c>
    </row>
    <row r="186" spans="1:26" s="24" customFormat="1" hidden="1" outlineLevel="2" x14ac:dyDescent="0.35">
      <c r="A186" s="29"/>
      <c r="B186" s="11" t="str">
        <f>CONCATENATE("          ", "6254", " - ", "ROYALTY &amp; COMMISSIONS")</f>
        <v xml:space="preserve">          6254 - ROYALTY &amp; COMMISSIONS</v>
      </c>
      <c r="C186" s="11"/>
      <c r="D186" s="7"/>
      <c r="E186" s="2"/>
      <c r="F186" s="6">
        <f t="shared" si="88"/>
        <v>0</v>
      </c>
      <c r="G186" s="2"/>
      <c r="H186" s="7">
        <v>1149</v>
      </c>
      <c r="I186" s="2"/>
      <c r="J186" s="6">
        <f t="shared" si="89"/>
        <v>5.783722018916648E-4</v>
      </c>
      <c r="K186" s="2"/>
      <c r="L186" s="7">
        <f t="shared" si="90"/>
        <v>-1149</v>
      </c>
      <c r="M186" s="2"/>
      <c r="N186" s="6">
        <f t="shared" si="91"/>
        <v>-1</v>
      </c>
      <c r="O186" s="11"/>
      <c r="P186" s="7">
        <v>185.7</v>
      </c>
      <c r="Q186" s="2"/>
      <c r="R186" s="6">
        <f t="shared" si="92"/>
        <v>4.786051808956709E-5</v>
      </c>
      <c r="S186" s="2"/>
      <c r="T186" s="7">
        <v>8043</v>
      </c>
      <c r="U186" s="2"/>
      <c r="V186" s="6">
        <f t="shared" si="93"/>
        <v>1.1682925149969366E-3</v>
      </c>
      <c r="W186" s="2"/>
      <c r="X186" s="7">
        <f t="shared" si="94"/>
        <v>-7857.3</v>
      </c>
      <c r="Y186" s="2"/>
      <c r="Z186" s="6">
        <f t="shared" si="95"/>
        <v>-0.97691160014919809</v>
      </c>
    </row>
    <row r="187" spans="1:26" s="24" customFormat="1" hidden="1" outlineLevel="2" x14ac:dyDescent="0.35">
      <c r="A187" s="29"/>
      <c r="B187" s="11" t="str">
        <f>CONCATENATE("          ", "6259", " - ", "ROYALTY &amp; COMMISSIONS")</f>
        <v xml:space="preserve">          6259 - ROYALTY &amp; COMMISSIONS</v>
      </c>
      <c r="C187" s="11"/>
      <c r="D187" s="7">
        <v>3.81</v>
      </c>
      <c r="E187" s="2"/>
      <c r="F187" s="6">
        <f t="shared" si="88"/>
        <v>3.2320353781816051E-6</v>
      </c>
      <c r="G187" s="2"/>
      <c r="H187" s="7">
        <v>6628</v>
      </c>
      <c r="I187" s="2"/>
      <c r="J187" s="6">
        <f t="shared" si="89"/>
        <v>3.3363367747066613E-3</v>
      </c>
      <c r="K187" s="2"/>
      <c r="L187" s="7">
        <f t="shared" si="90"/>
        <v>-6624.19</v>
      </c>
      <c r="M187" s="2"/>
      <c r="N187" s="6">
        <f t="shared" si="91"/>
        <v>-0.99942516596258291</v>
      </c>
      <c r="O187" s="11"/>
      <c r="P187" s="7">
        <v>10168.07</v>
      </c>
      <c r="Q187" s="2"/>
      <c r="R187" s="6">
        <f t="shared" si="92"/>
        <v>2.6206198070596902E-3</v>
      </c>
      <c r="S187" s="2"/>
      <c r="T187" s="7">
        <v>14136</v>
      </c>
      <c r="U187" s="2"/>
      <c r="V187" s="6">
        <f t="shared" si="93"/>
        <v>2.0533361919677601E-3</v>
      </c>
      <c r="W187" s="2"/>
      <c r="X187" s="7">
        <f t="shared" si="94"/>
        <v>-3967.9300000000003</v>
      </c>
      <c r="Y187" s="2"/>
      <c r="Z187" s="6">
        <f t="shared" si="95"/>
        <v>-0.28069680249009621</v>
      </c>
    </row>
    <row r="188" spans="1:26" s="28" customFormat="1" outlineLevel="1" collapsed="1" x14ac:dyDescent="0.35">
      <c r="A188" s="27"/>
      <c r="B188" s="14" t="str">
        <f>CONCATENATE("     ","Services                                          ")</f>
        <v xml:space="preserve">     Services                                          </v>
      </c>
      <c r="C188" s="14"/>
      <c r="D188" s="1">
        <f>SUM(OSRRefD22_19x_0)</f>
        <v>6605.9</v>
      </c>
      <c r="E188" s="1"/>
      <c r="F188" s="5">
        <f t="shared" ref="F188:F193" si="96">IF(D$12=0,0,D188/D$12)</f>
        <v>5.6038064316876277E-3</v>
      </c>
      <c r="G188" s="1"/>
      <c r="H188" s="1">
        <f>SUM(OSRRefH22_19x_0)</f>
        <v>5929</v>
      </c>
      <c r="I188" s="1"/>
      <c r="J188" s="5">
        <f t="shared" ref="J188:J193" si="97">IF(H$12=0,0,H188/H$12)</f>
        <v>2.9844811009710013E-3</v>
      </c>
      <c r="K188" s="1"/>
      <c r="L188" s="1">
        <f t="shared" ref="L188:L193" si="98">+D188-H188</f>
        <v>676.89999999999964</v>
      </c>
      <c r="M188" s="1"/>
      <c r="N188" s="5">
        <f t="shared" ref="N188:N193" si="99">IF(H188=0,0,L188/H188)</f>
        <v>0.11416765053128683</v>
      </c>
      <c r="O188" s="14"/>
      <c r="P188" s="1">
        <f>SUM(OSRRefP22_19x_0)</f>
        <v>26143.54</v>
      </c>
      <c r="Q188" s="1"/>
      <c r="R188" s="5">
        <f t="shared" ref="R188:R193" si="100">IF(P$12=0,0,P188/P$12)</f>
        <v>6.7379826014826111E-3</v>
      </c>
      <c r="S188" s="1"/>
      <c r="T188" s="1">
        <f>SUM(OSRRefT22_19x_0)</f>
        <v>39971</v>
      </c>
      <c r="U188" s="1"/>
      <c r="V188" s="5">
        <f t="shared" ref="V188:V193" si="101">IF(T$12=0,0,T188/T$12)</f>
        <v>5.8060201562778252E-3</v>
      </c>
      <c r="W188" s="1"/>
      <c r="X188" s="1">
        <f t="shared" ref="X188:X193" si="102">+P188-T188</f>
        <v>-13827.46</v>
      </c>
      <c r="Y188" s="1"/>
      <c r="Z188" s="5">
        <f t="shared" ref="Z188:Z193" si="103">IF(T188=0,0,X188/T188)</f>
        <v>-0.34593730454579569</v>
      </c>
    </row>
    <row r="189" spans="1:26" s="24" customFormat="1" hidden="1" outlineLevel="2" x14ac:dyDescent="0.35">
      <c r="A189" s="29"/>
      <c r="B189" s="11" t="str">
        <f>CONCATENATE("          ", "6282", " - ", "JANITORIAL/EXTERMINATOR EXPENS")</f>
        <v xml:space="preserve">          6282 - JANITORIAL/EXTERMINATOR EXPENS</v>
      </c>
      <c r="C189" s="11"/>
      <c r="D189" s="7">
        <v>2384.33</v>
      </c>
      <c r="E189" s="2"/>
      <c r="F189" s="6">
        <f t="shared" si="96"/>
        <v>2.0226348853700118E-3</v>
      </c>
      <c r="G189" s="2"/>
      <c r="H189" s="7">
        <v>4000</v>
      </c>
      <c r="I189" s="2"/>
      <c r="J189" s="6">
        <f t="shared" si="97"/>
        <v>2.0134802502755952E-3</v>
      </c>
      <c r="K189" s="2"/>
      <c r="L189" s="7">
        <f t="shared" si="98"/>
        <v>-1615.67</v>
      </c>
      <c r="M189" s="2"/>
      <c r="N189" s="6">
        <f t="shared" si="99"/>
        <v>-0.40391750000000004</v>
      </c>
      <c r="O189" s="11"/>
      <c r="P189" s="7">
        <v>8304.94</v>
      </c>
      <c r="Q189" s="2"/>
      <c r="R189" s="6">
        <f t="shared" si="100"/>
        <v>2.1404347393794796E-3</v>
      </c>
      <c r="S189" s="2"/>
      <c r="T189" s="7">
        <v>29101</v>
      </c>
      <c r="U189" s="2"/>
      <c r="V189" s="6">
        <f t="shared" si="101"/>
        <v>4.2270894540502113E-3</v>
      </c>
      <c r="W189" s="2"/>
      <c r="X189" s="7">
        <f t="shared" si="102"/>
        <v>-20796.059999999998</v>
      </c>
      <c r="Y189" s="2"/>
      <c r="Z189" s="6">
        <f t="shared" si="103"/>
        <v>-0.71461667983918076</v>
      </c>
    </row>
    <row r="190" spans="1:26" s="24" customFormat="1" hidden="1" outlineLevel="2" x14ac:dyDescent="0.35">
      <c r="A190" s="29"/>
      <c r="B190" s="11" t="str">
        <f>CONCATENATE("          ", "6283", " - ", "PLANT SERVICE")</f>
        <v xml:space="preserve">          6283 - PLANT SERVICE</v>
      </c>
      <c r="C190" s="11"/>
      <c r="D190" s="7"/>
      <c r="E190" s="2"/>
      <c r="F190" s="6">
        <f t="shared" si="96"/>
        <v>0</v>
      </c>
      <c r="G190" s="2"/>
      <c r="H190" s="7">
        <v>0</v>
      </c>
      <c r="I190" s="2"/>
      <c r="J190" s="6">
        <f t="shared" si="97"/>
        <v>0</v>
      </c>
      <c r="K190" s="2"/>
      <c r="L190" s="7">
        <f t="shared" si="98"/>
        <v>0</v>
      </c>
      <c r="M190" s="2"/>
      <c r="N190" s="6">
        <f t="shared" si="99"/>
        <v>0</v>
      </c>
      <c r="O190" s="11"/>
      <c r="P190" s="7">
        <v>171.31</v>
      </c>
      <c r="Q190" s="2"/>
      <c r="R190" s="6">
        <f t="shared" si="100"/>
        <v>4.4151778965663645E-5</v>
      </c>
      <c r="S190" s="2"/>
      <c r="T190" s="7">
        <v>0</v>
      </c>
      <c r="U190" s="2"/>
      <c r="V190" s="6">
        <f t="shared" si="101"/>
        <v>0</v>
      </c>
      <c r="W190" s="2"/>
      <c r="X190" s="7">
        <f t="shared" si="102"/>
        <v>171.31</v>
      </c>
      <c r="Y190" s="2"/>
      <c r="Z190" s="6">
        <f t="shared" si="103"/>
        <v>0</v>
      </c>
    </row>
    <row r="191" spans="1:26" s="24" customFormat="1" hidden="1" outlineLevel="2" x14ac:dyDescent="0.35">
      <c r="A191" s="29"/>
      <c r="B191" s="11" t="str">
        <f>CONCATENATE("          ", "6284", " - ", "TRASH REMOVAL EXPENSE")</f>
        <v xml:space="preserve">          6284 - TRASH REMOVAL EXPENSE</v>
      </c>
      <c r="C191" s="11"/>
      <c r="D191" s="7">
        <v>431.57</v>
      </c>
      <c r="E191" s="2"/>
      <c r="F191" s="6">
        <f t="shared" si="96"/>
        <v>3.6610223311334258E-4</v>
      </c>
      <c r="G191" s="2"/>
      <c r="H191" s="7">
        <v>344</v>
      </c>
      <c r="I191" s="2"/>
      <c r="J191" s="6">
        <f t="shared" si="97"/>
        <v>1.731593015237012E-4</v>
      </c>
      <c r="K191" s="2"/>
      <c r="L191" s="7">
        <f t="shared" si="98"/>
        <v>87.57</v>
      </c>
      <c r="M191" s="2"/>
      <c r="N191" s="6">
        <f t="shared" si="99"/>
        <v>0.25456395348837207</v>
      </c>
      <c r="O191" s="11"/>
      <c r="P191" s="7">
        <v>1880.01</v>
      </c>
      <c r="Q191" s="2"/>
      <c r="R191" s="6">
        <f t="shared" si="100"/>
        <v>4.8453555526961243E-4</v>
      </c>
      <c r="S191" s="2"/>
      <c r="T191" s="7">
        <v>2517</v>
      </c>
      <c r="U191" s="2"/>
      <c r="V191" s="6">
        <f t="shared" si="101"/>
        <v>3.6560888477524424E-4</v>
      </c>
      <c r="W191" s="2"/>
      <c r="X191" s="7">
        <f t="shared" si="102"/>
        <v>-636.99</v>
      </c>
      <c r="Y191" s="2"/>
      <c r="Z191" s="6">
        <f t="shared" si="103"/>
        <v>-0.25307508939213352</v>
      </c>
    </row>
    <row r="192" spans="1:26" s="24" customFormat="1" hidden="1" outlineLevel="2" x14ac:dyDescent="0.35">
      <c r="A192" s="29"/>
      <c r="B192" s="11" t="str">
        <f>CONCATENATE("          ", "6285", " - ", "JANITORIAL SERVICES")</f>
        <v xml:space="preserve">          6285 - JANITORIAL SERVICES</v>
      </c>
      <c r="C192" s="11"/>
      <c r="D192" s="7">
        <v>3790</v>
      </c>
      <c r="E192" s="2"/>
      <c r="F192" s="6">
        <f t="shared" si="96"/>
        <v>3.2150693132042738E-3</v>
      </c>
      <c r="G192" s="2"/>
      <c r="H192" s="7">
        <v>1449</v>
      </c>
      <c r="I192" s="2"/>
      <c r="J192" s="6">
        <f t="shared" si="97"/>
        <v>7.2938322066233444E-4</v>
      </c>
      <c r="K192" s="2"/>
      <c r="L192" s="7">
        <f t="shared" si="98"/>
        <v>2341</v>
      </c>
      <c r="M192" s="2"/>
      <c r="N192" s="6">
        <f t="shared" si="99"/>
        <v>1.6155969634230505</v>
      </c>
      <c r="O192" s="11"/>
      <c r="P192" s="7">
        <v>15787.28</v>
      </c>
      <c r="Q192" s="2"/>
      <c r="R192" s="6">
        <f t="shared" si="100"/>
        <v>4.0688605278678559E-3</v>
      </c>
      <c r="S192" s="2"/>
      <c r="T192" s="7">
        <v>7632</v>
      </c>
      <c r="U192" s="2"/>
      <c r="V192" s="6">
        <f t="shared" si="101"/>
        <v>1.1085923752898943E-3</v>
      </c>
      <c r="W192" s="2"/>
      <c r="X192" s="7">
        <f t="shared" si="102"/>
        <v>8155.2800000000007</v>
      </c>
      <c r="Y192" s="2"/>
      <c r="Z192" s="6">
        <f t="shared" si="103"/>
        <v>1.0685639412997905</v>
      </c>
    </row>
    <row r="193" spans="1:26" s="24" customFormat="1" hidden="1" outlineLevel="2" x14ac:dyDescent="0.35">
      <c r="A193" s="29"/>
      <c r="B193" s="11" t="str">
        <f>CONCATENATE("          ", "6286", " - ", "LAUNDRY EXPENSE")</f>
        <v xml:space="preserve">          6286 - LAUNDRY EXPENSE</v>
      </c>
      <c r="C193" s="11"/>
      <c r="D193" s="7"/>
      <c r="E193" s="2"/>
      <c r="F193" s="6">
        <f t="shared" si="96"/>
        <v>0</v>
      </c>
      <c r="G193" s="2"/>
      <c r="H193" s="7">
        <v>136</v>
      </c>
      <c r="I193" s="2"/>
      <c r="J193" s="6">
        <f t="shared" si="97"/>
        <v>6.8458328509370247E-5</v>
      </c>
      <c r="K193" s="2"/>
      <c r="L193" s="7">
        <f t="shared" si="98"/>
        <v>-136</v>
      </c>
      <c r="M193" s="2"/>
      <c r="N193" s="6">
        <f t="shared" si="99"/>
        <v>-1</v>
      </c>
      <c r="O193" s="11"/>
      <c r="P193" s="7"/>
      <c r="Q193" s="2"/>
      <c r="R193" s="6">
        <f t="shared" si="100"/>
        <v>0</v>
      </c>
      <c r="S193" s="2"/>
      <c r="T193" s="7">
        <v>721</v>
      </c>
      <c r="U193" s="2"/>
      <c r="V193" s="6">
        <f t="shared" si="101"/>
        <v>1.047294421624756E-4</v>
      </c>
      <c r="W193" s="2"/>
      <c r="X193" s="7">
        <f t="shared" si="102"/>
        <v>-721</v>
      </c>
      <c r="Y193" s="2"/>
      <c r="Z193" s="6">
        <f t="shared" si="103"/>
        <v>-1</v>
      </c>
    </row>
    <row r="194" spans="1:26" s="28" customFormat="1" outlineLevel="1" collapsed="1" x14ac:dyDescent="0.35">
      <c r="A194" s="27"/>
      <c r="B194" s="14" t="str">
        <f>CONCATENATE("     ","Subscriptions &amp; Dues                              ")</f>
        <v xml:space="preserve">     Subscriptions &amp; Dues                              </v>
      </c>
      <c r="C194" s="14"/>
      <c r="D194" s="1">
        <f>SUM(OSRRefD22_20x_0)</f>
        <v>2389.69</v>
      </c>
      <c r="E194" s="1"/>
      <c r="F194" s="5">
        <f t="shared" ref="F194:F196" si="104">IF(D$12=0,0,D194/D$12)</f>
        <v>2.0271817907839369E-3</v>
      </c>
      <c r="G194" s="1"/>
      <c r="H194" s="1">
        <f>SUM(OSRRefH22_20x_0)</f>
        <v>1276</v>
      </c>
      <c r="I194" s="1"/>
      <c r="J194" s="5">
        <f t="shared" ref="J194:J196" si="105">IF(H$12=0,0,H194/H$12)</f>
        <v>6.4230019983791493E-4</v>
      </c>
      <c r="K194" s="1"/>
      <c r="L194" s="1">
        <f t="shared" ref="L194:L196" si="106">+D194-H194</f>
        <v>1113.69</v>
      </c>
      <c r="M194" s="1"/>
      <c r="N194" s="5">
        <f t="shared" ref="N194:N196" si="107">IF(H194=0,0,L194/H194)</f>
        <v>0.87279780564263332</v>
      </c>
      <c r="O194" s="14"/>
      <c r="P194" s="1">
        <f>SUM(OSRRefP22_20x_0)</f>
        <v>3845.13</v>
      </c>
      <c r="Q194" s="1"/>
      <c r="R194" s="5">
        <f t="shared" ref="R194:R196" si="108">IF(P$12=0,0,P194/P$12)</f>
        <v>9.9100653700450792E-4</v>
      </c>
      <c r="S194" s="1"/>
      <c r="T194" s="1">
        <f>SUM(OSRRefT22_20x_0)</f>
        <v>10327</v>
      </c>
      <c r="U194" s="1"/>
      <c r="V194" s="5">
        <f t="shared" ref="V194:V196" si="109">IF(T$12=0,0,T194/T$12)</f>
        <v>1.5000567950234195E-3</v>
      </c>
      <c r="W194" s="1"/>
      <c r="X194" s="1">
        <f t="shared" ref="X194:X196" si="110">+P194-T194</f>
        <v>-6481.87</v>
      </c>
      <c r="Y194" s="1"/>
      <c r="Z194" s="5">
        <f t="shared" ref="Z194:Z196" si="111">IF(T194=0,0,X194/T194)</f>
        <v>-0.62766243826861623</v>
      </c>
    </row>
    <row r="195" spans="1:26" s="24" customFormat="1" hidden="1" outlineLevel="2" x14ac:dyDescent="0.35">
      <c r="A195" s="29"/>
      <c r="B195" s="11" t="str">
        <f>CONCATENATE("          ", "6258", " - ", "MEMBERSHIP DUES")</f>
        <v xml:space="preserve">          6258 - MEMBERSHIP DUES</v>
      </c>
      <c r="C195" s="11"/>
      <c r="D195" s="7">
        <v>462.61</v>
      </c>
      <c r="E195" s="2"/>
      <c r="F195" s="6">
        <f t="shared" si="104"/>
        <v>3.9243356595816068E-4</v>
      </c>
      <c r="G195" s="2"/>
      <c r="H195" s="7">
        <v>1100</v>
      </c>
      <c r="I195" s="2"/>
      <c r="J195" s="6">
        <f t="shared" si="105"/>
        <v>5.5370706882578867E-4</v>
      </c>
      <c r="K195" s="2"/>
      <c r="L195" s="7">
        <f t="shared" si="106"/>
        <v>-637.39</v>
      </c>
      <c r="M195" s="2"/>
      <c r="N195" s="6">
        <f t="shared" si="107"/>
        <v>-0.57944545454545449</v>
      </c>
      <c r="O195" s="11"/>
      <c r="P195" s="7">
        <v>1692.32</v>
      </c>
      <c r="Q195" s="2"/>
      <c r="R195" s="6">
        <f t="shared" si="108"/>
        <v>4.3616215386826159E-4</v>
      </c>
      <c r="S195" s="2"/>
      <c r="T195" s="7">
        <v>9095</v>
      </c>
      <c r="U195" s="2"/>
      <c r="V195" s="6">
        <f t="shared" si="109"/>
        <v>1.3211016317166652E-3</v>
      </c>
      <c r="W195" s="2"/>
      <c r="X195" s="7">
        <f t="shared" si="110"/>
        <v>-7402.68</v>
      </c>
      <c r="Y195" s="2"/>
      <c r="Z195" s="6">
        <f t="shared" si="111"/>
        <v>-0.81392853216052774</v>
      </c>
    </row>
    <row r="196" spans="1:26" s="24" customFormat="1" hidden="1" outlineLevel="2" x14ac:dyDescent="0.35">
      <c r="A196" s="29"/>
      <c r="B196" s="11" t="str">
        <f>CONCATENATE("          ", "6275", " - ", "SUBSCRIPTIONS")</f>
        <v xml:space="preserve">          6275 - SUBSCRIPTIONS</v>
      </c>
      <c r="C196" s="11"/>
      <c r="D196" s="7">
        <v>1927.08</v>
      </c>
      <c r="E196" s="2"/>
      <c r="F196" s="6">
        <f t="shared" si="104"/>
        <v>1.6347482248257762E-3</v>
      </c>
      <c r="G196" s="2"/>
      <c r="H196" s="7">
        <v>176</v>
      </c>
      <c r="I196" s="2"/>
      <c r="J196" s="6">
        <f t="shared" si="105"/>
        <v>8.8593131012126193E-5</v>
      </c>
      <c r="K196" s="2"/>
      <c r="L196" s="7">
        <f t="shared" si="106"/>
        <v>1751.08</v>
      </c>
      <c r="M196" s="2"/>
      <c r="N196" s="6">
        <f t="shared" si="107"/>
        <v>9.9493181818181817</v>
      </c>
      <c r="O196" s="11"/>
      <c r="P196" s="7">
        <v>2152.81</v>
      </c>
      <c r="Q196" s="2"/>
      <c r="R196" s="6">
        <f t="shared" si="108"/>
        <v>5.5484438313624623E-4</v>
      </c>
      <c r="S196" s="2"/>
      <c r="T196" s="7">
        <v>1232</v>
      </c>
      <c r="U196" s="2"/>
      <c r="V196" s="6">
        <f t="shared" si="109"/>
        <v>1.7895516330675441E-4</v>
      </c>
      <c r="W196" s="2"/>
      <c r="X196" s="7">
        <f t="shared" si="110"/>
        <v>920.81</v>
      </c>
      <c r="Y196" s="2"/>
      <c r="Z196" s="6">
        <f t="shared" si="111"/>
        <v>0.74741071428571426</v>
      </c>
    </row>
    <row r="197" spans="1:26" s="28" customFormat="1" outlineLevel="1" collapsed="1" x14ac:dyDescent="0.35">
      <c r="A197" s="27"/>
      <c r="B197" s="14" t="str">
        <f>CONCATENATE("     ","Supplies                                          ")</f>
        <v xml:space="preserve">     Supplies                                          </v>
      </c>
      <c r="C197" s="14"/>
      <c r="D197" s="1">
        <f>SUM(OSRRefD22_21x_0)</f>
        <v>13676.5</v>
      </c>
      <c r="E197" s="1"/>
      <c r="F197" s="5">
        <f t="shared" ref="F197:F206" si="112">IF(D$12=0,0,D197/D$12)</f>
        <v>1.1601819383123548E-2</v>
      </c>
      <c r="G197" s="1"/>
      <c r="H197" s="1">
        <f>SUM(OSRRefH22_21x_0)</f>
        <v>11677</v>
      </c>
      <c r="I197" s="1"/>
      <c r="J197" s="5">
        <f t="shared" ref="J197:J206" si="113">IF(H$12=0,0,H197/H$12)</f>
        <v>5.8778522206170318E-3</v>
      </c>
      <c r="K197" s="1"/>
      <c r="L197" s="1">
        <f t="shared" ref="L197:L206" si="114">+D197-H197</f>
        <v>1999.5</v>
      </c>
      <c r="M197" s="1"/>
      <c r="N197" s="5">
        <f t="shared" ref="N197:N206" si="115">IF(H197=0,0,L197/H197)</f>
        <v>0.1712340498415689</v>
      </c>
      <c r="O197" s="14"/>
      <c r="P197" s="1">
        <f>SUM(OSRRefP22_21x_0)</f>
        <v>92096.69</v>
      </c>
      <c r="Q197" s="1"/>
      <c r="R197" s="5">
        <f t="shared" ref="R197:R206" si="116">IF(P$12=0,0,P197/P$12)</f>
        <v>2.37361082268942E-2</v>
      </c>
      <c r="S197" s="1"/>
      <c r="T197" s="1">
        <f>SUM(OSRRefT22_21x_0)</f>
        <v>132136</v>
      </c>
      <c r="U197" s="1"/>
      <c r="V197" s="5">
        <f t="shared" ref="V197:V206" si="117">IF(T$12=0,0,T197/T$12)</f>
        <v>1.9193522287906901E-2</v>
      </c>
      <c r="W197" s="1"/>
      <c r="X197" s="1">
        <f t="shared" ref="X197:X206" si="118">+P197-T197</f>
        <v>-40039.31</v>
      </c>
      <c r="Y197" s="1"/>
      <c r="Z197" s="5">
        <f t="shared" ref="Z197:Z206" si="119">IF(T197=0,0,X197/T197)</f>
        <v>-0.30301590785251559</v>
      </c>
    </row>
    <row r="198" spans="1:26" s="24" customFormat="1" hidden="1" outlineLevel="2" x14ac:dyDescent="0.35">
      <c r="A198" s="29"/>
      <c r="B198" s="11" t="str">
        <f>CONCATENATE("          ", "6234", " - ", "EXPENDABLE SUPPLIES &amp; EQUIPMEN")</f>
        <v xml:space="preserve">          6234 - EXPENDABLE SUPPLIES &amp; EQUIPMEN</v>
      </c>
      <c r="C198" s="11"/>
      <c r="D198" s="7">
        <v>396.5</v>
      </c>
      <c r="E198" s="2"/>
      <c r="F198" s="6">
        <f t="shared" si="112"/>
        <v>3.363522381755922E-4</v>
      </c>
      <c r="G198" s="2"/>
      <c r="H198" s="7">
        <v>150</v>
      </c>
      <c r="I198" s="2"/>
      <c r="J198" s="6">
        <f t="shared" si="113"/>
        <v>7.5505509385334819E-5</v>
      </c>
      <c r="K198" s="2"/>
      <c r="L198" s="7">
        <f t="shared" si="114"/>
        <v>246.5</v>
      </c>
      <c r="M198" s="2"/>
      <c r="N198" s="6">
        <f t="shared" si="115"/>
        <v>1.6433333333333333</v>
      </c>
      <c r="O198" s="11"/>
      <c r="P198" s="7">
        <v>263.83</v>
      </c>
      <c r="Q198" s="2"/>
      <c r="R198" s="6">
        <f t="shared" si="116"/>
        <v>6.7996987008995616E-5</v>
      </c>
      <c r="S198" s="2"/>
      <c r="T198" s="7">
        <v>1078</v>
      </c>
      <c r="U198" s="2"/>
      <c r="V198" s="6">
        <f t="shared" si="117"/>
        <v>1.5658576789341012E-4</v>
      </c>
      <c r="W198" s="2"/>
      <c r="X198" s="7">
        <f t="shared" si="118"/>
        <v>-814.17000000000007</v>
      </c>
      <c r="Y198" s="2"/>
      <c r="Z198" s="6">
        <f t="shared" si="119"/>
        <v>-0.7552597402597403</v>
      </c>
    </row>
    <row r="199" spans="1:26" s="24" customFormat="1" hidden="1" outlineLevel="2" x14ac:dyDescent="0.35">
      <c r="A199" s="29"/>
      <c r="B199" s="11" t="str">
        <f>CONCATENATE("          ", "6235", " - ", "COVID-19 EXPENSES")</f>
        <v xml:space="preserve">          6235 - COVID-19 EXPENSES</v>
      </c>
      <c r="C199" s="11"/>
      <c r="D199" s="7">
        <v>2921.2</v>
      </c>
      <c r="E199" s="2"/>
      <c r="F199" s="6">
        <f t="shared" si="112"/>
        <v>2.4780634505890036E-3</v>
      </c>
      <c r="G199" s="2"/>
      <c r="H199" s="7">
        <v>900</v>
      </c>
      <c r="I199" s="2"/>
      <c r="J199" s="6">
        <f t="shared" si="113"/>
        <v>4.5303305631200897E-4</v>
      </c>
      <c r="K199" s="2"/>
      <c r="L199" s="7">
        <f t="shared" si="114"/>
        <v>2021.1999999999998</v>
      </c>
      <c r="M199" s="2"/>
      <c r="N199" s="6">
        <f t="shared" si="115"/>
        <v>2.2457777777777777</v>
      </c>
      <c r="O199" s="11"/>
      <c r="P199" s="7">
        <v>34506.300000000003</v>
      </c>
      <c r="Q199" s="2"/>
      <c r="R199" s="6">
        <f t="shared" si="116"/>
        <v>8.8933193072376366E-3</v>
      </c>
      <c r="S199" s="2"/>
      <c r="T199" s="7">
        <v>66400</v>
      </c>
      <c r="U199" s="2"/>
      <c r="V199" s="6">
        <f t="shared" si="117"/>
        <v>9.6449860743250768E-3</v>
      </c>
      <c r="W199" s="2"/>
      <c r="X199" s="7">
        <f t="shared" si="118"/>
        <v>-31893.699999999997</v>
      </c>
      <c r="Y199" s="2"/>
      <c r="Z199" s="6">
        <f t="shared" si="119"/>
        <v>-0.48032680722891563</v>
      </c>
    </row>
    <row r="200" spans="1:26" s="24" customFormat="1" hidden="1" outlineLevel="2" x14ac:dyDescent="0.35">
      <c r="A200" s="29"/>
      <c r="B200" s="11" t="str">
        <f>CONCATENATE("          ", "6237", " - ", "JANITORIAL SUPPLIES")</f>
        <v xml:space="preserve">          6237 - JANITORIAL SUPPLIES</v>
      </c>
      <c r="C200" s="11"/>
      <c r="D200" s="7">
        <v>329.77</v>
      </c>
      <c r="E200" s="2"/>
      <c r="F200" s="6">
        <f t="shared" si="112"/>
        <v>2.7974496237872647E-4</v>
      </c>
      <c r="G200" s="2"/>
      <c r="H200" s="7">
        <v>561</v>
      </c>
      <c r="I200" s="2"/>
      <c r="J200" s="6">
        <f t="shared" si="113"/>
        <v>2.8239060510115222E-4</v>
      </c>
      <c r="K200" s="2"/>
      <c r="L200" s="7">
        <f t="shared" si="114"/>
        <v>-231.23000000000002</v>
      </c>
      <c r="M200" s="2"/>
      <c r="N200" s="6">
        <f t="shared" si="115"/>
        <v>-0.41217468805704105</v>
      </c>
      <c r="O200" s="11"/>
      <c r="P200" s="7">
        <v>2581.2199999999998</v>
      </c>
      <c r="Q200" s="2"/>
      <c r="R200" s="6">
        <f t="shared" si="116"/>
        <v>6.6525862414190825E-4</v>
      </c>
      <c r="S200" s="2"/>
      <c r="T200" s="7">
        <v>2571</v>
      </c>
      <c r="U200" s="2"/>
      <c r="V200" s="6">
        <f t="shared" si="117"/>
        <v>3.7345269875135195E-4</v>
      </c>
      <c r="W200" s="2"/>
      <c r="X200" s="7">
        <f t="shared" si="118"/>
        <v>10.2199999999998</v>
      </c>
      <c r="Y200" s="2"/>
      <c r="Z200" s="6">
        <f t="shared" si="119"/>
        <v>3.9751069622714118E-3</v>
      </c>
    </row>
    <row r="201" spans="1:26" s="24" customFormat="1" hidden="1" outlineLevel="2" x14ac:dyDescent="0.35">
      <c r="A201" s="29"/>
      <c r="B201" s="11" t="str">
        <f>CONCATENATE("          ", "6241", " - ", "OFFICE EXPENSE")</f>
        <v xml:space="preserve">          6241 - OFFICE EXPENSE</v>
      </c>
      <c r="C201" s="11"/>
      <c r="D201" s="7">
        <v>444.2</v>
      </c>
      <c r="E201" s="2"/>
      <c r="F201" s="6">
        <f t="shared" si="112"/>
        <v>3.7681630314652728E-4</v>
      </c>
      <c r="G201" s="2"/>
      <c r="H201" s="7">
        <v>625</v>
      </c>
      <c r="I201" s="2"/>
      <c r="J201" s="6">
        <f t="shared" si="113"/>
        <v>3.146062891055618E-4</v>
      </c>
      <c r="K201" s="2"/>
      <c r="L201" s="7">
        <f t="shared" si="114"/>
        <v>-180.8</v>
      </c>
      <c r="M201" s="2"/>
      <c r="N201" s="6">
        <f t="shared" si="115"/>
        <v>-0.28928000000000004</v>
      </c>
      <c r="O201" s="11"/>
      <c r="P201" s="7">
        <v>9363.17</v>
      </c>
      <c r="Q201" s="2"/>
      <c r="R201" s="6">
        <f t="shared" si="116"/>
        <v>2.4131726826100803E-3</v>
      </c>
      <c r="S201" s="2"/>
      <c r="T201" s="7">
        <v>3975</v>
      </c>
      <c r="U201" s="2"/>
      <c r="V201" s="6">
        <f t="shared" si="117"/>
        <v>5.7739186213015331E-4</v>
      </c>
      <c r="W201" s="2"/>
      <c r="X201" s="7">
        <f t="shared" si="118"/>
        <v>5388.17</v>
      </c>
      <c r="Y201" s="2"/>
      <c r="Z201" s="6">
        <f t="shared" si="119"/>
        <v>1.3555144654088052</v>
      </c>
    </row>
    <row r="202" spans="1:26" s="24" customFormat="1" hidden="1" outlineLevel="2" x14ac:dyDescent="0.35">
      <c r="A202" s="29"/>
      <c r="B202" s="11" t="str">
        <f>CONCATENATE("          ", "6243", " - ", "PAPER SUPPLIES")</f>
        <v xml:space="preserve">          6243 - PAPER SUPPLIES</v>
      </c>
      <c r="C202" s="11"/>
      <c r="D202" s="7">
        <v>1080</v>
      </c>
      <c r="E202" s="2"/>
      <c r="F202" s="6">
        <f t="shared" si="112"/>
        <v>9.1616750877588802E-4</v>
      </c>
      <c r="G202" s="2"/>
      <c r="H202" s="7">
        <v>2804</v>
      </c>
      <c r="I202" s="2"/>
      <c r="J202" s="6">
        <f t="shared" si="113"/>
        <v>1.4114496554431923E-3</v>
      </c>
      <c r="K202" s="2"/>
      <c r="L202" s="7">
        <f t="shared" si="114"/>
        <v>-1724</v>
      </c>
      <c r="M202" s="2"/>
      <c r="N202" s="6">
        <f t="shared" si="115"/>
        <v>-0.61483594864479318</v>
      </c>
      <c r="O202" s="11"/>
      <c r="P202" s="7">
        <v>6173.4</v>
      </c>
      <c r="Q202" s="2"/>
      <c r="R202" s="6">
        <f t="shared" si="116"/>
        <v>1.591072279882248E-3</v>
      </c>
      <c r="S202" s="2"/>
      <c r="T202" s="7">
        <v>12180</v>
      </c>
      <c r="U202" s="2"/>
      <c r="V202" s="6">
        <f t="shared" si="117"/>
        <v>1.7692158190554131E-3</v>
      </c>
      <c r="W202" s="2"/>
      <c r="X202" s="7">
        <f t="shared" si="118"/>
        <v>-6006.6</v>
      </c>
      <c r="Y202" s="2"/>
      <c r="Z202" s="6">
        <f t="shared" si="119"/>
        <v>-0.49315270935960592</v>
      </c>
    </row>
    <row r="203" spans="1:26" s="24" customFormat="1" hidden="1" outlineLevel="2" x14ac:dyDescent="0.35">
      <c r="A203" s="29"/>
      <c r="B203" s="11" t="str">
        <f>CONCATENATE("          ", "6244", " - ", "SAFETY SUPPLY EXPENSE")</f>
        <v xml:space="preserve">          6244 - SAFETY SUPPLY EXPENSE</v>
      </c>
      <c r="C203" s="11"/>
      <c r="D203" s="7"/>
      <c r="E203" s="2"/>
      <c r="F203" s="6">
        <f t="shared" si="112"/>
        <v>0</v>
      </c>
      <c r="G203" s="2"/>
      <c r="H203" s="7">
        <v>25</v>
      </c>
      <c r="I203" s="2"/>
      <c r="J203" s="6">
        <f t="shared" si="113"/>
        <v>1.2584251564222472E-5</v>
      </c>
      <c r="K203" s="2"/>
      <c r="L203" s="7">
        <f t="shared" si="114"/>
        <v>-25</v>
      </c>
      <c r="M203" s="2"/>
      <c r="N203" s="6">
        <f t="shared" si="115"/>
        <v>-1</v>
      </c>
      <c r="O203" s="11"/>
      <c r="P203" s="7"/>
      <c r="Q203" s="2"/>
      <c r="R203" s="6">
        <f t="shared" si="116"/>
        <v>0</v>
      </c>
      <c r="S203" s="2"/>
      <c r="T203" s="7">
        <v>75</v>
      </c>
      <c r="U203" s="2"/>
      <c r="V203" s="6">
        <f t="shared" si="117"/>
        <v>1.0894186077927421E-5</v>
      </c>
      <c r="W203" s="2"/>
      <c r="X203" s="7">
        <f t="shared" si="118"/>
        <v>-75</v>
      </c>
      <c r="Y203" s="2"/>
      <c r="Z203" s="6">
        <f t="shared" si="119"/>
        <v>-1</v>
      </c>
    </row>
    <row r="204" spans="1:26" s="24" customFormat="1" hidden="1" outlineLevel="2" x14ac:dyDescent="0.35">
      <c r="A204" s="29"/>
      <c r="B204" s="11" t="str">
        <f>CONCATENATE("          ", "6245", " - ", "PRINTING")</f>
        <v xml:space="preserve">          6245 - PRINTING</v>
      </c>
      <c r="C204" s="11"/>
      <c r="D204" s="7"/>
      <c r="E204" s="2"/>
      <c r="F204" s="6">
        <f t="shared" si="112"/>
        <v>0</v>
      </c>
      <c r="G204" s="2"/>
      <c r="H204" s="7">
        <v>750</v>
      </c>
      <c r="I204" s="2"/>
      <c r="J204" s="6">
        <f t="shared" si="113"/>
        <v>3.7752754692667415E-4</v>
      </c>
      <c r="K204" s="2"/>
      <c r="L204" s="7">
        <f t="shared" si="114"/>
        <v>-750</v>
      </c>
      <c r="M204" s="2"/>
      <c r="N204" s="6">
        <f t="shared" si="115"/>
        <v>-1</v>
      </c>
      <c r="O204" s="11"/>
      <c r="P204" s="7">
        <v>508.27</v>
      </c>
      <c r="Q204" s="2"/>
      <c r="R204" s="6">
        <f t="shared" si="116"/>
        <v>1.3099658335694273E-4</v>
      </c>
      <c r="S204" s="2"/>
      <c r="T204" s="7">
        <v>3550</v>
      </c>
      <c r="U204" s="2"/>
      <c r="V204" s="6">
        <f t="shared" si="117"/>
        <v>5.1565814102189794E-4</v>
      </c>
      <c r="W204" s="2"/>
      <c r="X204" s="7">
        <f t="shared" si="118"/>
        <v>-3041.73</v>
      </c>
      <c r="Y204" s="2"/>
      <c r="Z204" s="6">
        <f t="shared" si="119"/>
        <v>-0.85682535211267608</v>
      </c>
    </row>
    <row r="205" spans="1:26" s="24" customFormat="1" hidden="1" outlineLevel="2" x14ac:dyDescent="0.35">
      <c r="A205" s="29"/>
      <c r="B205" s="11" t="str">
        <f>CONCATENATE("          ", "6247", " - ", "STORE SUPPLIES")</f>
        <v xml:space="preserve">          6247 - STORE SUPPLIES</v>
      </c>
      <c r="C205" s="11"/>
      <c r="D205" s="7">
        <v>8504.83</v>
      </c>
      <c r="E205" s="2"/>
      <c r="F205" s="6">
        <f t="shared" si="112"/>
        <v>7.2146749200578102E-3</v>
      </c>
      <c r="G205" s="2"/>
      <c r="H205" s="7">
        <v>4162</v>
      </c>
      <c r="I205" s="2"/>
      <c r="J205" s="6">
        <f t="shared" si="113"/>
        <v>2.0950262004117569E-3</v>
      </c>
      <c r="K205" s="2"/>
      <c r="L205" s="7">
        <f t="shared" si="114"/>
        <v>4342.83</v>
      </c>
      <c r="M205" s="2"/>
      <c r="N205" s="6">
        <f t="shared" si="115"/>
        <v>1.0434478616049976</v>
      </c>
      <c r="O205" s="11"/>
      <c r="P205" s="7">
        <v>38700.5</v>
      </c>
      <c r="Q205" s="2"/>
      <c r="R205" s="6">
        <f t="shared" si="116"/>
        <v>9.9742917626563874E-3</v>
      </c>
      <c r="S205" s="2"/>
      <c r="T205" s="7">
        <v>31407</v>
      </c>
      <c r="U205" s="2"/>
      <c r="V205" s="6">
        <f t="shared" si="117"/>
        <v>4.5620493619928865E-3</v>
      </c>
      <c r="W205" s="2"/>
      <c r="X205" s="7">
        <f t="shared" si="118"/>
        <v>7293.5</v>
      </c>
      <c r="Y205" s="2"/>
      <c r="Z205" s="6">
        <f t="shared" si="119"/>
        <v>0.23222530009233611</v>
      </c>
    </row>
    <row r="206" spans="1:26" s="24" customFormat="1" hidden="1" outlineLevel="2" x14ac:dyDescent="0.35">
      <c r="A206" s="29"/>
      <c r="B206" s="11" t="str">
        <f>CONCATENATE("          ", "6248", " - ", "UNIFORMS")</f>
        <v xml:space="preserve">          6248 - UNIFORMS</v>
      </c>
      <c r="C206" s="11"/>
      <c r="D206" s="7"/>
      <c r="E206" s="2"/>
      <c r="F206" s="6">
        <f t="shared" si="112"/>
        <v>0</v>
      </c>
      <c r="G206" s="2"/>
      <c r="H206" s="7">
        <v>1700</v>
      </c>
      <c r="I206" s="2"/>
      <c r="J206" s="6">
        <f t="shared" si="113"/>
        <v>8.5572910636712806E-4</v>
      </c>
      <c r="K206" s="2"/>
      <c r="L206" s="7">
        <f t="shared" si="114"/>
        <v>-1700</v>
      </c>
      <c r="M206" s="2"/>
      <c r="N206" s="6">
        <f t="shared" si="115"/>
        <v>-1</v>
      </c>
      <c r="O206" s="11"/>
      <c r="P206" s="7"/>
      <c r="Q206" s="2"/>
      <c r="R206" s="6">
        <f t="shared" si="116"/>
        <v>0</v>
      </c>
      <c r="S206" s="2"/>
      <c r="T206" s="7">
        <v>10900</v>
      </c>
      <c r="U206" s="2"/>
      <c r="V206" s="6">
        <f t="shared" si="117"/>
        <v>1.5832883766587851E-3</v>
      </c>
      <c r="W206" s="2"/>
      <c r="X206" s="7">
        <f t="shared" si="118"/>
        <v>-10900</v>
      </c>
      <c r="Y206" s="2"/>
      <c r="Z206" s="6">
        <f t="shared" si="119"/>
        <v>-1</v>
      </c>
    </row>
    <row r="207" spans="1:26" s="28" customFormat="1" outlineLevel="1" collapsed="1" x14ac:dyDescent="0.35">
      <c r="A207" s="27"/>
      <c r="B207" s="14" t="str">
        <f>CONCATENATE("     ","Telephone/Data Lines                              ")</f>
        <v xml:space="preserve">     Telephone/Data Lines                              </v>
      </c>
      <c r="C207" s="14"/>
      <c r="D207" s="1">
        <f>SUM(OSRRefD22_22x_0)</f>
        <v>2487.31</v>
      </c>
      <c r="E207" s="1"/>
      <c r="F207" s="5">
        <f t="shared" ref="F207:F209" si="120">IF(D$12=0,0,D207/D$12)</f>
        <v>2.1099931539382906E-3</v>
      </c>
      <c r="G207" s="1"/>
      <c r="H207" s="1">
        <f>SUM(OSRRefH22_22x_0)</f>
        <v>3180</v>
      </c>
      <c r="I207" s="1"/>
      <c r="J207" s="5">
        <f t="shared" ref="J207:J209" si="121">IF(H$12=0,0,H207/H$12)</f>
        <v>1.6007167989690982E-3</v>
      </c>
      <c r="K207" s="1"/>
      <c r="L207" s="1">
        <f t="shared" ref="L207:L209" si="122">+D207-H207</f>
        <v>-692.69</v>
      </c>
      <c r="M207" s="1"/>
      <c r="N207" s="5">
        <f t="shared" ref="N207:N209" si="123">IF(H207=0,0,L207/H207)</f>
        <v>-0.21782704402515726</v>
      </c>
      <c r="O207" s="14"/>
      <c r="P207" s="1">
        <f>SUM(OSRRefP22_22x_0)</f>
        <v>20175.79</v>
      </c>
      <c r="Q207" s="1"/>
      <c r="R207" s="5">
        <f t="shared" ref="R207:R209" si="124">IF(P$12=0,0,P207/P$12)</f>
        <v>5.1999125593231391E-3</v>
      </c>
      <c r="S207" s="1"/>
      <c r="T207" s="1">
        <f>SUM(OSRRefT22_22x_0)</f>
        <v>20455</v>
      </c>
      <c r="U207" s="1"/>
      <c r="V207" s="5">
        <f t="shared" ref="V207:V209" si="125">IF(T$12=0,0,T207/T$12)</f>
        <v>2.9712076829867384E-3</v>
      </c>
      <c r="W207" s="1"/>
      <c r="X207" s="1">
        <f t="shared" ref="X207:X209" si="126">+P207-T207</f>
        <v>-279.20999999999913</v>
      </c>
      <c r="Y207" s="1"/>
      <c r="Z207" s="5">
        <f t="shared" ref="Z207:Z209" si="127">IF(T207=0,0,X207/T207)</f>
        <v>-1.3649963334148087E-2</v>
      </c>
    </row>
    <row r="208" spans="1:26" s="24" customFormat="1" hidden="1" outlineLevel="2" x14ac:dyDescent="0.35">
      <c r="A208" s="29"/>
      <c r="B208" s="11" t="str">
        <f>CONCATENATE("          ", "6303", " - ", "DATA PHONE LINES")</f>
        <v xml:space="preserve">          6303 - DATA PHONE LINES</v>
      </c>
      <c r="C208" s="11"/>
      <c r="D208" s="7">
        <v>295</v>
      </c>
      <c r="E208" s="2"/>
      <c r="F208" s="6">
        <f t="shared" si="120"/>
        <v>2.5024945841563609E-4</v>
      </c>
      <c r="G208" s="2"/>
      <c r="H208" s="7">
        <v>865</v>
      </c>
      <c r="I208" s="2"/>
      <c r="J208" s="6">
        <f t="shared" si="121"/>
        <v>4.3541510412209748E-4</v>
      </c>
      <c r="K208" s="2"/>
      <c r="L208" s="7">
        <f t="shared" si="122"/>
        <v>-570</v>
      </c>
      <c r="M208" s="2"/>
      <c r="N208" s="6">
        <f t="shared" si="123"/>
        <v>-0.65895953757225434</v>
      </c>
      <c r="O208" s="11"/>
      <c r="P208" s="7">
        <v>2360</v>
      </c>
      <c r="Q208" s="2"/>
      <c r="R208" s="6">
        <f t="shared" si="124"/>
        <v>6.0824352553246277E-4</v>
      </c>
      <c r="S208" s="2"/>
      <c r="T208" s="7">
        <v>6050</v>
      </c>
      <c r="U208" s="2"/>
      <c r="V208" s="6">
        <f t="shared" si="125"/>
        <v>8.787976769528119E-4</v>
      </c>
      <c r="W208" s="2"/>
      <c r="X208" s="7">
        <f t="shared" si="126"/>
        <v>-3690</v>
      </c>
      <c r="Y208" s="2"/>
      <c r="Z208" s="6">
        <f t="shared" si="127"/>
        <v>-0.60991735537190084</v>
      </c>
    </row>
    <row r="209" spans="1:26" s="24" customFormat="1" hidden="1" outlineLevel="2" x14ac:dyDescent="0.35">
      <c r="A209" s="29"/>
      <c r="B209" s="11" t="str">
        <f>CONCATENATE("          ", "6309", " - ", "TELEPHONE")</f>
        <v xml:space="preserve">          6309 - TELEPHONE</v>
      </c>
      <c r="C209" s="11"/>
      <c r="D209" s="7">
        <v>2192.31</v>
      </c>
      <c r="E209" s="2"/>
      <c r="F209" s="6">
        <f t="shared" si="120"/>
        <v>1.8597436955226545E-3</v>
      </c>
      <c r="G209" s="2"/>
      <c r="H209" s="7">
        <v>2315</v>
      </c>
      <c r="I209" s="2"/>
      <c r="J209" s="6">
        <f t="shared" si="121"/>
        <v>1.1653016948470008E-3</v>
      </c>
      <c r="K209" s="2"/>
      <c r="L209" s="7">
        <f t="shared" si="122"/>
        <v>-122.69000000000005</v>
      </c>
      <c r="M209" s="2"/>
      <c r="N209" s="6">
        <f t="shared" si="123"/>
        <v>-5.2997840172786199E-2</v>
      </c>
      <c r="O209" s="11"/>
      <c r="P209" s="7">
        <v>17815.79</v>
      </c>
      <c r="Q209" s="2"/>
      <c r="R209" s="6">
        <f t="shared" si="124"/>
        <v>4.5916690337906765E-3</v>
      </c>
      <c r="S209" s="2"/>
      <c r="T209" s="7">
        <v>14405</v>
      </c>
      <c r="U209" s="2"/>
      <c r="V209" s="6">
        <f t="shared" si="125"/>
        <v>2.0924100060339267E-3</v>
      </c>
      <c r="W209" s="2"/>
      <c r="X209" s="7">
        <f t="shared" si="126"/>
        <v>3410.7900000000009</v>
      </c>
      <c r="Y209" s="2"/>
      <c r="Z209" s="6">
        <f t="shared" si="127"/>
        <v>0.23677820201318991</v>
      </c>
    </row>
    <row r="210" spans="1:26" s="28" customFormat="1" outlineLevel="1" collapsed="1" x14ac:dyDescent="0.35">
      <c r="A210" s="27"/>
      <c r="B210" s="14" t="str">
        <f>CONCATENATE("     ","Training                                          ")</f>
        <v xml:space="preserve">     Training                                          </v>
      </c>
      <c r="C210" s="14"/>
      <c r="D210" s="1">
        <f>SUM(OSRRefD22_23x_0)</f>
        <v>0</v>
      </c>
      <c r="E210" s="1"/>
      <c r="F210" s="5">
        <f t="shared" ref="F210:F215" si="128">IF(D$12=0,0,D210/D$12)</f>
        <v>0</v>
      </c>
      <c r="G210" s="1"/>
      <c r="H210" s="1">
        <f>SUM(OSRRefH22_23x_0)</f>
        <v>1980</v>
      </c>
      <c r="I210" s="1"/>
      <c r="J210" s="5">
        <f t="shared" ref="J210:J215" si="129">IF(H$12=0,0,H210/H$12)</f>
        <v>9.9667272388641965E-4</v>
      </c>
      <c r="K210" s="1"/>
      <c r="L210" s="1">
        <f t="shared" ref="L210:L215" si="130">+D210-H210</f>
        <v>-1980</v>
      </c>
      <c r="M210" s="1"/>
      <c r="N210" s="5">
        <f t="shared" ref="N210:N215" si="131">IF(H210=0,0,L210/H210)</f>
        <v>-1</v>
      </c>
      <c r="O210" s="14"/>
      <c r="P210" s="1">
        <f>SUM(OSRRefP22_23x_0)</f>
        <v>145.63</v>
      </c>
      <c r="Q210" s="1"/>
      <c r="R210" s="5">
        <f t="shared" ref="R210:R215" si="132">IF(P$12=0,0,P210/P$12)</f>
        <v>3.7533264670886676E-5</v>
      </c>
      <c r="S210" s="1"/>
      <c r="T210" s="1">
        <f>SUM(OSRRefT22_23x_0)</f>
        <v>7210</v>
      </c>
      <c r="U210" s="1"/>
      <c r="V210" s="5">
        <f t="shared" ref="V210:V215" si="133">IF(T$12=0,0,T210/T$12)</f>
        <v>1.047294421624756E-3</v>
      </c>
      <c r="W210" s="1"/>
      <c r="X210" s="1">
        <f t="shared" ref="X210:X215" si="134">+P210-T210</f>
        <v>-7064.37</v>
      </c>
      <c r="Y210" s="1"/>
      <c r="Z210" s="5">
        <f t="shared" ref="Z210:Z215" si="135">IF(T210=0,0,X210/T210)</f>
        <v>-0.97980166435506244</v>
      </c>
    </row>
    <row r="211" spans="1:26" s="24" customFormat="1" hidden="1" outlineLevel="2" x14ac:dyDescent="0.35">
      <c r="A211" s="29"/>
      <c r="B211" s="11" t="str">
        <f>CONCATENATE("          ", "6376", " - ", "TRAINING")</f>
        <v xml:space="preserve">          6376 - TRAINING</v>
      </c>
      <c r="C211" s="11"/>
      <c r="D211" s="7"/>
      <c r="E211" s="2"/>
      <c r="F211" s="6">
        <f t="shared" si="128"/>
        <v>0</v>
      </c>
      <c r="G211" s="2"/>
      <c r="H211" s="7">
        <v>1980</v>
      </c>
      <c r="I211" s="2"/>
      <c r="J211" s="6">
        <f t="shared" si="129"/>
        <v>9.9667272388641965E-4</v>
      </c>
      <c r="K211" s="2"/>
      <c r="L211" s="7">
        <f t="shared" si="130"/>
        <v>-1980</v>
      </c>
      <c r="M211" s="2"/>
      <c r="N211" s="6">
        <f t="shared" si="131"/>
        <v>-1</v>
      </c>
      <c r="O211" s="11"/>
      <c r="P211" s="7">
        <v>145.63</v>
      </c>
      <c r="Q211" s="2"/>
      <c r="R211" s="6">
        <f t="shared" si="132"/>
        <v>3.7533264670886676E-5</v>
      </c>
      <c r="S211" s="2"/>
      <c r="T211" s="7">
        <v>7210</v>
      </c>
      <c r="U211" s="2"/>
      <c r="V211" s="6">
        <f t="shared" si="133"/>
        <v>1.047294421624756E-3</v>
      </c>
      <c r="W211" s="2"/>
      <c r="X211" s="7">
        <f t="shared" si="134"/>
        <v>-7064.37</v>
      </c>
      <c r="Y211" s="2"/>
      <c r="Z211" s="6">
        <f t="shared" si="135"/>
        <v>-0.97980166435506244</v>
      </c>
    </row>
    <row r="212" spans="1:26" s="28" customFormat="1" outlineLevel="1" collapsed="1" x14ac:dyDescent="0.35">
      <c r="A212" s="27"/>
      <c r="B212" s="14" t="str">
        <f>CONCATENATE("     ","Travel                                            ")</f>
        <v xml:space="preserve">     Travel                                            </v>
      </c>
      <c r="C212" s="14"/>
      <c r="D212" s="1">
        <f>SUM(OSRRefD22_24x_0)</f>
        <v>129.38</v>
      </c>
      <c r="E212" s="1"/>
      <c r="F212" s="5">
        <f t="shared" si="128"/>
        <v>1.0975347433835591E-4</v>
      </c>
      <c r="G212" s="1"/>
      <c r="H212" s="1">
        <f>SUM(OSRRefH22_24x_0)</f>
        <v>75</v>
      </c>
      <c r="I212" s="1"/>
      <c r="J212" s="5">
        <f t="shared" si="129"/>
        <v>3.7752754692667409E-5</v>
      </c>
      <c r="K212" s="1"/>
      <c r="L212" s="1">
        <f t="shared" si="130"/>
        <v>54.379999999999995</v>
      </c>
      <c r="M212" s="1"/>
      <c r="N212" s="5">
        <f t="shared" si="131"/>
        <v>0.72506666666666664</v>
      </c>
      <c r="O212" s="14"/>
      <c r="P212" s="1">
        <f>SUM(OSRRefP22_24x_0)</f>
        <v>810.31000000000006</v>
      </c>
      <c r="Q212" s="1"/>
      <c r="R212" s="5">
        <f t="shared" si="132"/>
        <v>2.0884144541280083E-4</v>
      </c>
      <c r="S212" s="1"/>
      <c r="T212" s="1">
        <f>SUM(OSRRefT22_24x_0)</f>
        <v>2050</v>
      </c>
      <c r="U212" s="1"/>
      <c r="V212" s="5">
        <f t="shared" si="133"/>
        <v>2.9777441946334947E-4</v>
      </c>
      <c r="W212" s="1"/>
      <c r="X212" s="1">
        <f t="shared" si="134"/>
        <v>-1239.69</v>
      </c>
      <c r="Y212" s="1"/>
      <c r="Z212" s="5">
        <f t="shared" si="135"/>
        <v>-0.60472682926829269</v>
      </c>
    </row>
    <row r="213" spans="1:26" s="24" customFormat="1" hidden="1" outlineLevel="2" x14ac:dyDescent="0.35">
      <c r="A213" s="29"/>
      <c r="B213" s="11" t="str">
        <f>CONCATENATE("          ", "6292", " - ", "TRAVEL/CONFERENCE")</f>
        <v xml:space="preserve">          6292 - TRAVEL/CONFERENCE</v>
      </c>
      <c r="C213" s="11"/>
      <c r="D213" s="7"/>
      <c r="E213" s="2"/>
      <c r="F213" s="6">
        <f t="shared" si="128"/>
        <v>0</v>
      </c>
      <c r="G213" s="2"/>
      <c r="H213" s="7"/>
      <c r="I213" s="2"/>
      <c r="J213" s="6">
        <f t="shared" si="129"/>
        <v>0</v>
      </c>
      <c r="K213" s="2"/>
      <c r="L213" s="7">
        <f t="shared" si="130"/>
        <v>0</v>
      </c>
      <c r="M213" s="2"/>
      <c r="N213" s="6">
        <f t="shared" si="131"/>
        <v>0</v>
      </c>
      <c r="O213" s="11"/>
      <c r="P213" s="7">
        <v>299.16000000000003</v>
      </c>
      <c r="Q213" s="2"/>
      <c r="R213" s="6">
        <f t="shared" si="132"/>
        <v>7.7102598770462542E-5</v>
      </c>
      <c r="S213" s="2"/>
      <c r="T213" s="7">
        <v>1500</v>
      </c>
      <c r="U213" s="2"/>
      <c r="V213" s="6">
        <f t="shared" si="133"/>
        <v>2.1788372155854841E-4</v>
      </c>
      <c r="W213" s="2"/>
      <c r="X213" s="7">
        <f t="shared" si="134"/>
        <v>-1200.8399999999999</v>
      </c>
      <c r="Y213" s="2"/>
      <c r="Z213" s="6">
        <f t="shared" si="135"/>
        <v>-0.80055999999999994</v>
      </c>
    </row>
    <row r="214" spans="1:26" s="24" customFormat="1" hidden="1" outlineLevel="2" x14ac:dyDescent="0.35">
      <c r="A214" s="29"/>
      <c r="B214" s="11" t="str">
        <f>CONCATENATE("          ", "6294", " - ", "TRAVEL OPERATIONAL")</f>
        <v xml:space="preserve">          6294 - TRAVEL OPERATIONAL</v>
      </c>
      <c r="C214" s="11"/>
      <c r="D214" s="7">
        <v>129.38</v>
      </c>
      <c r="E214" s="2"/>
      <c r="F214" s="6">
        <f t="shared" si="128"/>
        <v>1.0975347433835591E-4</v>
      </c>
      <c r="G214" s="2"/>
      <c r="H214" s="7">
        <v>25</v>
      </c>
      <c r="I214" s="2"/>
      <c r="J214" s="6">
        <f t="shared" si="129"/>
        <v>1.2584251564222472E-5</v>
      </c>
      <c r="K214" s="2"/>
      <c r="L214" s="7">
        <f t="shared" si="130"/>
        <v>104.38</v>
      </c>
      <c r="M214" s="2"/>
      <c r="N214" s="6">
        <f t="shared" si="131"/>
        <v>4.1752000000000002</v>
      </c>
      <c r="O214" s="11"/>
      <c r="P214" s="7">
        <v>451.26</v>
      </c>
      <c r="Q214" s="2"/>
      <c r="R214" s="6">
        <f t="shared" si="132"/>
        <v>1.163033785304149E-4</v>
      </c>
      <c r="S214" s="2"/>
      <c r="T214" s="7">
        <v>175</v>
      </c>
      <c r="U214" s="2"/>
      <c r="V214" s="6">
        <f t="shared" si="133"/>
        <v>2.5419767515163981E-5</v>
      </c>
      <c r="W214" s="2"/>
      <c r="X214" s="7">
        <f t="shared" si="134"/>
        <v>276.26</v>
      </c>
      <c r="Y214" s="2"/>
      <c r="Z214" s="6">
        <f t="shared" si="135"/>
        <v>1.5786285714285713</v>
      </c>
    </row>
    <row r="215" spans="1:26" s="24" customFormat="1" hidden="1" outlineLevel="2" x14ac:dyDescent="0.35">
      <c r="A215" s="29"/>
      <c r="B215" s="11" t="str">
        <f>CONCATENATE("          ", "6298", " - ", "VEHICLE MILEAGE")</f>
        <v xml:space="preserve">          6298 - VEHICLE MILEAGE</v>
      </c>
      <c r="C215" s="11"/>
      <c r="D215" s="7"/>
      <c r="E215" s="2"/>
      <c r="F215" s="6">
        <f t="shared" si="128"/>
        <v>0</v>
      </c>
      <c r="G215" s="2"/>
      <c r="H215" s="7">
        <v>50</v>
      </c>
      <c r="I215" s="2"/>
      <c r="J215" s="6">
        <f t="shared" si="129"/>
        <v>2.5168503128444943E-5</v>
      </c>
      <c r="K215" s="2"/>
      <c r="L215" s="7">
        <f t="shared" si="130"/>
        <v>-50</v>
      </c>
      <c r="M215" s="2"/>
      <c r="N215" s="6">
        <f t="shared" si="131"/>
        <v>-1</v>
      </c>
      <c r="O215" s="11"/>
      <c r="P215" s="7">
        <v>59.89</v>
      </c>
      <c r="Q215" s="2"/>
      <c r="R215" s="6">
        <f t="shared" si="132"/>
        <v>1.5435468111923387E-5</v>
      </c>
      <c r="S215" s="2"/>
      <c r="T215" s="7">
        <v>375</v>
      </c>
      <c r="U215" s="2"/>
      <c r="V215" s="6">
        <f t="shared" si="133"/>
        <v>5.4470930389637103E-5</v>
      </c>
      <c r="W215" s="2"/>
      <c r="X215" s="7">
        <f t="shared" si="134"/>
        <v>-315.11</v>
      </c>
      <c r="Y215" s="2"/>
      <c r="Z215" s="6">
        <f t="shared" si="135"/>
        <v>-0.84029333333333334</v>
      </c>
    </row>
    <row r="216" spans="1:26" s="28" customFormat="1" outlineLevel="1" collapsed="1" x14ac:dyDescent="0.35">
      <c r="A216" s="27"/>
      <c r="B216" s="14" t="str">
        <f>CONCATENATE("     ","Utilities                                         ")</f>
        <v xml:space="preserve">     Utilities                                         </v>
      </c>
      <c r="C216" s="14"/>
      <c r="D216" s="1">
        <f>SUM(OSRRefD22_25x_0)</f>
        <v>7301.61</v>
      </c>
      <c r="E216" s="1"/>
      <c r="F216" s="5">
        <f t="shared" ref="F216:F217" si="136">IF(D$12=0,0,D216/D$12)</f>
        <v>6.1939794849565841E-3</v>
      </c>
      <c r="G216" s="1"/>
      <c r="H216" s="1">
        <f>SUM(OSRRefH22_25x_0)</f>
        <v>7153</v>
      </c>
      <c r="I216" s="1"/>
      <c r="J216" s="5">
        <f t="shared" ref="J216:J217" si="137">IF(H$12=0,0,H216/H$12)</f>
        <v>3.6006060575553334E-3</v>
      </c>
      <c r="K216" s="1"/>
      <c r="L216" s="1">
        <f t="shared" ref="L216:L217" si="138">+D216-H216</f>
        <v>148.60999999999967</v>
      </c>
      <c r="M216" s="1"/>
      <c r="N216" s="5">
        <f t="shared" ref="N216:N217" si="139">IF(H216=0,0,L216/H216)</f>
        <v>2.0775898224521135E-2</v>
      </c>
      <c r="O216" s="14"/>
      <c r="P216" s="1">
        <f>SUM(OSRRefP22_25x_0)</f>
        <v>47621.03</v>
      </c>
      <c r="Q216" s="1"/>
      <c r="R216" s="5">
        <f t="shared" ref="R216:R217" si="140">IF(P$12=0,0,P216/P$12)</f>
        <v>1.2273382701986092E-2</v>
      </c>
      <c r="S216" s="1"/>
      <c r="T216" s="1">
        <f>SUM(OSRRefT22_25x_0)</f>
        <v>49219</v>
      </c>
      <c r="U216" s="1"/>
      <c r="V216" s="5">
        <f t="shared" ref="V216:V217" si="141">IF(T$12=0,0,T216/T$12)</f>
        <v>7.1493459275934626E-3</v>
      </c>
      <c r="W216" s="1"/>
      <c r="X216" s="1">
        <f t="shared" ref="X216:X217" si="142">+P216-T216</f>
        <v>-1597.9700000000012</v>
      </c>
      <c r="Y216" s="1"/>
      <c r="Z216" s="5">
        <f t="shared" ref="Z216:Z217" si="143">IF(T216=0,0,X216/T216)</f>
        <v>-3.2466527154147815E-2</v>
      </c>
    </row>
    <row r="217" spans="1:26" s="24" customFormat="1" hidden="1" outlineLevel="2" x14ac:dyDescent="0.35">
      <c r="A217" s="29"/>
      <c r="B217" s="11" t="str">
        <f>CONCATENATE("          ", "6274", " - ", "UTILITIES")</f>
        <v xml:space="preserve">          6274 - UTILITIES</v>
      </c>
      <c r="C217" s="11"/>
      <c r="D217" s="7">
        <v>7301.61</v>
      </c>
      <c r="E217" s="2"/>
      <c r="F217" s="6">
        <f t="shared" si="136"/>
        <v>6.1939794849565841E-3</v>
      </c>
      <c r="G217" s="2"/>
      <c r="H217" s="7">
        <v>7153</v>
      </c>
      <c r="I217" s="2"/>
      <c r="J217" s="6">
        <f t="shared" si="137"/>
        <v>3.6006060575553334E-3</v>
      </c>
      <c r="K217" s="2"/>
      <c r="L217" s="7">
        <f t="shared" si="138"/>
        <v>148.60999999999967</v>
      </c>
      <c r="M217" s="2"/>
      <c r="N217" s="6">
        <f t="shared" si="139"/>
        <v>2.0775898224521135E-2</v>
      </c>
      <c r="O217" s="11"/>
      <c r="P217" s="7">
        <v>47621.03</v>
      </c>
      <c r="Q217" s="2"/>
      <c r="R217" s="6">
        <f t="shared" si="140"/>
        <v>1.2273382701986092E-2</v>
      </c>
      <c r="S217" s="2"/>
      <c r="T217" s="7">
        <v>49219</v>
      </c>
      <c r="U217" s="2"/>
      <c r="V217" s="6">
        <f t="shared" si="141"/>
        <v>7.1493459275934626E-3</v>
      </c>
      <c r="W217" s="2"/>
      <c r="X217" s="7">
        <f t="shared" si="142"/>
        <v>-1597.9700000000012</v>
      </c>
      <c r="Y217" s="2"/>
      <c r="Z217" s="6">
        <f t="shared" si="143"/>
        <v>-3.2466527154147815E-2</v>
      </c>
    </row>
    <row r="218" spans="1:26" s="55" customFormat="1" x14ac:dyDescent="0.35">
      <c r="A218" s="36"/>
      <c r="B218" s="36"/>
      <c r="C218" s="36"/>
      <c r="D218" s="1"/>
      <c r="E218" s="1"/>
      <c r="F218" s="5"/>
      <c r="G218" s="1"/>
      <c r="H218" s="1"/>
      <c r="I218" s="1"/>
      <c r="J218" s="5"/>
      <c r="K218" s="1"/>
      <c r="L218" s="1"/>
      <c r="M218" s="1"/>
      <c r="N218" s="5"/>
      <c r="O218" s="36"/>
      <c r="P218" s="1"/>
      <c r="Q218" s="1"/>
      <c r="R218" s="5"/>
      <c r="S218" s="1"/>
      <c r="T218" s="1"/>
      <c r="U218" s="1"/>
      <c r="V218" s="5"/>
      <c r="W218" s="1"/>
      <c r="X218" s="1"/>
      <c r="Y218" s="1"/>
      <c r="Z218" s="5"/>
    </row>
    <row r="219" spans="1:26" s="23" customFormat="1" collapsed="1" x14ac:dyDescent="0.35">
      <c r="A219" s="10"/>
      <c r="B219" s="25" t="s">
        <v>0</v>
      </c>
      <c r="C219" s="10"/>
      <c r="D219" s="4">
        <f>SUM(OSRRefD25x_0)</f>
        <v>31989.34</v>
      </c>
      <c r="E219" s="4"/>
      <c r="F219" s="12">
        <f t="shared" ref="F219:F223" si="144">IF(D$12=0,0,D219/D$12)</f>
        <v>2.7136661051097098E-2</v>
      </c>
      <c r="G219" s="4"/>
      <c r="H219" s="4">
        <f>SUM(OSRRefH25x_0)</f>
        <v>38725</v>
      </c>
      <c r="I219" s="4"/>
      <c r="J219" s="12">
        <f t="shared" ref="J219:J223" si="145">IF(H$12=0,0,H219/H$12)</f>
        <v>1.9493005672980606E-2</v>
      </c>
      <c r="K219" s="4"/>
      <c r="L219" s="4">
        <f t="shared" ref="L219:L223" si="146">+D219-H219</f>
        <v>-6735.66</v>
      </c>
      <c r="M219" s="4"/>
      <c r="N219" s="12">
        <f t="shared" ref="N219:N223" si="147">IF(H219=0,0,L219/H219)</f>
        <v>-0.17393570045190446</v>
      </c>
      <c r="O219" s="10"/>
      <c r="P219" s="4">
        <f>SUM(OSRRefP25x_0)</f>
        <v>576378.61</v>
      </c>
      <c r="Q219" s="4"/>
      <c r="R219" s="12">
        <f t="shared" ref="R219:R223" si="148">IF(P$12=0,0,P219/P$12)</f>
        <v>0.14855023635080525</v>
      </c>
      <c r="S219" s="4"/>
      <c r="T219" s="4">
        <f>SUM(OSRRefT25x_0)</f>
        <v>513954</v>
      </c>
      <c r="U219" s="4"/>
      <c r="V219" s="12">
        <f t="shared" ref="V219:V223" si="149">IF(T$12=0,0,T219/T$12)</f>
        <v>7.4654806819934791E-2</v>
      </c>
      <c r="W219" s="4"/>
      <c r="X219" s="4">
        <f t="shared" ref="X219:X223" si="150">+P219-T219</f>
        <v>62424.609999999986</v>
      </c>
      <c r="Y219" s="4"/>
      <c r="Z219" s="12">
        <f t="shared" ref="Z219:Z223" si="151">IF(T219=0,0,X219/T219)</f>
        <v>0.12145952750635268</v>
      </c>
    </row>
    <row r="220" spans="1:26" s="24" customFormat="1" hidden="1" outlineLevel="1" x14ac:dyDescent="0.35">
      <c r="A220" s="51"/>
      <c r="B220" s="11" t="str">
        <f>CONCATENATE("          ", "9150", " - ", "MISC. INCOME")</f>
        <v xml:space="preserve">          9150 - MISC. INCOME</v>
      </c>
      <c r="C220" s="11"/>
      <c r="D220" s="2">
        <f>--29871.01</f>
        <v>29871.01</v>
      </c>
      <c r="E220" s="2"/>
      <c r="F220" s="22">
        <f t="shared" si="144"/>
        <v>2.533967482992559E-2</v>
      </c>
      <c r="G220" s="2"/>
      <c r="H220" s="2">
        <v>23550</v>
      </c>
      <c r="I220" s="2"/>
      <c r="J220" s="22">
        <f t="shared" si="145"/>
        <v>1.1854364973497568E-2</v>
      </c>
      <c r="K220" s="2"/>
      <c r="L220" s="2">
        <f t="shared" si="146"/>
        <v>6321.0099999999984</v>
      </c>
      <c r="M220" s="2"/>
      <c r="N220" s="22">
        <f t="shared" si="147"/>
        <v>0.26840806794055194</v>
      </c>
      <c r="O220" s="11"/>
      <c r="P220" s="2">
        <f>--248483.12</f>
        <v>248483.12</v>
      </c>
      <c r="Q220" s="2"/>
      <c r="R220" s="22">
        <f t="shared" si="148"/>
        <v>6.4041630908519498E-2</v>
      </c>
      <c r="S220" s="2"/>
      <c r="T220" s="2">
        <v>141850</v>
      </c>
      <c r="U220" s="2"/>
      <c r="V220" s="22">
        <f t="shared" si="149"/>
        <v>2.0604537268720059E-2</v>
      </c>
      <c r="W220" s="2"/>
      <c r="X220" s="2">
        <f t="shared" si="150"/>
        <v>106633.12</v>
      </c>
      <c r="Y220" s="2"/>
      <c r="Z220" s="22">
        <f t="shared" si="151"/>
        <v>0.75173154740923509</v>
      </c>
    </row>
    <row r="221" spans="1:26" s="24" customFormat="1" hidden="1" outlineLevel="1" x14ac:dyDescent="0.35">
      <c r="A221" s="51"/>
      <c r="B221" s="11" t="str">
        <f>CONCATENATE("          ", "9151", " - ", "MISC. INCOME")</f>
        <v xml:space="preserve">          9151 - MISC. INCOME</v>
      </c>
      <c r="C221" s="11"/>
      <c r="D221" s="2">
        <f>--1972</f>
        <v>1972</v>
      </c>
      <c r="E221" s="2"/>
      <c r="F221" s="22">
        <f t="shared" si="144"/>
        <v>1.6728540067648622E-3</v>
      </c>
      <c r="G221" s="2"/>
      <c r="H221" s="2">
        <v>15175</v>
      </c>
      <c r="I221" s="2"/>
      <c r="J221" s="22">
        <f t="shared" si="145"/>
        <v>7.6386406994830396E-3</v>
      </c>
      <c r="K221" s="2"/>
      <c r="L221" s="2">
        <f t="shared" si="146"/>
        <v>-13203</v>
      </c>
      <c r="M221" s="2"/>
      <c r="N221" s="22">
        <f t="shared" si="147"/>
        <v>-0.8700494233937397</v>
      </c>
      <c r="O221" s="11"/>
      <c r="P221" s="2">
        <f>--149257.39</f>
        <v>149257.39000000001</v>
      </c>
      <c r="Q221" s="2"/>
      <c r="R221" s="22">
        <f t="shared" si="148"/>
        <v>3.8468153010751592E-2</v>
      </c>
      <c r="S221" s="2"/>
      <c r="T221" s="2">
        <v>372104</v>
      </c>
      <c r="U221" s="2"/>
      <c r="V221" s="22">
        <f t="shared" si="149"/>
        <v>5.4050269551214732E-2</v>
      </c>
      <c r="W221" s="2"/>
      <c r="X221" s="2">
        <f t="shared" si="150"/>
        <v>-222846.61</v>
      </c>
      <c r="Y221" s="2"/>
      <c r="Z221" s="22">
        <f t="shared" si="151"/>
        <v>-0.59888259733837845</v>
      </c>
    </row>
    <row r="222" spans="1:26" s="24" customFormat="1" hidden="1" outlineLevel="1" x14ac:dyDescent="0.35">
      <c r="A222" s="51"/>
      <c r="B222" s="11" t="str">
        <f>CONCATENATE("          ", "9152", " - ", "MISC. INCOME")</f>
        <v xml:space="preserve">          9152 - MISC. INCOME</v>
      </c>
      <c r="C222" s="11"/>
      <c r="D222" s="2">
        <f>--146.33</f>
        <v>146.33000000000001</v>
      </c>
      <c r="E222" s="2"/>
      <c r="F222" s="22">
        <f t="shared" si="144"/>
        <v>1.2413221440664416E-4</v>
      </c>
      <c r="G222" s="2"/>
      <c r="H222" s="2"/>
      <c r="I222" s="2"/>
      <c r="J222" s="22">
        <f t="shared" si="145"/>
        <v>0</v>
      </c>
      <c r="K222" s="2"/>
      <c r="L222" s="2">
        <f t="shared" si="146"/>
        <v>146.33000000000001</v>
      </c>
      <c r="M222" s="2"/>
      <c r="N222" s="22">
        <f t="shared" si="147"/>
        <v>0</v>
      </c>
      <c r="O222" s="11"/>
      <c r="P222" s="2">
        <f>--3232.26</f>
        <v>3232.26</v>
      </c>
      <c r="Q222" s="2"/>
      <c r="R222" s="22">
        <f t="shared" si="148"/>
        <v>8.3305136349049076E-4</v>
      </c>
      <c r="S222" s="2"/>
      <c r="T222" s="2"/>
      <c r="U222" s="2"/>
      <c r="V222" s="22">
        <f t="shared" si="149"/>
        <v>0</v>
      </c>
      <c r="W222" s="2"/>
      <c r="X222" s="2">
        <f t="shared" si="150"/>
        <v>3232.26</v>
      </c>
      <c r="Y222" s="2"/>
      <c r="Z222" s="22">
        <f t="shared" si="151"/>
        <v>0</v>
      </c>
    </row>
    <row r="223" spans="1:26" s="24" customFormat="1" hidden="1" outlineLevel="1" x14ac:dyDescent="0.35">
      <c r="A223" s="51"/>
      <c r="B223" s="11" t="str">
        <f>CONCATENATE("          ", "9163", " - ", "MISC. INCOME")</f>
        <v xml:space="preserve">          9163 - MISC. INCOME</v>
      </c>
      <c r="C223" s="11"/>
      <c r="D223" s="2">
        <f>0</f>
        <v>0</v>
      </c>
      <c r="E223" s="2"/>
      <c r="F223" s="22">
        <f t="shared" si="144"/>
        <v>0</v>
      </c>
      <c r="G223" s="2"/>
      <c r="H223" s="2"/>
      <c r="I223" s="2"/>
      <c r="J223" s="22">
        <f t="shared" si="145"/>
        <v>0</v>
      </c>
      <c r="K223" s="2"/>
      <c r="L223" s="2">
        <f t="shared" si="146"/>
        <v>0</v>
      </c>
      <c r="M223" s="2"/>
      <c r="N223" s="22">
        <f t="shared" si="147"/>
        <v>0</v>
      </c>
      <c r="O223" s="11"/>
      <c r="P223" s="2">
        <f>--175405.84</f>
        <v>175405.84</v>
      </c>
      <c r="Q223" s="2"/>
      <c r="R223" s="22">
        <f t="shared" si="148"/>
        <v>4.5207401068043676E-2</v>
      </c>
      <c r="S223" s="2"/>
      <c r="T223" s="2"/>
      <c r="U223" s="2"/>
      <c r="V223" s="22">
        <f t="shared" si="149"/>
        <v>0</v>
      </c>
      <c r="W223" s="2"/>
      <c r="X223" s="2">
        <f t="shared" si="150"/>
        <v>175405.84</v>
      </c>
      <c r="Y223" s="2"/>
      <c r="Z223" s="22">
        <f t="shared" si="151"/>
        <v>0</v>
      </c>
    </row>
    <row r="224" spans="1:26" x14ac:dyDescent="0.35">
      <c r="A224" s="9"/>
      <c r="B224" s="10"/>
      <c r="C224" s="10"/>
      <c r="D224" s="3"/>
      <c r="E224" s="3"/>
      <c r="F224" s="8"/>
      <c r="G224" s="3"/>
      <c r="H224" s="3"/>
      <c r="I224" s="3"/>
      <c r="J224" s="8"/>
      <c r="K224" s="3"/>
      <c r="L224" s="3"/>
      <c r="M224" s="3"/>
      <c r="N224" s="8"/>
      <c r="O224" s="10"/>
      <c r="P224" s="3"/>
      <c r="Q224" s="3"/>
      <c r="R224" s="8"/>
      <c r="S224" s="3"/>
      <c r="T224" s="3"/>
      <c r="U224" s="3"/>
      <c r="V224" s="8"/>
      <c r="W224" s="3"/>
      <c r="X224" s="3"/>
      <c r="Y224" s="3"/>
      <c r="Z224" s="8"/>
    </row>
    <row r="225" spans="1:26" s="23" customFormat="1" x14ac:dyDescent="0.35">
      <c r="A225" s="10"/>
      <c r="B225" s="26" t="s">
        <v>3</v>
      </c>
      <c r="C225" s="26"/>
      <c r="D225" s="19">
        <f>+D116-D118+D219</f>
        <v>124558.21999999977</v>
      </c>
      <c r="E225" s="13"/>
      <c r="F225" s="21">
        <f>IF(D$12=0,0,D225/D$12)</f>
        <v>0.1056631426990359</v>
      </c>
      <c r="G225" s="13"/>
      <c r="H225" s="19">
        <f>+H116-H118+H219</f>
        <v>243804.95269022661</v>
      </c>
      <c r="I225" s="13"/>
      <c r="J225" s="21">
        <f>IF(H$12=0,0,H225/H$12)</f>
        <v>0.12272411429028679</v>
      </c>
      <c r="K225" s="16"/>
      <c r="L225" s="19">
        <f>+D225-H225</f>
        <v>-119246.73269022684</v>
      </c>
      <c r="M225" s="16"/>
      <c r="N225" s="21">
        <f>IF(H225=0,0,L225/H225)</f>
        <v>-0.48910709718739476</v>
      </c>
      <c r="O225" s="25"/>
      <c r="P225" s="19">
        <f>+P116-P118+P219</f>
        <v>-153043.5900000009</v>
      </c>
      <c r="Q225" s="13"/>
      <c r="R225" s="21">
        <f>IF(P$12=0,0,P225/P$12)</f>
        <v>-3.9443971500739541E-2</v>
      </c>
      <c r="S225" s="13"/>
      <c r="T225" s="19">
        <f>+T116-T118+T219</f>
        <v>193124.19111157721</v>
      </c>
      <c r="U225" s="13"/>
      <c r="V225" s="21">
        <f>IF(T$12=0,0,T225/T$12)</f>
        <v>2.805241165491652E-2</v>
      </c>
      <c r="W225" s="16"/>
      <c r="X225" s="19">
        <f>+P225-T225</f>
        <v>-346167.78111157811</v>
      </c>
      <c r="Y225" s="16"/>
      <c r="Z225" s="21">
        <f>IF(T225=0,0,X225/T225)</f>
        <v>-1.7924620376096758</v>
      </c>
    </row>
    <row r="226" spans="1:26" x14ac:dyDescent="0.35">
      <c r="A226" s="9"/>
      <c r="B226" s="10"/>
      <c r="C226" s="9"/>
      <c r="D226" s="3"/>
      <c r="E226" s="3"/>
      <c r="F226" s="8"/>
      <c r="G226" s="3"/>
      <c r="H226" s="3"/>
      <c r="I226" s="3"/>
      <c r="J226" s="8"/>
      <c r="K226" s="3"/>
      <c r="L226" s="3"/>
      <c r="M226" s="3"/>
      <c r="N226" s="8"/>
      <c r="P226" s="3"/>
      <c r="Q226" s="3"/>
      <c r="R226" s="8"/>
      <c r="S226" s="3"/>
      <c r="T226" s="3"/>
      <c r="U226" s="3"/>
      <c r="V226" s="8"/>
      <c r="W226" s="3"/>
      <c r="X226" s="3"/>
      <c r="Y226" s="3"/>
      <c r="Z226" s="8"/>
    </row>
    <row r="227" spans="1:26" s="23" customFormat="1" x14ac:dyDescent="0.35">
      <c r="A227" s="52"/>
      <c r="B227" s="10" t="s">
        <v>14</v>
      </c>
      <c r="C227" s="10"/>
      <c r="D227" s="4">
        <v>204547.76</v>
      </c>
      <c r="E227" s="4"/>
      <c r="F227" s="12">
        <f>IF(D$12=0,0,D227/D$12)</f>
        <v>0.17351852935637799</v>
      </c>
      <c r="G227" s="4"/>
      <c r="H227" s="4">
        <v>266213</v>
      </c>
      <c r="I227" s="4"/>
      <c r="J227" s="12">
        <f>IF(H$12=0,0,H227/H$12)</f>
        <v>0.13400365446665427</v>
      </c>
      <c r="K227" s="4"/>
      <c r="L227" s="4">
        <f>+D227-H227</f>
        <v>-61665.239999999991</v>
      </c>
      <c r="M227" s="4"/>
      <c r="N227" s="12">
        <f>IF(H227=0,0,L227/H227)</f>
        <v>-0.23163872538155533</v>
      </c>
      <c r="O227" s="10"/>
      <c r="P227" s="4">
        <v>704327.16</v>
      </c>
      <c r="Q227" s="4"/>
      <c r="R227" s="12">
        <f>IF(P$12=0,0,P227/P$12)</f>
        <v>0.18152645547740129</v>
      </c>
      <c r="S227" s="4"/>
      <c r="T227" s="4">
        <v>1200225</v>
      </c>
      <c r="U227" s="4"/>
      <c r="V227" s="12">
        <f>IF(T$12=0,0,T227/T$12)</f>
        <v>0.17433965980507252</v>
      </c>
      <c r="W227" s="4"/>
      <c r="X227" s="4">
        <f>+P227-T227</f>
        <v>-495897.83999999997</v>
      </c>
      <c r="Y227" s="4"/>
      <c r="Z227" s="12">
        <f>IF(T227=0,0,X227/T227)</f>
        <v>-0.41317073048803349</v>
      </c>
    </row>
    <row r="228" spans="1:26" x14ac:dyDescent="0.35">
      <c r="A228" s="9"/>
      <c r="B228" s="10"/>
      <c r="C228" s="10"/>
      <c r="D228" s="3"/>
      <c r="E228" s="3"/>
      <c r="F228" s="8"/>
      <c r="G228" s="3"/>
      <c r="H228" s="3"/>
      <c r="I228" s="3"/>
      <c r="J228" s="8"/>
      <c r="K228" s="3"/>
      <c r="L228" s="3"/>
      <c r="M228" s="3"/>
      <c r="N228" s="8"/>
      <c r="O228" s="10"/>
      <c r="P228" s="3"/>
      <c r="Q228" s="3"/>
      <c r="R228" s="8"/>
      <c r="S228" s="3"/>
      <c r="T228" s="3"/>
      <c r="U228" s="3"/>
      <c r="V228" s="8"/>
      <c r="W228" s="3"/>
      <c r="X228" s="3"/>
      <c r="Y228" s="3"/>
      <c r="Z228" s="8"/>
    </row>
    <row r="229" spans="1:26" s="23" customFormat="1" ht="15" thickBot="1" x14ac:dyDescent="0.4">
      <c r="A229" s="10"/>
      <c r="B229" s="26" t="s">
        <v>4</v>
      </c>
      <c r="C229" s="26"/>
      <c r="D229" s="33">
        <f>+D225-D227</f>
        <v>-79989.540000000241</v>
      </c>
      <c r="E229" s="13"/>
      <c r="F229" s="31">
        <f>IF(D$12=0,0,D229/D$12)</f>
        <v>-6.7855386657342101E-2</v>
      </c>
      <c r="G229" s="13"/>
      <c r="H229" s="33">
        <f>+H225-H227</f>
        <v>-22408.047309773392</v>
      </c>
      <c r="I229" s="13"/>
      <c r="J229" s="31">
        <f>IF(H$12=0,0,H229/H$12)</f>
        <v>-1.1279540176367477E-2</v>
      </c>
      <c r="K229" s="16"/>
      <c r="L229" s="33">
        <f>D229-H229</f>
        <v>-57581.492690226849</v>
      </c>
      <c r="M229" s="16"/>
      <c r="N229" s="31">
        <f>IF(H229=0,0,L229/H229)</f>
        <v>2.5696791824030276</v>
      </c>
      <c r="O229" s="25"/>
      <c r="P229" s="33">
        <f>+P225-P227</f>
        <v>-857370.75000000093</v>
      </c>
      <c r="Q229" s="13"/>
      <c r="R229" s="31">
        <f>IF(P$12=0,0,P229/P$12)</f>
        <v>-0.22097042697814082</v>
      </c>
      <c r="S229" s="13"/>
      <c r="T229" s="33">
        <f>+T225-T227</f>
        <v>-1007100.8088884228</v>
      </c>
      <c r="U229" s="13"/>
      <c r="V229" s="31">
        <f>IF(T$12=0,0,T229/T$12)</f>
        <v>-0.14628724815015598</v>
      </c>
      <c r="W229" s="16"/>
      <c r="X229" s="33">
        <f>P229-T229</f>
        <v>149730.05888842186</v>
      </c>
      <c r="Y229" s="16"/>
      <c r="Z229" s="31">
        <f>IF(T229=0,0,X229/T229)</f>
        <v>-0.14867435073722648</v>
      </c>
    </row>
    <row r="230" spans="1:26" ht="15" thickTop="1" x14ac:dyDescent="0.35">
      <c r="A230" s="9"/>
      <c r="B230" s="9"/>
      <c r="C230" s="9"/>
      <c r="D230" s="3"/>
      <c r="E230" s="3"/>
      <c r="F230" s="8"/>
      <c r="G230" s="3"/>
      <c r="H230" s="3"/>
      <c r="I230" s="3"/>
      <c r="J230" s="8"/>
      <c r="K230" s="3"/>
      <c r="L230" s="3"/>
      <c r="M230" s="3"/>
      <c r="N230" s="8"/>
      <c r="P230" s="3"/>
      <c r="Q230" s="3"/>
      <c r="R230" s="8"/>
      <c r="S230" s="3"/>
      <c r="T230" s="3"/>
      <c r="U230" s="3"/>
      <c r="V230" s="8"/>
      <c r="W230" s="3"/>
      <c r="X230" s="3"/>
      <c r="Y230" s="3"/>
      <c r="Z230" s="8"/>
    </row>
    <row r="231" spans="1:26" x14ac:dyDescent="0.35">
      <c r="A231" s="9"/>
      <c r="B231" s="9"/>
      <c r="C231" s="9"/>
      <c r="D231" s="3"/>
      <c r="E231" s="3"/>
      <c r="F231" s="8"/>
      <c r="G231" s="3"/>
      <c r="H231" s="3"/>
      <c r="I231" s="3"/>
      <c r="J231" s="8"/>
      <c r="K231" s="3"/>
      <c r="L231" s="3"/>
      <c r="M231" s="3"/>
      <c r="N231" s="8"/>
      <c r="P231" s="3"/>
      <c r="Q231" s="3"/>
      <c r="R231" s="8"/>
      <c r="S231" s="3"/>
      <c r="T231" s="3"/>
      <c r="U231" s="3"/>
      <c r="V231" s="8"/>
      <c r="W231" s="3"/>
      <c r="X231" s="3"/>
      <c r="Y231" s="3"/>
      <c r="Z231" s="8"/>
    </row>
    <row r="232" spans="1:26" s="23" customFormat="1" ht="15" thickBot="1" x14ac:dyDescent="0.4">
      <c r="A232" s="10"/>
      <c r="B232" s="26" t="s">
        <v>5</v>
      </c>
      <c r="C232" s="26"/>
      <c r="D232" s="34">
        <f>SUM(D229:D231)</f>
        <v>-79989.540000000241</v>
      </c>
      <c r="E232" s="13"/>
      <c r="F232" s="32">
        <f>IF(D$12=0,0,D232/D$12)</f>
        <v>-6.7855386657342101E-2</v>
      </c>
      <c r="G232" s="13"/>
      <c r="H232" s="34">
        <f>SUM(H229:H231)</f>
        <v>-22408.047309773392</v>
      </c>
      <c r="I232" s="13"/>
      <c r="J232" s="32">
        <f>IF(H$12=0,0,H232/H$12)</f>
        <v>-1.1279540176367477E-2</v>
      </c>
      <c r="K232" s="16"/>
      <c r="L232" s="34">
        <f>+D232-H232</f>
        <v>-57581.492690226849</v>
      </c>
      <c r="M232" s="16"/>
      <c r="N232" s="32">
        <f>IF(H232=0,0,L232/H232)</f>
        <v>2.5696791824030276</v>
      </c>
      <c r="O232" s="25"/>
      <c r="P232" s="34">
        <f>SUM(P229:P231)</f>
        <v>-857370.75000000093</v>
      </c>
      <c r="Q232" s="13"/>
      <c r="R232" s="32">
        <f>IF(P$12=0,0,P232/P$12)</f>
        <v>-0.22097042697814082</v>
      </c>
      <c r="S232" s="13"/>
      <c r="T232" s="34">
        <f>SUM(T229:T231)</f>
        <v>-1007100.8088884228</v>
      </c>
      <c r="U232" s="13"/>
      <c r="V232" s="32">
        <f>IF(T$12=0,0,T232/T$12)</f>
        <v>-0.14628724815015598</v>
      </c>
      <c r="W232" s="16"/>
      <c r="X232" s="34">
        <f>+P232-T232</f>
        <v>149730.05888842186</v>
      </c>
      <c r="Y232" s="16"/>
      <c r="Z232" s="32">
        <f>IF(T232=0,0,X232/T232)</f>
        <v>-0.14867435073722648</v>
      </c>
    </row>
    <row r="233" spans="1:26" ht="15" thickTop="1" x14ac:dyDescent="0.35">
      <c r="A233" s="9"/>
      <c r="C233" s="9"/>
      <c r="D233" s="18"/>
      <c r="E233" s="18"/>
      <c r="G233" s="18"/>
      <c r="H233" s="18"/>
      <c r="I233" s="18"/>
      <c r="J233" s="43"/>
      <c r="K233" s="18"/>
      <c r="L233" s="18"/>
      <c r="M233" s="18"/>
      <c r="P233" s="18"/>
      <c r="Q233" s="18"/>
      <c r="R233" s="43"/>
      <c r="S233" s="18"/>
      <c r="T233" s="18"/>
      <c r="U233" s="18"/>
      <c r="V233" s="43"/>
      <c r="W233" s="18"/>
      <c r="X233" s="18"/>
    </row>
    <row r="234" spans="1:26" x14ac:dyDescent="0.35">
      <c r="A234" s="9"/>
      <c r="B234" s="60">
        <v>44238.490048495369</v>
      </c>
      <c r="D234" s="18"/>
      <c r="E234" s="18"/>
      <c r="G234" s="18"/>
      <c r="H234" s="18"/>
      <c r="I234" s="18"/>
      <c r="J234" s="43"/>
      <c r="K234" s="18"/>
      <c r="L234" s="18"/>
      <c r="M234" s="18"/>
      <c r="P234" s="18"/>
      <c r="Q234" s="18"/>
      <c r="R234" s="43"/>
      <c r="S234" s="18"/>
      <c r="T234" s="18"/>
      <c r="U234" s="18"/>
      <c r="V234" s="43"/>
      <c r="W234" s="18"/>
      <c r="X234" s="18"/>
    </row>
    <row r="235" spans="1:26" x14ac:dyDescent="0.35">
      <c r="A235" s="9"/>
      <c r="B235" s="59" t="s">
        <v>314</v>
      </c>
      <c r="D235" s="18"/>
      <c r="E235" s="18"/>
      <c r="G235" s="18"/>
      <c r="H235" s="18"/>
      <c r="I235" s="18"/>
      <c r="J235" s="43"/>
      <c r="K235" s="18"/>
      <c r="L235" s="18"/>
      <c r="M235" s="18"/>
      <c r="P235" s="18"/>
      <c r="Q235" s="18"/>
      <c r="R235" s="43"/>
      <c r="S235" s="18"/>
      <c r="T235" s="18"/>
      <c r="U235" s="18"/>
      <c r="V235" s="43"/>
      <c r="W235" s="18"/>
      <c r="X235" s="18"/>
    </row>
    <row r="236" spans="1:26" x14ac:dyDescent="0.35">
      <c r="A236" s="9"/>
      <c r="B236" s="58"/>
      <c r="D236" s="18"/>
      <c r="E236" s="18"/>
      <c r="G236" s="18"/>
      <c r="H236" s="18"/>
      <c r="I236" s="18"/>
      <c r="J236" s="43"/>
      <c r="K236" s="18"/>
      <c r="L236" s="18"/>
      <c r="M236" s="18"/>
      <c r="P236" s="18"/>
      <c r="Q236" s="18"/>
      <c r="R236" s="43"/>
      <c r="S236" s="18"/>
      <c r="T236" s="18"/>
      <c r="U236" s="18"/>
      <c r="V236" s="43"/>
      <c r="W236" s="18"/>
      <c r="X236" s="18"/>
    </row>
    <row r="237" spans="1:26" x14ac:dyDescent="0.35">
      <c r="D237" s="18"/>
      <c r="E237" s="18"/>
      <c r="G237" s="18"/>
      <c r="H237" s="18"/>
      <c r="I237" s="18"/>
      <c r="J237" s="43"/>
      <c r="K237" s="18"/>
      <c r="L237" s="18"/>
      <c r="M237" s="18"/>
      <c r="P237" s="18"/>
      <c r="Q237" s="18"/>
      <c r="R237" s="43"/>
      <c r="S237" s="18"/>
      <c r="T237" s="18"/>
      <c r="U237" s="18"/>
      <c r="V237" s="43"/>
      <c r="W237" s="18"/>
      <c r="X237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297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3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309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1178823.73</v>
      </c>
      <c r="E12" s="4"/>
      <c r="F12" s="12"/>
      <c r="G12" s="4"/>
      <c r="H12" s="4">
        <f>SUM(OSRRefH13x_0)</f>
        <v>1930372</v>
      </c>
      <c r="I12" s="4"/>
      <c r="J12" s="12"/>
      <c r="K12" s="4"/>
      <c r="L12" s="4">
        <f t="shared" ref="L12:L74" si="0">+D12-H12</f>
        <v>-751548.27</v>
      </c>
      <c r="M12" s="4"/>
      <c r="N12" s="12">
        <f t="shared" ref="N12:N74" si="1">IF(H12=0,0,L12/H12)</f>
        <v>-0.38932820720565781</v>
      </c>
      <c r="O12" s="10"/>
      <c r="P12" s="4">
        <f>SUM(OSRRefP13x_0)</f>
        <v>3877438.3899999997</v>
      </c>
      <c r="Q12" s="4"/>
      <c r="R12" s="12"/>
      <c r="S12" s="4"/>
      <c r="T12" s="4">
        <f>SUM(OSRRefT13x_0)</f>
        <v>6641857</v>
      </c>
      <c r="U12" s="4"/>
      <c r="V12" s="12"/>
      <c r="W12" s="4"/>
      <c r="X12" s="4">
        <f t="shared" ref="X12:X74" si="2">+P12-T12</f>
        <v>-2764418.6100000003</v>
      </c>
      <c r="Y12" s="4"/>
      <c r="Z12" s="12">
        <f t="shared" ref="Z12:Z74" si="3">IF(T12=0,0,X12/T12)</f>
        <v>-0.41621170254041912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>-12178.94</f>
        <v>-12178.94</v>
      </c>
      <c r="E13" s="2"/>
      <c r="F13" s="22"/>
      <c r="G13" s="2"/>
      <c r="H13" s="2">
        <v>1885297</v>
      </c>
      <c r="I13" s="2"/>
      <c r="J13" s="22"/>
      <c r="K13" s="2"/>
      <c r="L13" s="2">
        <f t="shared" si="0"/>
        <v>-1897475.94</v>
      </c>
      <c r="M13" s="2"/>
      <c r="N13" s="22">
        <f t="shared" si="1"/>
        <v>-1.0064599582983476</v>
      </c>
      <c r="O13" s="11"/>
      <c r="P13" s="2">
        <f>-101008.03</f>
        <v>-101008.03</v>
      </c>
      <c r="Q13" s="2"/>
      <c r="R13" s="22"/>
      <c r="S13" s="2"/>
      <c r="T13" s="2">
        <v>6534323</v>
      </c>
      <c r="U13" s="2"/>
      <c r="V13" s="22"/>
      <c r="W13" s="2"/>
      <c r="X13" s="2">
        <f t="shared" si="2"/>
        <v>-6635331.0300000003</v>
      </c>
      <c r="Y13" s="2"/>
      <c r="Z13" s="22">
        <f t="shared" si="3"/>
        <v>-1.0154580711727903</v>
      </c>
    </row>
    <row r="14" spans="1:26" s="24" customFormat="1" hidden="1" outlineLevel="1" x14ac:dyDescent="0.3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--459430.32</f>
        <v>459430.32</v>
      </c>
      <c r="E14" s="2"/>
      <c r="F14" s="22"/>
      <c r="G14" s="2"/>
      <c r="H14" s="2"/>
      <c r="I14" s="2"/>
      <c r="J14" s="22"/>
      <c r="K14" s="2"/>
      <c r="L14" s="2">
        <f t="shared" si="0"/>
        <v>459430.32</v>
      </c>
      <c r="M14" s="2"/>
      <c r="N14" s="22">
        <f t="shared" si="1"/>
        <v>0</v>
      </c>
      <c r="O14" s="11"/>
      <c r="P14" s="2">
        <f>--1190096.34</f>
        <v>1190096.3400000001</v>
      </c>
      <c r="Q14" s="2"/>
      <c r="R14" s="22"/>
      <c r="S14" s="2"/>
      <c r="T14" s="2"/>
      <c r="U14" s="2"/>
      <c r="V14" s="22"/>
      <c r="W14" s="2"/>
      <c r="X14" s="2">
        <f t="shared" si="2"/>
        <v>1190096.3400000001</v>
      </c>
      <c r="Y14" s="2"/>
      <c r="Z14" s="22">
        <f t="shared" si="3"/>
        <v>0</v>
      </c>
    </row>
    <row r="15" spans="1:26" s="24" customFormat="1" hidden="1" outlineLevel="1" x14ac:dyDescent="0.3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--238947.44</f>
        <v>238947.44</v>
      </c>
      <c r="E15" s="2"/>
      <c r="F15" s="22"/>
      <c r="G15" s="2"/>
      <c r="H15" s="2"/>
      <c r="I15" s="2"/>
      <c r="J15" s="22"/>
      <c r="K15" s="2"/>
      <c r="L15" s="2">
        <f t="shared" si="0"/>
        <v>238947.44</v>
      </c>
      <c r="M15" s="2"/>
      <c r="N15" s="22">
        <f t="shared" si="1"/>
        <v>0</v>
      </c>
      <c r="O15" s="11"/>
      <c r="P15" s="2">
        <f>--562401.5</f>
        <v>562401.5</v>
      </c>
      <c r="Q15" s="2"/>
      <c r="R15" s="22"/>
      <c r="S15" s="2"/>
      <c r="T15" s="2"/>
      <c r="U15" s="2"/>
      <c r="V15" s="22"/>
      <c r="W15" s="2"/>
      <c r="X15" s="2">
        <f t="shared" si="2"/>
        <v>562401.5</v>
      </c>
      <c r="Y15" s="2"/>
      <c r="Z15" s="22">
        <f t="shared" si="3"/>
        <v>0</v>
      </c>
    </row>
    <row r="16" spans="1:26" s="24" customFormat="1" hidden="1" outlineLevel="1" x14ac:dyDescent="0.3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--7222.26</f>
        <v>7222.26</v>
      </c>
      <c r="E16" s="2"/>
      <c r="F16" s="22"/>
      <c r="G16" s="2"/>
      <c r="H16" s="2"/>
      <c r="I16" s="2"/>
      <c r="J16" s="22"/>
      <c r="K16" s="2"/>
      <c r="L16" s="2">
        <f t="shared" si="0"/>
        <v>7222.26</v>
      </c>
      <c r="M16" s="2"/>
      <c r="N16" s="22">
        <f t="shared" si="1"/>
        <v>0</v>
      </c>
      <c r="O16" s="11"/>
      <c r="P16" s="2">
        <f>--17887.89</f>
        <v>17887.89</v>
      </c>
      <c r="Q16" s="2"/>
      <c r="R16" s="22"/>
      <c r="S16" s="2"/>
      <c r="T16" s="2"/>
      <c r="U16" s="2"/>
      <c r="V16" s="22"/>
      <c r="W16" s="2"/>
      <c r="X16" s="2">
        <f t="shared" si="2"/>
        <v>17887.89</v>
      </c>
      <c r="Y16" s="2"/>
      <c r="Z16" s="22">
        <f t="shared" si="3"/>
        <v>0</v>
      </c>
    </row>
    <row r="17" spans="1:26" s="24" customFormat="1" hidden="1" outlineLevel="1" x14ac:dyDescent="0.3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--200.1</f>
        <v>200.1</v>
      </c>
      <c r="E17" s="2"/>
      <c r="F17" s="22"/>
      <c r="G17" s="2"/>
      <c r="H17" s="2"/>
      <c r="I17" s="2"/>
      <c r="J17" s="22"/>
      <c r="K17" s="2"/>
      <c r="L17" s="2">
        <f t="shared" si="0"/>
        <v>200.1</v>
      </c>
      <c r="M17" s="2"/>
      <c r="N17" s="22">
        <f t="shared" si="1"/>
        <v>0</v>
      </c>
      <c r="O17" s="11"/>
      <c r="P17" s="2">
        <f>--2659.66</f>
        <v>2659.66</v>
      </c>
      <c r="Q17" s="2"/>
      <c r="R17" s="22"/>
      <c r="S17" s="2"/>
      <c r="T17" s="2"/>
      <c r="U17" s="2"/>
      <c r="V17" s="22"/>
      <c r="W17" s="2"/>
      <c r="X17" s="2">
        <f t="shared" si="2"/>
        <v>2659.66</v>
      </c>
      <c r="Y17" s="2"/>
      <c r="Z17" s="22">
        <f t="shared" si="3"/>
        <v>0</v>
      </c>
    </row>
    <row r="18" spans="1:26" s="24" customFormat="1" hidden="1" outlineLevel="1" x14ac:dyDescent="0.3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--346.55</f>
        <v>346.55</v>
      </c>
      <c r="E18" s="2"/>
      <c r="F18" s="22"/>
      <c r="G18" s="2"/>
      <c r="H18" s="2"/>
      <c r="I18" s="2"/>
      <c r="J18" s="22"/>
      <c r="K18" s="2"/>
      <c r="L18" s="2">
        <f t="shared" si="0"/>
        <v>346.55</v>
      </c>
      <c r="M18" s="2"/>
      <c r="N18" s="22">
        <f t="shared" si="1"/>
        <v>0</v>
      </c>
      <c r="O18" s="11"/>
      <c r="P18" s="2">
        <f>--930.52</f>
        <v>930.52</v>
      </c>
      <c r="Q18" s="2"/>
      <c r="R18" s="22"/>
      <c r="S18" s="2"/>
      <c r="T18" s="2"/>
      <c r="U18" s="2"/>
      <c r="V18" s="22"/>
      <c r="W18" s="2"/>
      <c r="X18" s="2">
        <f t="shared" si="2"/>
        <v>930.52</v>
      </c>
      <c r="Y18" s="2"/>
      <c r="Z18" s="22">
        <f t="shared" si="3"/>
        <v>0</v>
      </c>
    </row>
    <row r="19" spans="1:26" s="24" customFormat="1" hidden="1" outlineLevel="1" x14ac:dyDescent="0.3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--3.98</f>
        <v>3.98</v>
      </c>
      <c r="E19" s="2"/>
      <c r="F19" s="22"/>
      <c r="G19" s="2"/>
      <c r="H19" s="2"/>
      <c r="I19" s="2"/>
      <c r="J19" s="22"/>
      <c r="K19" s="2"/>
      <c r="L19" s="2">
        <f t="shared" si="0"/>
        <v>3.98</v>
      </c>
      <c r="M19" s="2"/>
      <c r="N19" s="22">
        <f t="shared" si="1"/>
        <v>0</v>
      </c>
      <c r="O19" s="11"/>
      <c r="P19" s="2">
        <f>--380.04</f>
        <v>380.04</v>
      </c>
      <c r="Q19" s="2"/>
      <c r="R19" s="22"/>
      <c r="S19" s="2"/>
      <c r="T19" s="2"/>
      <c r="U19" s="2"/>
      <c r="V19" s="22"/>
      <c r="W19" s="2"/>
      <c r="X19" s="2">
        <f t="shared" si="2"/>
        <v>380.04</v>
      </c>
      <c r="Y19" s="2"/>
      <c r="Z19" s="22">
        <f t="shared" si="3"/>
        <v>0</v>
      </c>
    </row>
    <row r="20" spans="1:26" s="24" customFormat="1" hidden="1" outlineLevel="1" x14ac:dyDescent="0.3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--100.3</f>
        <v>100.3</v>
      </c>
      <c r="E20" s="2"/>
      <c r="F20" s="22"/>
      <c r="G20" s="2"/>
      <c r="H20" s="2"/>
      <c r="I20" s="2"/>
      <c r="J20" s="22"/>
      <c r="K20" s="2"/>
      <c r="L20" s="2">
        <f t="shared" si="0"/>
        <v>100.3</v>
      </c>
      <c r="M20" s="2"/>
      <c r="N20" s="22">
        <f t="shared" si="1"/>
        <v>0</v>
      </c>
      <c r="O20" s="11"/>
      <c r="P20" s="2">
        <f>--291.14</f>
        <v>291.14</v>
      </c>
      <c r="Q20" s="2"/>
      <c r="R20" s="22"/>
      <c r="S20" s="2"/>
      <c r="T20" s="2"/>
      <c r="U20" s="2"/>
      <c r="V20" s="22"/>
      <c r="W20" s="2"/>
      <c r="X20" s="2">
        <f t="shared" si="2"/>
        <v>291.14</v>
      </c>
      <c r="Y20" s="2"/>
      <c r="Z20" s="22">
        <f t="shared" si="3"/>
        <v>0</v>
      </c>
    </row>
    <row r="21" spans="1:26" s="24" customFormat="1" hidden="1" outlineLevel="1" x14ac:dyDescent="0.3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--34.62</f>
        <v>34.619999999999997</v>
      </c>
      <c r="E21" s="2"/>
      <c r="F21" s="22"/>
      <c r="G21" s="2"/>
      <c r="H21" s="2"/>
      <c r="I21" s="2"/>
      <c r="J21" s="22"/>
      <c r="K21" s="2"/>
      <c r="L21" s="2">
        <f t="shared" si="0"/>
        <v>34.619999999999997</v>
      </c>
      <c r="M21" s="2"/>
      <c r="N21" s="22">
        <f t="shared" si="1"/>
        <v>0</v>
      </c>
      <c r="O21" s="11"/>
      <c r="P21" s="2">
        <f>--407</f>
        <v>407</v>
      </c>
      <c r="Q21" s="2"/>
      <c r="R21" s="22"/>
      <c r="S21" s="2"/>
      <c r="T21" s="2"/>
      <c r="U21" s="2"/>
      <c r="V21" s="22"/>
      <c r="W21" s="2"/>
      <c r="X21" s="2">
        <f t="shared" si="2"/>
        <v>407</v>
      </c>
      <c r="Y21" s="2"/>
      <c r="Z21" s="22">
        <f t="shared" si="3"/>
        <v>0</v>
      </c>
    </row>
    <row r="22" spans="1:26" s="24" customFormat="1" hidden="1" outlineLevel="1" x14ac:dyDescent="0.3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--8701.79</f>
        <v>8701.7900000000009</v>
      </c>
      <c r="E22" s="2"/>
      <c r="F22" s="22"/>
      <c r="G22" s="2"/>
      <c r="H22" s="2"/>
      <c r="I22" s="2"/>
      <c r="J22" s="22"/>
      <c r="K22" s="2"/>
      <c r="L22" s="2">
        <f t="shared" si="0"/>
        <v>8701.7900000000009</v>
      </c>
      <c r="M22" s="2"/>
      <c r="N22" s="22">
        <f t="shared" si="1"/>
        <v>0</v>
      </c>
      <c r="O22" s="11"/>
      <c r="P22" s="2">
        <f>--48676.22</f>
        <v>48676.22</v>
      </c>
      <c r="Q22" s="2"/>
      <c r="R22" s="22"/>
      <c r="S22" s="2"/>
      <c r="T22" s="2"/>
      <c r="U22" s="2"/>
      <c r="V22" s="22"/>
      <c r="W22" s="2"/>
      <c r="X22" s="2">
        <f t="shared" si="2"/>
        <v>48676.22</v>
      </c>
      <c r="Y22" s="2"/>
      <c r="Z22" s="22">
        <f t="shared" si="3"/>
        <v>0</v>
      </c>
    </row>
    <row r="23" spans="1:26" s="24" customFormat="1" hidden="1" outlineLevel="1" x14ac:dyDescent="0.3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--21773.01</f>
        <v>21773.01</v>
      </c>
      <c r="E23" s="2"/>
      <c r="F23" s="22"/>
      <c r="G23" s="2"/>
      <c r="H23" s="2"/>
      <c r="I23" s="2"/>
      <c r="J23" s="22"/>
      <c r="K23" s="2"/>
      <c r="L23" s="2">
        <f t="shared" si="0"/>
        <v>21773.01</v>
      </c>
      <c r="M23" s="2"/>
      <c r="N23" s="22">
        <f t="shared" si="1"/>
        <v>0</v>
      </c>
      <c r="O23" s="11"/>
      <c r="P23" s="2">
        <f>--38951.82</f>
        <v>38951.82</v>
      </c>
      <c r="Q23" s="2"/>
      <c r="R23" s="22"/>
      <c r="S23" s="2"/>
      <c r="T23" s="2"/>
      <c r="U23" s="2"/>
      <c r="V23" s="22"/>
      <c r="W23" s="2"/>
      <c r="X23" s="2">
        <f t="shared" si="2"/>
        <v>38951.82</v>
      </c>
      <c r="Y23" s="2"/>
      <c r="Z23" s="22">
        <f t="shared" si="3"/>
        <v>0</v>
      </c>
    </row>
    <row r="24" spans="1:26" s="24" customFormat="1" hidden="1" outlineLevel="1" x14ac:dyDescent="0.3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--477.59</f>
        <v>477.59</v>
      </c>
      <c r="E24" s="2"/>
      <c r="F24" s="22"/>
      <c r="G24" s="2"/>
      <c r="H24" s="2"/>
      <c r="I24" s="2"/>
      <c r="J24" s="22"/>
      <c r="K24" s="2"/>
      <c r="L24" s="2">
        <f t="shared" si="0"/>
        <v>477.59</v>
      </c>
      <c r="M24" s="2"/>
      <c r="N24" s="22">
        <f t="shared" si="1"/>
        <v>0</v>
      </c>
      <c r="O24" s="11"/>
      <c r="P24" s="2">
        <f>--2587.24</f>
        <v>2587.2399999999998</v>
      </c>
      <c r="Q24" s="2"/>
      <c r="R24" s="22"/>
      <c r="S24" s="2"/>
      <c r="T24" s="2"/>
      <c r="U24" s="2"/>
      <c r="V24" s="22"/>
      <c r="W24" s="2"/>
      <c r="X24" s="2">
        <f t="shared" si="2"/>
        <v>2587.2399999999998</v>
      </c>
      <c r="Y24" s="2"/>
      <c r="Z24" s="22">
        <f t="shared" si="3"/>
        <v>0</v>
      </c>
    </row>
    <row r="25" spans="1:26" s="24" customFormat="1" hidden="1" outlineLevel="1" x14ac:dyDescent="0.35">
      <c r="A25" s="51"/>
      <c r="B25" s="11" t="str">
        <f>CONCATENATE("          ", "4034", " - ", "TAXABLE SALES-SODA")</f>
        <v xml:space="preserve">          4034 - TAXABLE SALES-SODA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--6.78</f>
        <v>6.78</v>
      </c>
      <c r="Q25" s="2"/>
      <c r="R25" s="22"/>
      <c r="S25" s="2"/>
      <c r="T25" s="2"/>
      <c r="U25" s="2"/>
      <c r="V25" s="22"/>
      <c r="W25" s="2"/>
      <c r="X25" s="2">
        <f t="shared" si="2"/>
        <v>6.78</v>
      </c>
      <c r="Y25" s="2"/>
      <c r="Z25" s="22">
        <f t="shared" si="3"/>
        <v>0</v>
      </c>
    </row>
    <row r="26" spans="1:26" s="24" customFormat="1" hidden="1" outlineLevel="1" x14ac:dyDescent="0.35">
      <c r="A26" s="51"/>
      <c r="B26" s="11" t="str">
        <f>CONCATENATE("          ", "4040", " - ", "TAXABLE SALES-LOGO CLOTHING")</f>
        <v xml:space="preserve">          4040 - TAXABLE SALES-LOGO CLOTHING</v>
      </c>
      <c r="C26" s="11"/>
      <c r="D26" s="2">
        <f>--89991.91</f>
        <v>89991.91</v>
      </c>
      <c r="E26" s="2"/>
      <c r="F26" s="22"/>
      <c r="G26" s="2"/>
      <c r="H26" s="2"/>
      <c r="I26" s="2"/>
      <c r="J26" s="22"/>
      <c r="K26" s="2"/>
      <c r="L26" s="2">
        <f t="shared" si="0"/>
        <v>89991.91</v>
      </c>
      <c r="M26" s="2"/>
      <c r="N26" s="22">
        <f t="shared" si="1"/>
        <v>0</v>
      </c>
      <c r="O26" s="11"/>
      <c r="P26" s="2">
        <f>--598102.9</f>
        <v>598102.9</v>
      </c>
      <c r="Q26" s="2"/>
      <c r="R26" s="22"/>
      <c r="S26" s="2"/>
      <c r="T26" s="2"/>
      <c r="U26" s="2"/>
      <c r="V26" s="22"/>
      <c r="W26" s="2"/>
      <c r="X26" s="2">
        <f t="shared" si="2"/>
        <v>598102.9</v>
      </c>
      <c r="Y26" s="2"/>
      <c r="Z26" s="22">
        <f t="shared" si="3"/>
        <v>0</v>
      </c>
    </row>
    <row r="27" spans="1:26" s="24" customFormat="1" hidden="1" outlineLevel="1" x14ac:dyDescent="0.35">
      <c r="A27" s="51"/>
      <c r="B27" s="11" t="str">
        <f>CONCATENATE("          ", "4041", " - ", "TAXABLE SALES-LOGO GIFTS")</f>
        <v xml:space="preserve">          4041 - TAXABLE SALES-LOGO GIFTS</v>
      </c>
      <c r="C27" s="11"/>
      <c r="D27" s="2">
        <f>--51480.95</f>
        <v>51480.95</v>
      </c>
      <c r="E27" s="2"/>
      <c r="F27" s="22"/>
      <c r="G27" s="2"/>
      <c r="H27" s="2"/>
      <c r="I27" s="2"/>
      <c r="J27" s="22"/>
      <c r="K27" s="2"/>
      <c r="L27" s="2">
        <f t="shared" si="0"/>
        <v>51480.95</v>
      </c>
      <c r="M27" s="2"/>
      <c r="N27" s="22">
        <f t="shared" si="1"/>
        <v>0</v>
      </c>
      <c r="O27" s="11"/>
      <c r="P27" s="2">
        <f>--249099.27</f>
        <v>249099.27</v>
      </c>
      <c r="Q27" s="2"/>
      <c r="R27" s="22"/>
      <c r="S27" s="2"/>
      <c r="T27" s="2"/>
      <c r="U27" s="2"/>
      <c r="V27" s="22"/>
      <c r="W27" s="2"/>
      <c r="X27" s="2">
        <f t="shared" si="2"/>
        <v>249099.27</v>
      </c>
      <c r="Y27" s="2"/>
      <c r="Z27" s="22">
        <f t="shared" si="3"/>
        <v>0</v>
      </c>
    </row>
    <row r="28" spans="1:26" s="24" customFormat="1" hidden="1" outlineLevel="1" x14ac:dyDescent="0.35">
      <c r="A28" s="51"/>
      <c r="B28" s="11" t="str">
        <f>CONCATENATE("          ", "4042", " - ", "TAXABLE SALES-EVERYDAY GIFTS")</f>
        <v xml:space="preserve">          4042 - TAXABLE SALES-EVERYDAY GIFTS</v>
      </c>
      <c r="C28" s="11"/>
      <c r="D28" s="2">
        <f>--9303.18</f>
        <v>9303.18</v>
      </c>
      <c r="E28" s="2"/>
      <c r="F28" s="22"/>
      <c r="G28" s="2"/>
      <c r="H28" s="2"/>
      <c r="I28" s="2"/>
      <c r="J28" s="22"/>
      <c r="K28" s="2"/>
      <c r="L28" s="2">
        <f t="shared" si="0"/>
        <v>9303.18</v>
      </c>
      <c r="M28" s="2"/>
      <c r="N28" s="22">
        <f t="shared" si="1"/>
        <v>0</v>
      </c>
      <c r="O28" s="11"/>
      <c r="P28" s="2">
        <f>--74200.88</f>
        <v>74200.88</v>
      </c>
      <c r="Q28" s="2"/>
      <c r="R28" s="22"/>
      <c r="S28" s="2"/>
      <c r="T28" s="2"/>
      <c r="U28" s="2"/>
      <c r="V28" s="22"/>
      <c r="W28" s="2"/>
      <c r="X28" s="2">
        <f t="shared" si="2"/>
        <v>74200.88</v>
      </c>
      <c r="Y28" s="2"/>
      <c r="Z28" s="22">
        <f t="shared" si="3"/>
        <v>0</v>
      </c>
    </row>
    <row r="29" spans="1:26" s="24" customFormat="1" hidden="1" outlineLevel="1" x14ac:dyDescent="0.35">
      <c r="A29" s="51"/>
      <c r="B29" s="11" t="str">
        <f>CONCATENATE("          ", "4043", " - ", "TAXABLE SALES-CARDS")</f>
        <v xml:space="preserve">          4043 - TAXABLE SALES-CARDS</v>
      </c>
      <c r="C29" s="11"/>
      <c r="D29" s="2">
        <f>--24845.66</f>
        <v>24845.66</v>
      </c>
      <c r="E29" s="2"/>
      <c r="F29" s="22"/>
      <c r="G29" s="2"/>
      <c r="H29" s="2"/>
      <c r="I29" s="2"/>
      <c r="J29" s="22"/>
      <c r="K29" s="2"/>
      <c r="L29" s="2">
        <f t="shared" si="0"/>
        <v>24845.66</v>
      </c>
      <c r="M29" s="2"/>
      <c r="N29" s="22">
        <f t="shared" si="1"/>
        <v>0</v>
      </c>
      <c r="O29" s="11"/>
      <c r="P29" s="2">
        <f>--117954.81</f>
        <v>117954.81</v>
      </c>
      <c r="Q29" s="2"/>
      <c r="R29" s="22"/>
      <c r="S29" s="2"/>
      <c r="T29" s="2"/>
      <c r="U29" s="2"/>
      <c r="V29" s="22"/>
      <c r="W29" s="2"/>
      <c r="X29" s="2">
        <f t="shared" si="2"/>
        <v>117954.81</v>
      </c>
      <c r="Y29" s="2"/>
      <c r="Z29" s="22">
        <f t="shared" si="3"/>
        <v>0</v>
      </c>
    </row>
    <row r="30" spans="1:26" s="24" customFormat="1" hidden="1" outlineLevel="1" x14ac:dyDescent="0.35">
      <c r="A30" s="51"/>
      <c r="B30" s="11" t="str">
        <f>CONCATENATE("          ", "4044", " - ", "TAXABLE SALES-ACCESSORIES")</f>
        <v xml:space="preserve">          4044 - TAXABLE SALES-ACCESSORIES</v>
      </c>
      <c r="C30" s="11"/>
      <c r="D30" s="2">
        <f>--1261.95</f>
        <v>1261.95</v>
      </c>
      <c r="E30" s="2"/>
      <c r="F30" s="22"/>
      <c r="G30" s="2"/>
      <c r="H30" s="2"/>
      <c r="I30" s="2"/>
      <c r="J30" s="22"/>
      <c r="K30" s="2"/>
      <c r="L30" s="2">
        <f t="shared" si="0"/>
        <v>1261.95</v>
      </c>
      <c r="M30" s="2"/>
      <c r="N30" s="22">
        <f t="shared" si="1"/>
        <v>0</v>
      </c>
      <c r="O30" s="11"/>
      <c r="P30" s="2">
        <f>--27535.62</f>
        <v>27535.62</v>
      </c>
      <c r="Q30" s="2"/>
      <c r="R30" s="22"/>
      <c r="S30" s="2"/>
      <c r="T30" s="2"/>
      <c r="U30" s="2"/>
      <c r="V30" s="22"/>
      <c r="W30" s="2"/>
      <c r="X30" s="2">
        <f t="shared" si="2"/>
        <v>27535.62</v>
      </c>
      <c r="Y30" s="2"/>
      <c r="Z30" s="22">
        <f t="shared" si="3"/>
        <v>0</v>
      </c>
    </row>
    <row r="31" spans="1:26" s="24" customFormat="1" hidden="1" outlineLevel="1" x14ac:dyDescent="0.35">
      <c r="A31" s="51"/>
      <c r="B31" s="11" t="str">
        <f>CONCATENATE("          ", "4045", " - ", "TAXABLE SALES-SPECIAL ORDERS")</f>
        <v xml:space="preserve">          4045 - TAXABLE SALES-SPECIAL ORDERS</v>
      </c>
      <c r="C31" s="11"/>
      <c r="D31" s="2">
        <f>--3388.52</f>
        <v>3388.52</v>
      </c>
      <c r="E31" s="2"/>
      <c r="F31" s="22"/>
      <c r="G31" s="2"/>
      <c r="H31" s="2"/>
      <c r="I31" s="2"/>
      <c r="J31" s="22"/>
      <c r="K31" s="2"/>
      <c r="L31" s="2">
        <f t="shared" si="0"/>
        <v>3388.52</v>
      </c>
      <c r="M31" s="2"/>
      <c r="N31" s="22">
        <f t="shared" si="1"/>
        <v>0</v>
      </c>
      <c r="O31" s="11"/>
      <c r="P31" s="2">
        <f>--125449.67</f>
        <v>125449.67</v>
      </c>
      <c r="Q31" s="2"/>
      <c r="R31" s="22"/>
      <c r="S31" s="2"/>
      <c r="T31" s="2"/>
      <c r="U31" s="2"/>
      <c r="V31" s="22"/>
      <c r="W31" s="2"/>
      <c r="X31" s="2">
        <f t="shared" si="2"/>
        <v>125449.67</v>
      </c>
      <c r="Y31" s="2"/>
      <c r="Z31" s="22">
        <f t="shared" si="3"/>
        <v>0</v>
      </c>
    </row>
    <row r="32" spans="1:26" s="24" customFormat="1" hidden="1" outlineLevel="1" x14ac:dyDescent="0.35">
      <c r="A32" s="51"/>
      <c r="B32" s="11" t="str">
        <f>CONCATENATE("          ", "4081", " - ", "TAXABLE SALES-ELECTRONICS")</f>
        <v xml:space="preserve">          4081 - TAXABLE SALES-ELECTRONICS</v>
      </c>
      <c r="C32" s="11"/>
      <c r="D32" s="2">
        <f t="shared" ref="D32:D33" si="4">0</f>
        <v>0</v>
      </c>
      <c r="E32" s="2"/>
      <c r="F32" s="22"/>
      <c r="G32" s="2"/>
      <c r="H32" s="2"/>
      <c r="I32" s="2"/>
      <c r="J32" s="22"/>
      <c r="K32" s="2"/>
      <c r="L32" s="2">
        <f t="shared" si="0"/>
        <v>0</v>
      </c>
      <c r="M32" s="2"/>
      <c r="N32" s="22">
        <f t="shared" si="1"/>
        <v>0</v>
      </c>
      <c r="O32" s="11"/>
      <c r="P32" s="2">
        <f>--71.95</f>
        <v>71.95</v>
      </c>
      <c r="Q32" s="2"/>
      <c r="R32" s="22"/>
      <c r="S32" s="2"/>
      <c r="T32" s="2"/>
      <c r="U32" s="2"/>
      <c r="V32" s="22"/>
      <c r="W32" s="2"/>
      <c r="X32" s="2">
        <f t="shared" si="2"/>
        <v>71.95</v>
      </c>
      <c r="Y32" s="2"/>
      <c r="Z32" s="22">
        <f t="shared" si="3"/>
        <v>0</v>
      </c>
    </row>
    <row r="33" spans="1:26" s="24" customFormat="1" hidden="1" outlineLevel="1" x14ac:dyDescent="0.35">
      <c r="A33" s="51"/>
      <c r="B33" s="11" t="str">
        <f>CONCATENATE("          ", "4083", " - ", "TAXABLE SALES-COMPUTER EQUIPME")</f>
        <v xml:space="preserve">          4083 - TAXABLE SALES-COMPUTER EQUIPME</v>
      </c>
      <c r="C33" s="11"/>
      <c r="D33" s="2">
        <f t="shared" si="4"/>
        <v>0</v>
      </c>
      <c r="E33" s="2"/>
      <c r="F33" s="22"/>
      <c r="G33" s="2"/>
      <c r="H33" s="2"/>
      <c r="I33" s="2"/>
      <c r="J33" s="22"/>
      <c r="K33" s="2"/>
      <c r="L33" s="2">
        <f t="shared" si="0"/>
        <v>0</v>
      </c>
      <c r="M33" s="2"/>
      <c r="N33" s="22">
        <f t="shared" si="1"/>
        <v>0</v>
      </c>
      <c r="O33" s="11"/>
      <c r="P33" s="2">
        <f>--9.99</f>
        <v>9.99</v>
      </c>
      <c r="Q33" s="2"/>
      <c r="R33" s="22"/>
      <c r="S33" s="2"/>
      <c r="T33" s="2"/>
      <c r="U33" s="2"/>
      <c r="V33" s="22"/>
      <c r="W33" s="2"/>
      <c r="X33" s="2">
        <f t="shared" si="2"/>
        <v>9.99</v>
      </c>
      <c r="Y33" s="2"/>
      <c r="Z33" s="22">
        <f t="shared" si="3"/>
        <v>0</v>
      </c>
    </row>
    <row r="34" spans="1:26" s="24" customFormat="1" hidden="1" outlineLevel="1" x14ac:dyDescent="0.35">
      <c r="A34" s="51"/>
      <c r="B34" s="11" t="str">
        <f>CONCATENATE("          ", "4100", " - ", "NON-TAXABLE SALES")</f>
        <v xml:space="preserve">          4100 - NON-TAXABLE SALES</v>
      </c>
      <c r="C34" s="11"/>
      <c r="D34" s="2">
        <f>--112968.19</f>
        <v>112968.19</v>
      </c>
      <c r="E34" s="2"/>
      <c r="F34" s="22"/>
      <c r="G34" s="2"/>
      <c r="H34" s="2">
        <v>45075</v>
      </c>
      <c r="I34" s="2"/>
      <c r="J34" s="22"/>
      <c r="K34" s="2"/>
      <c r="L34" s="2">
        <f t="shared" si="0"/>
        <v>67893.19</v>
      </c>
      <c r="M34" s="2"/>
      <c r="N34" s="22">
        <f t="shared" si="1"/>
        <v>1.5062271769273434</v>
      </c>
      <c r="O34" s="11"/>
      <c r="P34" s="2">
        <f>--278555.86</f>
        <v>278555.86</v>
      </c>
      <c r="Q34" s="2"/>
      <c r="R34" s="22"/>
      <c r="S34" s="2"/>
      <c r="T34" s="2">
        <v>107534</v>
      </c>
      <c r="U34" s="2"/>
      <c r="V34" s="22"/>
      <c r="W34" s="2"/>
      <c r="X34" s="2">
        <f t="shared" si="2"/>
        <v>171021.86</v>
      </c>
      <c r="Y34" s="2"/>
      <c r="Z34" s="22">
        <f t="shared" si="3"/>
        <v>1.5903980136514961</v>
      </c>
    </row>
    <row r="35" spans="1:26" s="24" customFormat="1" hidden="1" outlineLevel="1" x14ac:dyDescent="0.35">
      <c r="A35" s="51"/>
      <c r="B35" s="11" t="str">
        <f>CONCATENATE("          ", "4101", " - ", "NON-TAXABLE SALES-NEW TEXT")</f>
        <v xml:space="preserve">          4101 - NON-TAXABLE SALES-NEW TEXT</v>
      </c>
      <c r="C35" s="11"/>
      <c r="D35" s="2">
        <f>--22084.7</f>
        <v>22084.7</v>
      </c>
      <c r="E35" s="2"/>
      <c r="F35" s="22"/>
      <c r="G35" s="2"/>
      <c r="H35" s="2"/>
      <c r="I35" s="2"/>
      <c r="J35" s="22"/>
      <c r="K35" s="2"/>
      <c r="L35" s="2">
        <f t="shared" si="0"/>
        <v>22084.7</v>
      </c>
      <c r="M35" s="2"/>
      <c r="N35" s="22">
        <f t="shared" si="1"/>
        <v>0</v>
      </c>
      <c r="O35" s="11"/>
      <c r="P35" s="2">
        <f>--104225.63</f>
        <v>104225.63</v>
      </c>
      <c r="Q35" s="2"/>
      <c r="R35" s="22"/>
      <c r="S35" s="2"/>
      <c r="T35" s="2"/>
      <c r="U35" s="2"/>
      <c r="V35" s="22"/>
      <c r="W35" s="2"/>
      <c r="X35" s="2">
        <f t="shared" si="2"/>
        <v>104225.63</v>
      </c>
      <c r="Y35" s="2"/>
      <c r="Z35" s="22">
        <f t="shared" si="3"/>
        <v>0</v>
      </c>
    </row>
    <row r="36" spans="1:26" s="24" customFormat="1" hidden="1" outlineLevel="1" x14ac:dyDescent="0.35">
      <c r="A36" s="51"/>
      <c r="B36" s="11" t="str">
        <f>CONCATENATE("          ", "4102", " - ", "NON-TAXABLE SALES-USED TEXT")</f>
        <v xml:space="preserve">          4102 - NON-TAXABLE SALES-USED TEXT</v>
      </c>
      <c r="C36" s="11"/>
      <c r="D36" s="2">
        <f>--9330.01</f>
        <v>9330.01</v>
      </c>
      <c r="E36" s="2"/>
      <c r="F36" s="22"/>
      <c r="G36" s="2"/>
      <c r="H36" s="2"/>
      <c r="I36" s="2"/>
      <c r="J36" s="22"/>
      <c r="K36" s="2"/>
      <c r="L36" s="2">
        <f t="shared" si="0"/>
        <v>9330.01</v>
      </c>
      <c r="M36" s="2"/>
      <c r="N36" s="22">
        <f t="shared" si="1"/>
        <v>0</v>
      </c>
      <c r="O36" s="11"/>
      <c r="P36" s="2">
        <f>--42961.32</f>
        <v>42961.32</v>
      </c>
      <c r="Q36" s="2"/>
      <c r="R36" s="22"/>
      <c r="S36" s="2"/>
      <c r="T36" s="2"/>
      <c r="U36" s="2"/>
      <c r="V36" s="22"/>
      <c r="W36" s="2"/>
      <c r="X36" s="2">
        <f t="shared" si="2"/>
        <v>42961.32</v>
      </c>
      <c r="Y36" s="2"/>
      <c r="Z36" s="22">
        <f t="shared" si="3"/>
        <v>0</v>
      </c>
    </row>
    <row r="37" spans="1:26" s="24" customFormat="1" hidden="1" outlineLevel="1" x14ac:dyDescent="0.35">
      <c r="A37" s="51"/>
      <c r="B37" s="11" t="str">
        <f>CONCATENATE("          ", "4103", " - ", "NON-TAXABLE SALES-RENTAL TEXT")</f>
        <v xml:space="preserve">          4103 - NON-TAXABLE SALES-RENTAL TEXT</v>
      </c>
      <c r="C37" s="11"/>
      <c r="D37" s="2">
        <f>--853.98</f>
        <v>853.98</v>
      </c>
      <c r="E37" s="2"/>
      <c r="F37" s="22"/>
      <c r="G37" s="2"/>
      <c r="H37" s="2"/>
      <c r="I37" s="2"/>
      <c r="J37" s="22"/>
      <c r="K37" s="2"/>
      <c r="L37" s="2">
        <f t="shared" si="0"/>
        <v>853.98</v>
      </c>
      <c r="M37" s="2"/>
      <c r="N37" s="22">
        <f t="shared" si="1"/>
        <v>0</v>
      </c>
      <c r="O37" s="11"/>
      <c r="P37" s="2">
        <f>--1138.95</f>
        <v>1138.95</v>
      </c>
      <c r="Q37" s="2"/>
      <c r="R37" s="22"/>
      <c r="S37" s="2"/>
      <c r="T37" s="2"/>
      <c r="U37" s="2"/>
      <c r="V37" s="22"/>
      <c r="W37" s="2"/>
      <c r="X37" s="2">
        <f t="shared" si="2"/>
        <v>1138.95</v>
      </c>
      <c r="Y37" s="2"/>
      <c r="Z37" s="22">
        <f t="shared" si="3"/>
        <v>0</v>
      </c>
    </row>
    <row r="38" spans="1:26" s="24" customFormat="1" hidden="1" outlineLevel="1" x14ac:dyDescent="0.35">
      <c r="A38" s="51"/>
      <c r="B38" s="11" t="str">
        <f>CONCATENATE("          ", "4104", " - ", "NON-TAXABLE SALES-DIGITAL TEXT")</f>
        <v xml:space="preserve">          4104 - NON-TAXABLE SALES-DIGITAL TEXT</v>
      </c>
      <c r="C38" s="11"/>
      <c r="D38" s="2">
        <f>--161977.12</f>
        <v>161977.12</v>
      </c>
      <c r="E38" s="2"/>
      <c r="F38" s="22"/>
      <c r="G38" s="2"/>
      <c r="H38" s="2"/>
      <c r="I38" s="2"/>
      <c r="J38" s="22"/>
      <c r="K38" s="2"/>
      <c r="L38" s="2">
        <f t="shared" si="0"/>
        <v>161977.12</v>
      </c>
      <c r="M38" s="2"/>
      <c r="N38" s="22">
        <f t="shared" si="1"/>
        <v>0</v>
      </c>
      <c r="O38" s="11"/>
      <c r="P38" s="2">
        <f>--458168.13</f>
        <v>458168.13</v>
      </c>
      <c r="Q38" s="2"/>
      <c r="R38" s="22"/>
      <c r="S38" s="2"/>
      <c r="T38" s="2"/>
      <c r="U38" s="2"/>
      <c r="V38" s="22"/>
      <c r="W38" s="2"/>
      <c r="X38" s="2">
        <f t="shared" si="2"/>
        <v>458168.13</v>
      </c>
      <c r="Y38" s="2"/>
      <c r="Z38" s="22">
        <f t="shared" si="3"/>
        <v>0</v>
      </c>
    </row>
    <row r="39" spans="1:26" s="24" customFormat="1" hidden="1" outlineLevel="1" x14ac:dyDescent="0.35">
      <c r="A39" s="51"/>
      <c r="B39" s="11" t="str">
        <f>CONCATENATE("          ", "4113", " - ", "NON-TAXABLE SALES-TRADE BOOKS")</f>
        <v xml:space="preserve">          4113 - NON-TAXABLE SALES-TRADE BOOKS</v>
      </c>
      <c r="C39" s="11"/>
      <c r="D39" s="2">
        <f>--4661.75</f>
        <v>4661.75</v>
      </c>
      <c r="E39" s="2"/>
      <c r="F39" s="22"/>
      <c r="G39" s="2"/>
      <c r="H39" s="2"/>
      <c r="I39" s="2"/>
      <c r="J39" s="22"/>
      <c r="K39" s="2"/>
      <c r="L39" s="2">
        <f t="shared" si="0"/>
        <v>4661.75</v>
      </c>
      <c r="M39" s="2"/>
      <c r="N39" s="22">
        <f t="shared" si="1"/>
        <v>0</v>
      </c>
      <c r="O39" s="11"/>
      <c r="P39" s="2">
        <f>--6989.25</f>
        <v>6989.25</v>
      </c>
      <c r="Q39" s="2"/>
      <c r="R39" s="22"/>
      <c r="S39" s="2"/>
      <c r="T39" s="2"/>
      <c r="U39" s="2"/>
      <c r="V39" s="22"/>
      <c r="W39" s="2"/>
      <c r="X39" s="2">
        <f t="shared" si="2"/>
        <v>6989.25</v>
      </c>
      <c r="Y39" s="2"/>
      <c r="Z39" s="22">
        <f t="shared" si="3"/>
        <v>0</v>
      </c>
    </row>
    <row r="40" spans="1:26" s="24" customFormat="1" hidden="1" outlineLevel="1" x14ac:dyDescent="0.35">
      <c r="A40" s="51"/>
      <c r="B40" s="11" t="str">
        <f>CONCATENATE("          ", "4118", " - ", "NON-TAXABLE SALES-STUDY GUIDES")</f>
        <v xml:space="preserve">          4118 - NON-TAXABLE SALES-STUDY GUIDES</v>
      </c>
      <c r="C40" s="11"/>
      <c r="D40" s="2">
        <f>--538.3</f>
        <v>538.29999999999995</v>
      </c>
      <c r="E40" s="2"/>
      <c r="F40" s="22"/>
      <c r="G40" s="2"/>
      <c r="H40" s="2"/>
      <c r="I40" s="2"/>
      <c r="J40" s="22"/>
      <c r="K40" s="2"/>
      <c r="L40" s="2">
        <f t="shared" si="0"/>
        <v>538.29999999999995</v>
      </c>
      <c r="M40" s="2"/>
      <c r="N40" s="22">
        <f t="shared" si="1"/>
        <v>0</v>
      </c>
      <c r="O40" s="11"/>
      <c r="P40" s="2">
        <f>--771.73</f>
        <v>771.73</v>
      </c>
      <c r="Q40" s="2"/>
      <c r="R40" s="22"/>
      <c r="S40" s="2"/>
      <c r="T40" s="2"/>
      <c r="U40" s="2"/>
      <c r="V40" s="22"/>
      <c r="W40" s="2"/>
      <c r="X40" s="2">
        <f t="shared" si="2"/>
        <v>771.73</v>
      </c>
      <c r="Y40" s="2"/>
      <c r="Z40" s="22">
        <f t="shared" si="3"/>
        <v>0</v>
      </c>
    </row>
    <row r="41" spans="1:26" s="24" customFormat="1" hidden="1" outlineLevel="1" x14ac:dyDescent="0.35">
      <c r="A41" s="51"/>
      <c r="B41" s="11" t="str">
        <f>CONCATENATE("          ", "4126", " - ", "NON-TAXABLE SALES-WRITING INST")</f>
        <v xml:space="preserve">          4126 - NON-TAXABLE SALES-WRITING INST</v>
      </c>
      <c r="C41" s="11"/>
      <c r="D41" s="2">
        <f>0</f>
        <v>0</v>
      </c>
      <c r="E41" s="2"/>
      <c r="F41" s="22"/>
      <c r="G41" s="2"/>
      <c r="H41" s="2"/>
      <c r="I41" s="2"/>
      <c r="J41" s="22"/>
      <c r="K41" s="2"/>
      <c r="L41" s="2">
        <f t="shared" si="0"/>
        <v>0</v>
      </c>
      <c r="M41" s="2"/>
      <c r="N41" s="22">
        <f t="shared" si="1"/>
        <v>0</v>
      </c>
      <c r="O41" s="11"/>
      <c r="P41" s="2">
        <f>--52.68</f>
        <v>52.68</v>
      </c>
      <c r="Q41" s="2"/>
      <c r="R41" s="22"/>
      <c r="S41" s="2"/>
      <c r="T41" s="2"/>
      <c r="U41" s="2"/>
      <c r="V41" s="22"/>
      <c r="W41" s="2"/>
      <c r="X41" s="2">
        <f t="shared" si="2"/>
        <v>52.68</v>
      </c>
      <c r="Y41" s="2"/>
      <c r="Z41" s="22">
        <f t="shared" si="3"/>
        <v>0</v>
      </c>
    </row>
    <row r="42" spans="1:26" s="24" customFormat="1" hidden="1" outlineLevel="1" x14ac:dyDescent="0.35">
      <c r="A42" s="51"/>
      <c r="B42" s="11" t="str">
        <f>CONCATENATE("          ", "4127", " - ", "NON-TAXABLE SALES-SCHOOL SUPPL")</f>
        <v xml:space="preserve">          4127 - NON-TAXABLE SALES-SCHOOL SUPPL</v>
      </c>
      <c r="C42" s="11"/>
      <c r="D42" s="2">
        <f>--2539.06</f>
        <v>2539.06</v>
      </c>
      <c r="E42" s="2"/>
      <c r="F42" s="22"/>
      <c r="G42" s="2"/>
      <c r="H42" s="2"/>
      <c r="I42" s="2"/>
      <c r="J42" s="22"/>
      <c r="K42" s="2"/>
      <c r="L42" s="2">
        <f t="shared" si="0"/>
        <v>2539.06</v>
      </c>
      <c r="M42" s="2"/>
      <c r="N42" s="22">
        <f t="shared" si="1"/>
        <v>0</v>
      </c>
      <c r="O42" s="11"/>
      <c r="P42" s="2">
        <f>--5745.17</f>
        <v>5745.17</v>
      </c>
      <c r="Q42" s="2"/>
      <c r="R42" s="22"/>
      <c r="S42" s="2"/>
      <c r="T42" s="2"/>
      <c r="U42" s="2"/>
      <c r="V42" s="22"/>
      <c r="W42" s="2"/>
      <c r="X42" s="2">
        <f t="shared" si="2"/>
        <v>5745.17</v>
      </c>
      <c r="Y42" s="2"/>
      <c r="Z42" s="22">
        <f t="shared" si="3"/>
        <v>0</v>
      </c>
    </row>
    <row r="43" spans="1:26" s="24" customFormat="1" hidden="1" outlineLevel="1" x14ac:dyDescent="0.35">
      <c r="A43" s="51"/>
      <c r="B43" s="11" t="str">
        <f>CONCATENATE("          ", "4128", " - ", "NON-TAXABLE SALES-ART/TECH")</f>
        <v xml:space="preserve">          4128 - NON-TAXABLE SALES-ART/TECH</v>
      </c>
      <c r="C43" s="11"/>
      <c r="D43" s="2">
        <f>--4.72</f>
        <v>4.72</v>
      </c>
      <c r="E43" s="2"/>
      <c r="F43" s="22"/>
      <c r="G43" s="2"/>
      <c r="H43" s="2"/>
      <c r="I43" s="2"/>
      <c r="J43" s="22"/>
      <c r="K43" s="2"/>
      <c r="L43" s="2">
        <f t="shared" si="0"/>
        <v>4.72</v>
      </c>
      <c r="M43" s="2"/>
      <c r="N43" s="22">
        <f t="shared" si="1"/>
        <v>0</v>
      </c>
      <c r="O43" s="11"/>
      <c r="P43" s="2">
        <f>--29.5</f>
        <v>29.5</v>
      </c>
      <c r="Q43" s="2"/>
      <c r="R43" s="22"/>
      <c r="S43" s="2"/>
      <c r="T43" s="2"/>
      <c r="U43" s="2"/>
      <c r="V43" s="22"/>
      <c r="W43" s="2"/>
      <c r="X43" s="2">
        <f t="shared" si="2"/>
        <v>29.5</v>
      </c>
      <c r="Y43" s="2"/>
      <c r="Z43" s="22">
        <f t="shared" si="3"/>
        <v>0</v>
      </c>
    </row>
    <row r="44" spans="1:26" s="24" customFormat="1" hidden="1" outlineLevel="1" x14ac:dyDescent="0.35">
      <c r="A44" s="51"/>
      <c r="B44" s="11" t="str">
        <f>CONCATENATE("          ", "4131", " - ", "NON-TAXABLE SALES-FOOD")</f>
        <v xml:space="preserve">          4131 - NON-TAXABLE SALES-FOOD</v>
      </c>
      <c r="C44" s="11"/>
      <c r="D44" s="2">
        <f>--1098.12</f>
        <v>1098.1199999999999</v>
      </c>
      <c r="E44" s="2"/>
      <c r="F44" s="22"/>
      <c r="G44" s="2"/>
      <c r="H44" s="2"/>
      <c r="I44" s="2"/>
      <c r="J44" s="22"/>
      <c r="K44" s="2"/>
      <c r="L44" s="2">
        <f t="shared" si="0"/>
        <v>1098.1199999999999</v>
      </c>
      <c r="M44" s="2"/>
      <c r="N44" s="22">
        <f t="shared" si="1"/>
        <v>0</v>
      </c>
      <c r="O44" s="11"/>
      <c r="P44" s="2">
        <f>--8640.27</f>
        <v>8640.27</v>
      </c>
      <c r="Q44" s="2"/>
      <c r="R44" s="22"/>
      <c r="S44" s="2"/>
      <c r="T44" s="2"/>
      <c r="U44" s="2"/>
      <c r="V44" s="22"/>
      <c r="W44" s="2"/>
      <c r="X44" s="2">
        <f t="shared" si="2"/>
        <v>8640.27</v>
      </c>
      <c r="Y44" s="2"/>
      <c r="Z44" s="22">
        <f t="shared" si="3"/>
        <v>0</v>
      </c>
    </row>
    <row r="45" spans="1:26" s="24" customFormat="1" hidden="1" outlineLevel="1" x14ac:dyDescent="0.35">
      <c r="A45" s="51"/>
      <c r="B45" s="11" t="str">
        <f>CONCATENATE("          ", "4132", " - ", "NON-TAXABLE SALES-JUICE")</f>
        <v xml:space="preserve">          4132 - NON-TAXABLE SALES-JUICE</v>
      </c>
      <c r="C45" s="11"/>
      <c r="D45" s="2">
        <f t="shared" ref="D45:D48" si="5">0</f>
        <v>0</v>
      </c>
      <c r="E45" s="2"/>
      <c r="F45" s="22"/>
      <c r="G45" s="2"/>
      <c r="H45" s="2"/>
      <c r="I45" s="2"/>
      <c r="J45" s="22"/>
      <c r="K45" s="2"/>
      <c r="L45" s="2">
        <f t="shared" si="0"/>
        <v>0</v>
      </c>
      <c r="M45" s="2"/>
      <c r="N45" s="22">
        <f t="shared" si="1"/>
        <v>0</v>
      </c>
      <c r="O45" s="11"/>
      <c r="P45" s="2">
        <f>--22.49</f>
        <v>22.49</v>
      </c>
      <c r="Q45" s="2"/>
      <c r="R45" s="22"/>
      <c r="S45" s="2"/>
      <c r="T45" s="2"/>
      <c r="U45" s="2"/>
      <c r="V45" s="22"/>
      <c r="W45" s="2"/>
      <c r="X45" s="2">
        <f t="shared" si="2"/>
        <v>22.49</v>
      </c>
      <c r="Y45" s="2"/>
      <c r="Z45" s="22">
        <f t="shared" si="3"/>
        <v>0</v>
      </c>
    </row>
    <row r="46" spans="1:26" s="24" customFormat="1" hidden="1" outlineLevel="1" x14ac:dyDescent="0.35">
      <c r="A46" s="51"/>
      <c r="B46" s="11" t="str">
        <f>CONCATENATE("          ", "4133", " - ", "NON-TAXABLE SALES-CANDY")</f>
        <v xml:space="preserve">          4133 - NON-TAXABLE SALES-CANDY</v>
      </c>
      <c r="C46" s="11"/>
      <c r="D46" s="2">
        <f t="shared" si="5"/>
        <v>0</v>
      </c>
      <c r="E46" s="2"/>
      <c r="F46" s="22"/>
      <c r="G46" s="2"/>
      <c r="H46" s="2"/>
      <c r="I46" s="2"/>
      <c r="J46" s="22"/>
      <c r="K46" s="2"/>
      <c r="L46" s="2">
        <f t="shared" si="0"/>
        <v>0</v>
      </c>
      <c r="M46" s="2"/>
      <c r="N46" s="22">
        <f t="shared" si="1"/>
        <v>0</v>
      </c>
      <c r="O46" s="11"/>
      <c r="P46" s="2">
        <f>--80.71</f>
        <v>80.709999999999994</v>
      </c>
      <c r="Q46" s="2"/>
      <c r="R46" s="22"/>
      <c r="S46" s="2"/>
      <c r="T46" s="2"/>
      <c r="U46" s="2"/>
      <c r="V46" s="22"/>
      <c r="W46" s="2"/>
      <c r="X46" s="2">
        <f t="shared" si="2"/>
        <v>80.709999999999994</v>
      </c>
      <c r="Y46" s="2"/>
      <c r="Z46" s="22">
        <f t="shared" si="3"/>
        <v>0</v>
      </c>
    </row>
    <row r="47" spans="1:26" s="24" customFormat="1" hidden="1" outlineLevel="1" x14ac:dyDescent="0.35">
      <c r="A47" s="51"/>
      <c r="B47" s="11" t="str">
        <f>CONCATENATE("          ", "4134", " - ", "NON-TAXABLE SALES-SODA")</f>
        <v xml:space="preserve">          4134 - NON-TAXABLE SALES-SODA</v>
      </c>
      <c r="C47" s="11"/>
      <c r="D47" s="2">
        <f t="shared" si="5"/>
        <v>0</v>
      </c>
      <c r="E47" s="2"/>
      <c r="F47" s="22"/>
      <c r="G47" s="2"/>
      <c r="H47" s="2"/>
      <c r="I47" s="2"/>
      <c r="J47" s="22"/>
      <c r="K47" s="2"/>
      <c r="L47" s="2">
        <f t="shared" si="0"/>
        <v>0</v>
      </c>
      <c r="M47" s="2"/>
      <c r="N47" s="22">
        <f t="shared" si="1"/>
        <v>0</v>
      </c>
      <c r="O47" s="11"/>
      <c r="P47" s="2">
        <f>--45.53</f>
        <v>45.53</v>
      </c>
      <c r="Q47" s="2"/>
      <c r="R47" s="22"/>
      <c r="S47" s="2"/>
      <c r="T47" s="2"/>
      <c r="U47" s="2"/>
      <c r="V47" s="22"/>
      <c r="W47" s="2"/>
      <c r="X47" s="2">
        <f t="shared" si="2"/>
        <v>45.53</v>
      </c>
      <c r="Y47" s="2"/>
      <c r="Z47" s="22">
        <f t="shared" si="3"/>
        <v>0</v>
      </c>
    </row>
    <row r="48" spans="1:26" s="24" customFormat="1" hidden="1" outlineLevel="1" x14ac:dyDescent="0.35">
      <c r="A48" s="51"/>
      <c r="B48" s="11" t="str">
        <f>CONCATENATE("          ", "4137", " - ", "NON-TAXABLE SALES-WATER")</f>
        <v xml:space="preserve">          4137 - NON-TAXABLE SALES-WATER</v>
      </c>
      <c r="C48" s="11"/>
      <c r="D48" s="2">
        <f t="shared" si="5"/>
        <v>0</v>
      </c>
      <c r="E48" s="2"/>
      <c r="F48" s="22"/>
      <c r="G48" s="2"/>
      <c r="H48" s="2"/>
      <c r="I48" s="2"/>
      <c r="J48" s="22"/>
      <c r="K48" s="2"/>
      <c r="L48" s="2">
        <f t="shared" si="0"/>
        <v>0</v>
      </c>
      <c r="M48" s="2"/>
      <c r="N48" s="22">
        <f t="shared" si="1"/>
        <v>0</v>
      </c>
      <c r="O48" s="11"/>
      <c r="P48" s="2">
        <f>--68.25</f>
        <v>68.25</v>
      </c>
      <c r="Q48" s="2"/>
      <c r="R48" s="22"/>
      <c r="S48" s="2"/>
      <c r="T48" s="2"/>
      <c r="U48" s="2"/>
      <c r="V48" s="22"/>
      <c r="W48" s="2"/>
      <c r="X48" s="2">
        <f t="shared" si="2"/>
        <v>68.25</v>
      </c>
      <c r="Y48" s="2"/>
      <c r="Z48" s="22">
        <f t="shared" si="3"/>
        <v>0</v>
      </c>
    </row>
    <row r="49" spans="1:26" s="24" customFormat="1" hidden="1" outlineLevel="1" x14ac:dyDescent="0.35">
      <c r="A49" s="51"/>
      <c r="B49" s="11" t="str">
        <f>CONCATENATE("          ", "4140", " - ", "NON-TAXABLE SALES-LOGO CLOTHIN")</f>
        <v xml:space="preserve">          4140 - NON-TAXABLE SALES-LOGO CLOTHIN</v>
      </c>
      <c r="C49" s="11"/>
      <c r="D49" s="2">
        <f>--9206.45</f>
        <v>9206.4500000000007</v>
      </c>
      <c r="E49" s="2"/>
      <c r="F49" s="22"/>
      <c r="G49" s="2"/>
      <c r="H49" s="2"/>
      <c r="I49" s="2"/>
      <c r="J49" s="22"/>
      <c r="K49" s="2"/>
      <c r="L49" s="2">
        <f t="shared" si="0"/>
        <v>9206.4500000000007</v>
      </c>
      <c r="M49" s="2"/>
      <c r="N49" s="22">
        <f t="shared" si="1"/>
        <v>0</v>
      </c>
      <c r="O49" s="11"/>
      <c r="P49" s="2">
        <f>--113177.42</f>
        <v>113177.42</v>
      </c>
      <c r="Q49" s="2"/>
      <c r="R49" s="22"/>
      <c r="S49" s="2"/>
      <c r="T49" s="2"/>
      <c r="U49" s="2"/>
      <c r="V49" s="22"/>
      <c r="W49" s="2"/>
      <c r="X49" s="2">
        <f t="shared" si="2"/>
        <v>113177.42</v>
      </c>
      <c r="Y49" s="2"/>
      <c r="Z49" s="22">
        <f t="shared" si="3"/>
        <v>0</v>
      </c>
    </row>
    <row r="50" spans="1:26" s="24" customFormat="1" hidden="1" outlineLevel="1" x14ac:dyDescent="0.35">
      <c r="A50" s="51"/>
      <c r="B50" s="11" t="str">
        <f>CONCATENATE("          ", "4141", " - ", "NON-TAXABLE SALES-LOGO GIFTS")</f>
        <v xml:space="preserve">          4141 - NON-TAXABLE SALES-LOGO GIFTS</v>
      </c>
      <c r="C50" s="11"/>
      <c r="D50" s="2">
        <f>--1872.52</f>
        <v>1872.52</v>
      </c>
      <c r="E50" s="2"/>
      <c r="F50" s="22"/>
      <c r="G50" s="2"/>
      <c r="H50" s="2"/>
      <c r="I50" s="2"/>
      <c r="J50" s="22"/>
      <c r="K50" s="2"/>
      <c r="L50" s="2">
        <f t="shared" si="0"/>
        <v>1872.52</v>
      </c>
      <c r="M50" s="2"/>
      <c r="N50" s="22">
        <f t="shared" si="1"/>
        <v>0</v>
      </c>
      <c r="O50" s="11"/>
      <c r="P50" s="2">
        <f>--7841.77</f>
        <v>7841.77</v>
      </c>
      <c r="Q50" s="2"/>
      <c r="R50" s="22"/>
      <c r="S50" s="2"/>
      <c r="T50" s="2"/>
      <c r="U50" s="2"/>
      <c r="V50" s="22"/>
      <c r="W50" s="2"/>
      <c r="X50" s="2">
        <f t="shared" si="2"/>
        <v>7841.77</v>
      </c>
      <c r="Y50" s="2"/>
      <c r="Z50" s="22">
        <f t="shared" si="3"/>
        <v>0</v>
      </c>
    </row>
    <row r="51" spans="1:26" s="24" customFormat="1" hidden="1" outlineLevel="1" x14ac:dyDescent="0.35">
      <c r="A51" s="51"/>
      <c r="B51" s="11" t="str">
        <f>CONCATENATE("          ", "4142", " - ", "NON-TAXABLE SALES-EVERYDAY GIF")</f>
        <v xml:space="preserve">          4142 - NON-TAXABLE SALES-EVERYDAY GIF</v>
      </c>
      <c r="C51" s="11"/>
      <c r="D51" s="2">
        <f>--51.7</f>
        <v>51.7</v>
      </c>
      <c r="E51" s="2"/>
      <c r="F51" s="22"/>
      <c r="G51" s="2"/>
      <c r="H51" s="2"/>
      <c r="I51" s="2"/>
      <c r="J51" s="22"/>
      <c r="K51" s="2"/>
      <c r="L51" s="2">
        <f t="shared" si="0"/>
        <v>51.7</v>
      </c>
      <c r="M51" s="2"/>
      <c r="N51" s="22">
        <f t="shared" si="1"/>
        <v>0</v>
      </c>
      <c r="O51" s="11"/>
      <c r="P51" s="2">
        <f>--2259.89</f>
        <v>2259.89</v>
      </c>
      <c r="Q51" s="2"/>
      <c r="R51" s="22"/>
      <c r="S51" s="2"/>
      <c r="T51" s="2"/>
      <c r="U51" s="2"/>
      <c r="V51" s="22"/>
      <c r="W51" s="2"/>
      <c r="X51" s="2">
        <f t="shared" si="2"/>
        <v>2259.89</v>
      </c>
      <c r="Y51" s="2"/>
      <c r="Z51" s="22">
        <f t="shared" si="3"/>
        <v>0</v>
      </c>
    </row>
    <row r="52" spans="1:26" s="24" customFormat="1" hidden="1" outlineLevel="1" x14ac:dyDescent="0.35">
      <c r="A52" s="51"/>
      <c r="B52" s="11" t="str">
        <f>CONCATENATE("          ", "4143", " - ", "NON-TAXABLE SALES-CARDS")</f>
        <v xml:space="preserve">          4143 - NON-TAXABLE SALES-CARDS</v>
      </c>
      <c r="C52" s="11"/>
      <c r="D52" s="2">
        <f>--232.71</f>
        <v>232.71</v>
      </c>
      <c r="E52" s="2"/>
      <c r="F52" s="22"/>
      <c r="G52" s="2"/>
      <c r="H52" s="2"/>
      <c r="I52" s="2"/>
      <c r="J52" s="22"/>
      <c r="K52" s="2"/>
      <c r="L52" s="2">
        <f t="shared" si="0"/>
        <v>232.71</v>
      </c>
      <c r="M52" s="2"/>
      <c r="N52" s="22">
        <f t="shared" si="1"/>
        <v>0</v>
      </c>
      <c r="O52" s="11"/>
      <c r="P52" s="2">
        <f>--1969.74</f>
        <v>1969.74</v>
      </c>
      <c r="Q52" s="2"/>
      <c r="R52" s="22"/>
      <c r="S52" s="2"/>
      <c r="T52" s="2"/>
      <c r="U52" s="2"/>
      <c r="V52" s="22"/>
      <c r="W52" s="2"/>
      <c r="X52" s="2">
        <f t="shared" si="2"/>
        <v>1969.74</v>
      </c>
      <c r="Y52" s="2"/>
      <c r="Z52" s="22">
        <f t="shared" si="3"/>
        <v>0</v>
      </c>
    </row>
    <row r="53" spans="1:26" s="24" customFormat="1" hidden="1" outlineLevel="1" x14ac:dyDescent="0.35">
      <c r="A53" s="51"/>
      <c r="B53" s="11" t="str">
        <f>CONCATENATE("          ", "4144", " - ", "NON-TAXABLE SALES-ACCESSORIES")</f>
        <v xml:space="preserve">          4144 - NON-TAXABLE SALES-ACCESSORIES</v>
      </c>
      <c r="C53" s="11"/>
      <c r="D53" s="2">
        <f>--119.9</f>
        <v>119.9</v>
      </c>
      <c r="E53" s="2"/>
      <c r="F53" s="22"/>
      <c r="G53" s="2"/>
      <c r="H53" s="2"/>
      <c r="I53" s="2"/>
      <c r="J53" s="22"/>
      <c r="K53" s="2"/>
      <c r="L53" s="2">
        <f t="shared" si="0"/>
        <v>119.9</v>
      </c>
      <c r="M53" s="2"/>
      <c r="N53" s="22">
        <f t="shared" si="1"/>
        <v>0</v>
      </c>
      <c r="O53" s="11"/>
      <c r="P53" s="2">
        <f>--609.4</f>
        <v>609.4</v>
      </c>
      <c r="Q53" s="2"/>
      <c r="R53" s="22"/>
      <c r="S53" s="2"/>
      <c r="T53" s="2"/>
      <c r="U53" s="2"/>
      <c r="V53" s="22"/>
      <c r="W53" s="2"/>
      <c r="X53" s="2">
        <f t="shared" si="2"/>
        <v>609.4</v>
      </c>
      <c r="Y53" s="2"/>
      <c r="Z53" s="22">
        <f t="shared" si="3"/>
        <v>0</v>
      </c>
    </row>
    <row r="54" spans="1:26" s="24" customFormat="1" hidden="1" outlineLevel="1" x14ac:dyDescent="0.35">
      <c r="A54" s="51"/>
      <c r="B54" s="11" t="str">
        <f>CONCATENATE("          ", "4145", " - ", "NON-TAXABLE SALES-SPECIAL ORDE")</f>
        <v xml:space="preserve">          4145 - NON-TAXABLE SALES-SPECIAL ORDE</v>
      </c>
      <c r="C54" s="11"/>
      <c r="D54" s="2">
        <f>-1677.68</f>
        <v>-1677.68</v>
      </c>
      <c r="E54" s="2"/>
      <c r="F54" s="22"/>
      <c r="G54" s="2"/>
      <c r="H54" s="2"/>
      <c r="I54" s="2"/>
      <c r="J54" s="22"/>
      <c r="K54" s="2"/>
      <c r="L54" s="2">
        <f t="shared" si="0"/>
        <v>-1677.68</v>
      </c>
      <c r="M54" s="2"/>
      <c r="N54" s="22">
        <f t="shared" si="1"/>
        <v>0</v>
      </c>
      <c r="O54" s="11"/>
      <c r="P54" s="2">
        <f>--53716.09</f>
        <v>53716.09</v>
      </c>
      <c r="Q54" s="2"/>
      <c r="R54" s="22"/>
      <c r="S54" s="2"/>
      <c r="T54" s="2"/>
      <c r="U54" s="2"/>
      <c r="V54" s="22"/>
      <c r="W54" s="2"/>
      <c r="X54" s="2">
        <f t="shared" si="2"/>
        <v>53716.09</v>
      </c>
      <c r="Y54" s="2"/>
      <c r="Z54" s="22">
        <f t="shared" si="3"/>
        <v>0</v>
      </c>
    </row>
    <row r="55" spans="1:26" s="24" customFormat="1" hidden="1" outlineLevel="1" x14ac:dyDescent="0.35">
      <c r="A55" s="51"/>
      <c r="B55" s="11" t="str">
        <f>CONCATENATE("          ", "4146", " - ", "NON-TAXABLE SALES-COIN OP MACH")</f>
        <v xml:space="preserve">          4146 - NON-TAXABLE SALES-COIN OP MACH</v>
      </c>
      <c r="C55" s="11"/>
      <c r="D55" s="2">
        <f>--12.7</f>
        <v>12.7</v>
      </c>
      <c r="E55" s="2"/>
      <c r="F55" s="22"/>
      <c r="G55" s="2"/>
      <c r="H55" s="2"/>
      <c r="I55" s="2"/>
      <c r="J55" s="22"/>
      <c r="K55" s="2"/>
      <c r="L55" s="2">
        <f t="shared" si="0"/>
        <v>12.7</v>
      </c>
      <c r="M55" s="2"/>
      <c r="N55" s="22">
        <f t="shared" si="1"/>
        <v>0</v>
      </c>
      <c r="O55" s="11"/>
      <c r="P55" s="2">
        <f>--140.6</f>
        <v>140.6</v>
      </c>
      <c r="Q55" s="2"/>
      <c r="R55" s="22"/>
      <c r="S55" s="2"/>
      <c r="T55" s="2"/>
      <c r="U55" s="2"/>
      <c r="V55" s="22"/>
      <c r="W55" s="2"/>
      <c r="X55" s="2">
        <f t="shared" si="2"/>
        <v>140.6</v>
      </c>
      <c r="Y55" s="2"/>
      <c r="Z55" s="22">
        <f t="shared" si="3"/>
        <v>0</v>
      </c>
    </row>
    <row r="56" spans="1:26" s="24" customFormat="1" hidden="1" outlineLevel="1" x14ac:dyDescent="0.35">
      <c r="A56" s="51"/>
      <c r="B56" s="11" t="str">
        <f>CONCATENATE("          ", "4147", " - ", "NON-TAXABLE SALES-MISC")</f>
        <v xml:space="preserve">          4147 - NON-TAXABLE SALES-MISC</v>
      </c>
      <c r="C56" s="11"/>
      <c r="D56" s="2">
        <f>--11</f>
        <v>11</v>
      </c>
      <c r="E56" s="2"/>
      <c r="F56" s="22"/>
      <c r="G56" s="2"/>
      <c r="H56" s="2"/>
      <c r="I56" s="2"/>
      <c r="J56" s="22"/>
      <c r="K56" s="2"/>
      <c r="L56" s="2">
        <f t="shared" si="0"/>
        <v>11</v>
      </c>
      <c r="M56" s="2"/>
      <c r="N56" s="22">
        <f t="shared" si="1"/>
        <v>0</v>
      </c>
      <c r="O56" s="11"/>
      <c r="P56" s="2">
        <f>--115.5</f>
        <v>115.5</v>
      </c>
      <c r="Q56" s="2"/>
      <c r="R56" s="22"/>
      <c r="S56" s="2"/>
      <c r="T56" s="2"/>
      <c r="U56" s="2"/>
      <c r="V56" s="22"/>
      <c r="W56" s="2"/>
      <c r="X56" s="2">
        <f t="shared" si="2"/>
        <v>115.5</v>
      </c>
      <c r="Y56" s="2"/>
      <c r="Z56" s="22">
        <f t="shared" si="3"/>
        <v>0</v>
      </c>
    </row>
    <row r="57" spans="1:26" s="24" customFormat="1" hidden="1" outlineLevel="1" x14ac:dyDescent="0.35">
      <c r="A57" s="51"/>
      <c r="B57" s="11" t="str">
        <f>CONCATENATE("          ", "4201", " - ", "SALES RETURN TAXABLE-NEW TEXT")</f>
        <v xml:space="preserve">          4201 - SALES RETURN TAXABLE-NEW TEXT</v>
      </c>
      <c r="C57" s="11"/>
      <c r="D57" s="2">
        <f>-12741.9</f>
        <v>-12741.9</v>
      </c>
      <c r="E57" s="2"/>
      <c r="F57" s="22"/>
      <c r="G57" s="2"/>
      <c r="H57" s="2"/>
      <c r="I57" s="2"/>
      <c r="J57" s="22"/>
      <c r="K57" s="2"/>
      <c r="L57" s="2">
        <f t="shared" si="0"/>
        <v>-12741.9</v>
      </c>
      <c r="M57" s="2"/>
      <c r="N57" s="22">
        <f t="shared" si="1"/>
        <v>0</v>
      </c>
      <c r="O57" s="11"/>
      <c r="P57" s="2">
        <f>-48517.74</f>
        <v>-48517.74</v>
      </c>
      <c r="Q57" s="2"/>
      <c r="R57" s="22"/>
      <c r="S57" s="2"/>
      <c r="T57" s="2"/>
      <c r="U57" s="2"/>
      <c r="V57" s="22"/>
      <c r="W57" s="2"/>
      <c r="X57" s="2">
        <f t="shared" si="2"/>
        <v>-48517.74</v>
      </c>
      <c r="Y57" s="2"/>
      <c r="Z57" s="22">
        <f t="shared" si="3"/>
        <v>0</v>
      </c>
    </row>
    <row r="58" spans="1:26" s="24" customFormat="1" hidden="1" outlineLevel="1" x14ac:dyDescent="0.35">
      <c r="A58" s="51"/>
      <c r="B58" s="11" t="str">
        <f>CONCATENATE("          ", "4202", " - ", "SALES RETURN TAXABLE-USED TEXT")</f>
        <v xml:space="preserve">          4202 - SALES RETURN TAXABLE-USED TEXT</v>
      </c>
      <c r="C58" s="11"/>
      <c r="D58" s="2">
        <f>-4670.3</f>
        <v>-4670.3</v>
      </c>
      <c r="E58" s="2"/>
      <c r="F58" s="22"/>
      <c r="G58" s="2"/>
      <c r="H58" s="2"/>
      <c r="I58" s="2"/>
      <c r="J58" s="22"/>
      <c r="K58" s="2"/>
      <c r="L58" s="2">
        <f t="shared" si="0"/>
        <v>-4670.3</v>
      </c>
      <c r="M58" s="2"/>
      <c r="N58" s="22">
        <f t="shared" si="1"/>
        <v>0</v>
      </c>
      <c r="O58" s="11"/>
      <c r="P58" s="2">
        <f>-18536.3</f>
        <v>-18536.3</v>
      </c>
      <c r="Q58" s="2"/>
      <c r="R58" s="22"/>
      <c r="S58" s="2"/>
      <c r="T58" s="2"/>
      <c r="U58" s="2"/>
      <c r="V58" s="22"/>
      <c r="W58" s="2"/>
      <c r="X58" s="2">
        <f t="shared" si="2"/>
        <v>-18536.3</v>
      </c>
      <c r="Y58" s="2"/>
      <c r="Z58" s="22">
        <f t="shared" si="3"/>
        <v>0</v>
      </c>
    </row>
    <row r="59" spans="1:26" s="24" customFormat="1" hidden="1" outlineLevel="1" x14ac:dyDescent="0.35">
      <c r="A59" s="51"/>
      <c r="B59" s="11" t="str">
        <f>CONCATENATE("          ", "4204", " - ", "SALES RETURN TAXABLE-DIGITAL T")</f>
        <v xml:space="preserve">          4204 - SALES RETURN TAXABLE-DIGITAL T</v>
      </c>
      <c r="C59" s="11"/>
      <c r="D59" s="2">
        <f t="shared" ref="D59:D60" si="6">0</f>
        <v>0</v>
      </c>
      <c r="E59" s="2"/>
      <c r="F59" s="22"/>
      <c r="G59" s="2"/>
      <c r="H59" s="2"/>
      <c r="I59" s="2"/>
      <c r="J59" s="22"/>
      <c r="K59" s="2"/>
      <c r="L59" s="2">
        <f t="shared" si="0"/>
        <v>0</v>
      </c>
      <c r="M59" s="2"/>
      <c r="N59" s="22">
        <f t="shared" si="1"/>
        <v>0</v>
      </c>
      <c r="O59" s="11"/>
      <c r="P59" s="2">
        <f>-1630.85</f>
        <v>-1630.85</v>
      </c>
      <c r="Q59" s="2"/>
      <c r="R59" s="22"/>
      <c r="S59" s="2"/>
      <c r="T59" s="2"/>
      <c r="U59" s="2"/>
      <c r="V59" s="22"/>
      <c r="W59" s="2"/>
      <c r="X59" s="2">
        <f t="shared" si="2"/>
        <v>-1630.85</v>
      </c>
      <c r="Y59" s="2"/>
      <c r="Z59" s="22">
        <f t="shared" si="3"/>
        <v>0</v>
      </c>
    </row>
    <row r="60" spans="1:26" s="24" customFormat="1" hidden="1" outlineLevel="1" x14ac:dyDescent="0.35">
      <c r="A60" s="51"/>
      <c r="B60" s="11" t="str">
        <f>CONCATENATE("          ", "4226", " - ", "SALES RETURN TAXABLE-WRITING I")</f>
        <v xml:space="preserve">          4226 - SALES RETURN TAXABLE-WRITING I</v>
      </c>
      <c r="C60" s="11"/>
      <c r="D60" s="2">
        <f t="shared" si="6"/>
        <v>0</v>
      </c>
      <c r="E60" s="2"/>
      <c r="F60" s="22"/>
      <c r="G60" s="2"/>
      <c r="H60" s="2"/>
      <c r="I60" s="2"/>
      <c r="J60" s="22"/>
      <c r="K60" s="2"/>
      <c r="L60" s="2">
        <f t="shared" si="0"/>
        <v>0</v>
      </c>
      <c r="M60" s="2"/>
      <c r="N60" s="22">
        <f t="shared" si="1"/>
        <v>0</v>
      </c>
      <c r="O60" s="11"/>
      <c r="P60" s="2">
        <f>-34.23</f>
        <v>-34.229999999999997</v>
      </c>
      <c r="Q60" s="2"/>
      <c r="R60" s="22"/>
      <c r="S60" s="2"/>
      <c r="T60" s="2"/>
      <c r="U60" s="2"/>
      <c r="V60" s="22"/>
      <c r="W60" s="2"/>
      <c r="X60" s="2">
        <f t="shared" si="2"/>
        <v>-34.229999999999997</v>
      </c>
      <c r="Y60" s="2"/>
      <c r="Z60" s="22">
        <f t="shared" si="3"/>
        <v>0</v>
      </c>
    </row>
    <row r="61" spans="1:26" s="24" customFormat="1" hidden="1" outlineLevel="1" x14ac:dyDescent="0.35">
      <c r="A61" s="51"/>
      <c r="B61" s="11" t="str">
        <f>CONCATENATE("          ", "4227", " - ", "SALES RETURN TAXABLE-SCHOOL SU")</f>
        <v xml:space="preserve">          4227 - SALES RETURN TAXABLE-SCHOOL SU</v>
      </c>
      <c r="C61" s="11"/>
      <c r="D61" s="2">
        <f>-126.22</f>
        <v>-126.22</v>
      </c>
      <c r="E61" s="2"/>
      <c r="F61" s="22"/>
      <c r="G61" s="2"/>
      <c r="H61" s="2"/>
      <c r="I61" s="2"/>
      <c r="J61" s="22"/>
      <c r="K61" s="2"/>
      <c r="L61" s="2">
        <f t="shared" si="0"/>
        <v>-126.22</v>
      </c>
      <c r="M61" s="2"/>
      <c r="N61" s="22">
        <f t="shared" si="1"/>
        <v>0</v>
      </c>
      <c r="O61" s="11"/>
      <c r="P61" s="2">
        <f>-762.68</f>
        <v>-762.68</v>
      </c>
      <c r="Q61" s="2"/>
      <c r="R61" s="22"/>
      <c r="S61" s="2"/>
      <c r="T61" s="2"/>
      <c r="U61" s="2"/>
      <c r="V61" s="22"/>
      <c r="W61" s="2"/>
      <c r="X61" s="2">
        <f t="shared" si="2"/>
        <v>-762.68</v>
      </c>
      <c r="Y61" s="2"/>
      <c r="Z61" s="22">
        <f t="shared" si="3"/>
        <v>0</v>
      </c>
    </row>
    <row r="62" spans="1:26" s="24" customFormat="1" hidden="1" outlineLevel="1" x14ac:dyDescent="0.35">
      <c r="A62" s="51"/>
      <c r="B62" s="11" t="str">
        <f>CONCATENATE("          ", "4228", " - ", "SALES RETURN TAXABLE-ART/TECH")</f>
        <v xml:space="preserve">          4228 - SALES RETURN TAXABLE-ART/TECH</v>
      </c>
      <c r="C62" s="11"/>
      <c r="D62" s="2">
        <f>-12473.84</f>
        <v>-12473.84</v>
      </c>
      <c r="E62" s="2"/>
      <c r="F62" s="22"/>
      <c r="G62" s="2"/>
      <c r="H62" s="2"/>
      <c r="I62" s="2"/>
      <c r="J62" s="22"/>
      <c r="K62" s="2"/>
      <c r="L62" s="2">
        <f t="shared" si="0"/>
        <v>-12473.84</v>
      </c>
      <c r="M62" s="2"/>
      <c r="N62" s="22">
        <f t="shared" si="1"/>
        <v>0</v>
      </c>
      <c r="O62" s="11"/>
      <c r="P62" s="2">
        <f>-12728.53</f>
        <v>-12728.53</v>
      </c>
      <c r="Q62" s="2"/>
      <c r="R62" s="22"/>
      <c r="S62" s="2"/>
      <c r="T62" s="2"/>
      <c r="U62" s="2"/>
      <c r="V62" s="22"/>
      <c r="W62" s="2"/>
      <c r="X62" s="2">
        <f t="shared" si="2"/>
        <v>-12728.53</v>
      </c>
      <c r="Y62" s="2"/>
      <c r="Z62" s="22">
        <f t="shared" si="3"/>
        <v>0</v>
      </c>
    </row>
    <row r="63" spans="1:26" s="24" customFormat="1" hidden="1" outlineLevel="1" x14ac:dyDescent="0.35">
      <c r="A63" s="51"/>
      <c r="B63" s="11" t="str">
        <f>CONCATENATE("          ", "4240", " - ", "SALES RETURN TAXABLE-LOGO CLOT")</f>
        <v xml:space="preserve">          4240 - SALES RETURN TAXABLE-LOGO CLOT</v>
      </c>
      <c r="C63" s="11"/>
      <c r="D63" s="2">
        <f>-7168.03</f>
        <v>-7168.03</v>
      </c>
      <c r="E63" s="2"/>
      <c r="F63" s="22"/>
      <c r="G63" s="2"/>
      <c r="H63" s="2"/>
      <c r="I63" s="2"/>
      <c r="J63" s="22"/>
      <c r="K63" s="2"/>
      <c r="L63" s="2">
        <f t="shared" si="0"/>
        <v>-7168.03</v>
      </c>
      <c r="M63" s="2"/>
      <c r="N63" s="22">
        <f t="shared" si="1"/>
        <v>0</v>
      </c>
      <c r="O63" s="11"/>
      <c r="P63" s="2">
        <f>-27586.87</f>
        <v>-27586.87</v>
      </c>
      <c r="Q63" s="2"/>
      <c r="R63" s="22"/>
      <c r="S63" s="2"/>
      <c r="T63" s="2"/>
      <c r="U63" s="2"/>
      <c r="V63" s="22"/>
      <c r="W63" s="2"/>
      <c r="X63" s="2">
        <f t="shared" si="2"/>
        <v>-27586.87</v>
      </c>
      <c r="Y63" s="2"/>
      <c r="Z63" s="22">
        <f t="shared" si="3"/>
        <v>0</v>
      </c>
    </row>
    <row r="64" spans="1:26" s="24" customFormat="1" hidden="1" outlineLevel="1" x14ac:dyDescent="0.35">
      <c r="A64" s="51"/>
      <c r="B64" s="11" t="str">
        <f>CONCATENATE("          ", "4241", " - ", "SALES RETURN TAXABLE-LOGO GIFT")</f>
        <v xml:space="preserve">          4241 - SALES RETURN TAXABLE-LOGO GIFT</v>
      </c>
      <c r="C64" s="11"/>
      <c r="D64" s="2">
        <f>-1397.46</f>
        <v>-1397.46</v>
      </c>
      <c r="E64" s="2"/>
      <c r="F64" s="22"/>
      <c r="G64" s="2"/>
      <c r="H64" s="2"/>
      <c r="I64" s="2"/>
      <c r="J64" s="22"/>
      <c r="K64" s="2"/>
      <c r="L64" s="2">
        <f t="shared" si="0"/>
        <v>-1397.46</v>
      </c>
      <c r="M64" s="2"/>
      <c r="N64" s="22">
        <f t="shared" si="1"/>
        <v>0</v>
      </c>
      <c r="O64" s="11"/>
      <c r="P64" s="2">
        <f>-4957.47</f>
        <v>-4957.47</v>
      </c>
      <c r="Q64" s="2"/>
      <c r="R64" s="22"/>
      <c r="S64" s="2"/>
      <c r="T64" s="2"/>
      <c r="U64" s="2"/>
      <c r="V64" s="22"/>
      <c r="W64" s="2"/>
      <c r="X64" s="2">
        <f t="shared" si="2"/>
        <v>-4957.47</v>
      </c>
      <c r="Y64" s="2"/>
      <c r="Z64" s="22">
        <f t="shared" si="3"/>
        <v>0</v>
      </c>
    </row>
    <row r="65" spans="1:26" s="24" customFormat="1" hidden="1" outlineLevel="1" x14ac:dyDescent="0.35">
      <c r="A65" s="51"/>
      <c r="B65" s="11" t="str">
        <f>CONCATENATE("          ", "4242", " - ", "SALES RETURN TAXABLE-EVERYDAY")</f>
        <v xml:space="preserve">          4242 - SALES RETURN TAXABLE-EVERYDAY</v>
      </c>
      <c r="C65" s="11"/>
      <c r="D65" s="2">
        <f>-76.86</f>
        <v>-76.86</v>
      </c>
      <c r="E65" s="2"/>
      <c r="F65" s="22"/>
      <c r="G65" s="2"/>
      <c r="H65" s="2"/>
      <c r="I65" s="2"/>
      <c r="J65" s="22"/>
      <c r="K65" s="2"/>
      <c r="L65" s="2">
        <f t="shared" si="0"/>
        <v>-76.86</v>
      </c>
      <c r="M65" s="2"/>
      <c r="N65" s="22">
        <f t="shared" si="1"/>
        <v>0</v>
      </c>
      <c r="O65" s="11"/>
      <c r="P65" s="2">
        <f>-1693.78</f>
        <v>-1693.78</v>
      </c>
      <c r="Q65" s="2"/>
      <c r="R65" s="22"/>
      <c r="S65" s="2"/>
      <c r="T65" s="2"/>
      <c r="U65" s="2"/>
      <c r="V65" s="22"/>
      <c r="W65" s="2"/>
      <c r="X65" s="2">
        <f t="shared" si="2"/>
        <v>-1693.78</v>
      </c>
      <c r="Y65" s="2"/>
      <c r="Z65" s="22">
        <f t="shared" si="3"/>
        <v>0</v>
      </c>
    </row>
    <row r="66" spans="1:26" s="24" customFormat="1" hidden="1" outlineLevel="1" x14ac:dyDescent="0.35">
      <c r="A66" s="51"/>
      <c r="B66" s="11" t="str">
        <f>CONCATENATE("          ", "4243", " - ", "SALES RETURN TAXABLE-CARDS")</f>
        <v xml:space="preserve">          4243 - SALES RETURN TAXABLE-CARDS</v>
      </c>
      <c r="C66" s="11"/>
      <c r="D66" s="2">
        <f>-1422.25</f>
        <v>-1422.25</v>
      </c>
      <c r="E66" s="2"/>
      <c r="F66" s="22"/>
      <c r="G66" s="2"/>
      <c r="H66" s="2"/>
      <c r="I66" s="2"/>
      <c r="J66" s="22"/>
      <c r="K66" s="2"/>
      <c r="L66" s="2">
        <f t="shared" si="0"/>
        <v>-1422.25</v>
      </c>
      <c r="M66" s="2"/>
      <c r="N66" s="22">
        <f t="shared" si="1"/>
        <v>0</v>
      </c>
      <c r="O66" s="11"/>
      <c r="P66" s="2">
        <f>-4999.79</f>
        <v>-4999.79</v>
      </c>
      <c r="Q66" s="2"/>
      <c r="R66" s="22"/>
      <c r="S66" s="2"/>
      <c r="T66" s="2"/>
      <c r="U66" s="2"/>
      <c r="V66" s="22"/>
      <c r="W66" s="2"/>
      <c r="X66" s="2">
        <f t="shared" si="2"/>
        <v>-4999.79</v>
      </c>
      <c r="Y66" s="2"/>
      <c r="Z66" s="22">
        <f t="shared" si="3"/>
        <v>0</v>
      </c>
    </row>
    <row r="67" spans="1:26" s="24" customFormat="1" hidden="1" outlineLevel="1" x14ac:dyDescent="0.35">
      <c r="A67" s="51"/>
      <c r="B67" s="11" t="str">
        <f>CONCATENATE("          ", "4244", " - ", "SALES RETURN TAXABLE-ACCESSORI")</f>
        <v xml:space="preserve">          4244 - SALES RETURN TAXABLE-ACCESSORI</v>
      </c>
      <c r="C67" s="11"/>
      <c r="D67" s="2">
        <f>-93.98</f>
        <v>-93.98</v>
      </c>
      <c r="E67" s="2"/>
      <c r="F67" s="22"/>
      <c r="G67" s="2"/>
      <c r="H67" s="2"/>
      <c r="I67" s="2"/>
      <c r="J67" s="22"/>
      <c r="K67" s="2"/>
      <c r="L67" s="2">
        <f t="shared" si="0"/>
        <v>-93.98</v>
      </c>
      <c r="M67" s="2"/>
      <c r="N67" s="22">
        <f t="shared" si="1"/>
        <v>0</v>
      </c>
      <c r="O67" s="11"/>
      <c r="P67" s="2">
        <f>-984.85</f>
        <v>-984.85</v>
      </c>
      <c r="Q67" s="2"/>
      <c r="R67" s="22"/>
      <c r="S67" s="2"/>
      <c r="T67" s="2"/>
      <c r="U67" s="2"/>
      <c r="V67" s="22"/>
      <c r="W67" s="2"/>
      <c r="X67" s="2">
        <f t="shared" si="2"/>
        <v>-984.85</v>
      </c>
      <c r="Y67" s="2"/>
      <c r="Z67" s="22">
        <f t="shared" si="3"/>
        <v>0</v>
      </c>
    </row>
    <row r="68" spans="1:26" s="24" customFormat="1" hidden="1" outlineLevel="1" x14ac:dyDescent="0.35">
      <c r="A68" s="51"/>
      <c r="B68" s="11" t="str">
        <f>CONCATENATE("          ", "4245", " - ", "SALES RETURN TAXABLE-SPECIAL O")</f>
        <v xml:space="preserve">          4245 - SALES RETURN TAXABLE-SPECIAL O</v>
      </c>
      <c r="C68" s="11"/>
      <c r="D68" s="2">
        <f>0</f>
        <v>0</v>
      </c>
      <c r="E68" s="2"/>
      <c r="F68" s="22"/>
      <c r="G68" s="2"/>
      <c r="H68" s="2"/>
      <c r="I68" s="2"/>
      <c r="J68" s="22"/>
      <c r="K68" s="2"/>
      <c r="L68" s="2">
        <f t="shared" si="0"/>
        <v>0</v>
      </c>
      <c r="M68" s="2"/>
      <c r="N68" s="22">
        <f t="shared" si="1"/>
        <v>0</v>
      </c>
      <c r="O68" s="11"/>
      <c r="P68" s="2">
        <f>-11345.61</f>
        <v>-11345.61</v>
      </c>
      <c r="Q68" s="2"/>
      <c r="R68" s="22"/>
      <c r="S68" s="2"/>
      <c r="T68" s="2"/>
      <c r="U68" s="2"/>
      <c r="V68" s="22"/>
      <c r="W68" s="2"/>
      <c r="X68" s="2">
        <f t="shared" si="2"/>
        <v>-11345.61</v>
      </c>
      <c r="Y68" s="2"/>
      <c r="Z68" s="22">
        <f t="shared" si="3"/>
        <v>0</v>
      </c>
    </row>
    <row r="69" spans="1:26" s="24" customFormat="1" hidden="1" outlineLevel="1" x14ac:dyDescent="0.35">
      <c r="A69" s="51"/>
      <c r="B69" s="11" t="str">
        <f>CONCATENATE("          ", "4301", " - ", "SALES RETURN NON TAXABLE-NEW T")</f>
        <v xml:space="preserve">          4301 - SALES RETURN NON TAXABLE-NEW T</v>
      </c>
      <c r="C69" s="11"/>
      <c r="D69" s="2">
        <f>-256.69</f>
        <v>-256.69</v>
      </c>
      <c r="E69" s="2"/>
      <c r="F69" s="22"/>
      <c r="G69" s="2"/>
      <c r="H69" s="2"/>
      <c r="I69" s="2"/>
      <c r="J69" s="22"/>
      <c r="K69" s="2"/>
      <c r="L69" s="2">
        <f t="shared" si="0"/>
        <v>-256.69</v>
      </c>
      <c r="M69" s="2"/>
      <c r="N69" s="22">
        <f t="shared" si="1"/>
        <v>0</v>
      </c>
      <c r="O69" s="11"/>
      <c r="P69" s="2">
        <f>-3005.79</f>
        <v>-3005.79</v>
      </c>
      <c r="Q69" s="2"/>
      <c r="R69" s="22"/>
      <c r="S69" s="2"/>
      <c r="T69" s="2"/>
      <c r="U69" s="2"/>
      <c r="V69" s="22"/>
      <c r="W69" s="2"/>
      <c r="X69" s="2">
        <f t="shared" si="2"/>
        <v>-3005.79</v>
      </c>
      <c r="Y69" s="2"/>
      <c r="Z69" s="22">
        <f t="shared" si="3"/>
        <v>0</v>
      </c>
    </row>
    <row r="70" spans="1:26" s="24" customFormat="1" hidden="1" outlineLevel="1" x14ac:dyDescent="0.35">
      <c r="A70" s="51"/>
      <c r="B70" s="11" t="str">
        <f>CONCATENATE("          ", "4302", " - ", "SALES RETURN NON TAXABLE-TEXT")</f>
        <v xml:space="preserve">          4302 - SALES RETURN NON TAXABLE-TEXT</v>
      </c>
      <c r="C70" s="11"/>
      <c r="D70" s="2">
        <f>-532.96</f>
        <v>-532.96</v>
      </c>
      <c r="E70" s="2"/>
      <c r="F70" s="22"/>
      <c r="G70" s="2"/>
      <c r="H70" s="2"/>
      <c r="I70" s="2"/>
      <c r="J70" s="22"/>
      <c r="K70" s="2"/>
      <c r="L70" s="2">
        <f t="shared" si="0"/>
        <v>-532.96</v>
      </c>
      <c r="M70" s="2"/>
      <c r="N70" s="22">
        <f t="shared" si="1"/>
        <v>0</v>
      </c>
      <c r="O70" s="11"/>
      <c r="P70" s="2">
        <f>-2003.16</f>
        <v>-2003.16</v>
      </c>
      <c r="Q70" s="2"/>
      <c r="R70" s="22"/>
      <c r="S70" s="2"/>
      <c r="T70" s="2"/>
      <c r="U70" s="2"/>
      <c r="V70" s="22"/>
      <c r="W70" s="2"/>
      <c r="X70" s="2">
        <f t="shared" si="2"/>
        <v>-2003.16</v>
      </c>
      <c r="Y70" s="2"/>
      <c r="Z70" s="22">
        <f t="shared" si="3"/>
        <v>0</v>
      </c>
    </row>
    <row r="71" spans="1:26" s="24" customFormat="1" hidden="1" outlineLevel="1" x14ac:dyDescent="0.35">
      <c r="A71" s="51"/>
      <c r="B71" s="11" t="str">
        <f>CONCATENATE("          ", "4304", " - ", "SALES RETURN NON TAXABLE-DIGIT")</f>
        <v xml:space="preserve">          4304 - SALES RETURN NON TAXABLE-DIGIT</v>
      </c>
      <c r="C71" s="11"/>
      <c r="D71" s="2">
        <f>-10673</f>
        <v>-10673</v>
      </c>
      <c r="E71" s="2"/>
      <c r="F71" s="22"/>
      <c r="G71" s="2"/>
      <c r="H71" s="2"/>
      <c r="I71" s="2"/>
      <c r="J71" s="22"/>
      <c r="K71" s="2"/>
      <c r="L71" s="2">
        <f t="shared" si="0"/>
        <v>-10673</v>
      </c>
      <c r="M71" s="2"/>
      <c r="N71" s="22">
        <f t="shared" si="1"/>
        <v>0</v>
      </c>
      <c r="O71" s="11"/>
      <c r="P71" s="2">
        <f>-25095.77</f>
        <v>-25095.77</v>
      </c>
      <c r="Q71" s="2"/>
      <c r="R71" s="22"/>
      <c r="S71" s="2"/>
      <c r="T71" s="2"/>
      <c r="U71" s="2"/>
      <c r="V71" s="22"/>
      <c r="W71" s="2"/>
      <c r="X71" s="2">
        <f t="shared" si="2"/>
        <v>-25095.77</v>
      </c>
      <c r="Y71" s="2"/>
      <c r="Z71" s="22">
        <f t="shared" si="3"/>
        <v>0</v>
      </c>
    </row>
    <row r="72" spans="1:26" s="24" customFormat="1" hidden="1" outlineLevel="1" x14ac:dyDescent="0.35">
      <c r="A72" s="51"/>
      <c r="B72" s="11" t="str">
        <f>CONCATENATE("          ", "4340", " - ", "SALES RETURN NON TAXABLE-LOGO")</f>
        <v xml:space="preserve">          4340 - SALES RETURN NON TAXABLE-LOGO</v>
      </c>
      <c r="C72" s="11"/>
      <c r="D72" s="2">
        <f>-732.22</f>
        <v>-732.22</v>
      </c>
      <c r="E72" s="2"/>
      <c r="F72" s="22"/>
      <c r="G72" s="2"/>
      <c r="H72" s="2"/>
      <c r="I72" s="2"/>
      <c r="J72" s="22"/>
      <c r="K72" s="2"/>
      <c r="L72" s="2">
        <f t="shared" si="0"/>
        <v>-732.22</v>
      </c>
      <c r="M72" s="2"/>
      <c r="N72" s="22">
        <f t="shared" si="1"/>
        <v>0</v>
      </c>
      <c r="O72" s="11"/>
      <c r="P72" s="2">
        <f>-2215.94</f>
        <v>-2215.94</v>
      </c>
      <c r="Q72" s="2"/>
      <c r="R72" s="22"/>
      <c r="S72" s="2"/>
      <c r="T72" s="2"/>
      <c r="U72" s="2"/>
      <c r="V72" s="22"/>
      <c r="W72" s="2"/>
      <c r="X72" s="2">
        <f t="shared" si="2"/>
        <v>-2215.94</v>
      </c>
      <c r="Y72" s="2"/>
      <c r="Z72" s="22">
        <f t="shared" si="3"/>
        <v>0</v>
      </c>
    </row>
    <row r="73" spans="1:26" s="24" customFormat="1" hidden="1" outlineLevel="1" x14ac:dyDescent="0.35">
      <c r="A73" s="51"/>
      <c r="B73" s="11" t="str">
        <f>CONCATENATE("          ", "4341", " - ", "SALES RETURN NON TAXABLE-LOGO")</f>
        <v xml:space="preserve">          4341 - SALES RETURN NON TAXABLE-LOGO</v>
      </c>
      <c r="C73" s="11"/>
      <c r="D73" s="2">
        <f>-27</f>
        <v>-27</v>
      </c>
      <c r="E73" s="2"/>
      <c r="F73" s="22"/>
      <c r="G73" s="2"/>
      <c r="H73" s="2"/>
      <c r="I73" s="2"/>
      <c r="J73" s="22"/>
      <c r="K73" s="2"/>
      <c r="L73" s="2">
        <f t="shared" si="0"/>
        <v>-27</v>
      </c>
      <c r="M73" s="2"/>
      <c r="N73" s="22">
        <f t="shared" si="1"/>
        <v>0</v>
      </c>
      <c r="O73" s="11"/>
      <c r="P73" s="2">
        <f>-362.64</f>
        <v>-362.64</v>
      </c>
      <c r="Q73" s="2"/>
      <c r="R73" s="22"/>
      <c r="S73" s="2"/>
      <c r="T73" s="2"/>
      <c r="U73" s="2"/>
      <c r="V73" s="22"/>
      <c r="W73" s="2"/>
      <c r="X73" s="2">
        <f t="shared" si="2"/>
        <v>-362.64</v>
      </c>
      <c r="Y73" s="2"/>
      <c r="Z73" s="22">
        <f t="shared" si="3"/>
        <v>0</v>
      </c>
    </row>
    <row r="74" spans="1:26" s="24" customFormat="1" hidden="1" outlineLevel="1" x14ac:dyDescent="0.35">
      <c r="A74" s="51"/>
      <c r="B74" s="11" t="str">
        <f>CONCATENATE("          ", "4342", " - ", "SALES RETURN NON TAXABLE-EVERY")</f>
        <v xml:space="preserve">          4342 - SALES RETURN NON TAXABLE-EVERY</v>
      </c>
      <c r="C74" s="11"/>
      <c r="D74" s="2">
        <f>0</f>
        <v>0</v>
      </c>
      <c r="E74" s="2"/>
      <c r="F74" s="22"/>
      <c r="G74" s="2"/>
      <c r="H74" s="2"/>
      <c r="I74" s="2"/>
      <c r="J74" s="22"/>
      <c r="K74" s="2"/>
      <c r="L74" s="2">
        <f t="shared" si="0"/>
        <v>0</v>
      </c>
      <c r="M74" s="2"/>
      <c r="N74" s="22">
        <f t="shared" si="1"/>
        <v>0</v>
      </c>
      <c r="O74" s="11"/>
      <c r="P74" s="2">
        <f>-118.7</f>
        <v>-118.7</v>
      </c>
      <c r="Q74" s="2"/>
      <c r="R74" s="22"/>
      <c r="S74" s="2"/>
      <c r="T74" s="2"/>
      <c r="U74" s="2"/>
      <c r="V74" s="22"/>
      <c r="W74" s="2"/>
      <c r="X74" s="2">
        <f t="shared" si="2"/>
        <v>-118.7</v>
      </c>
      <c r="Y74" s="2"/>
      <c r="Z74" s="22">
        <f t="shared" si="3"/>
        <v>0</v>
      </c>
    </row>
    <row r="75" spans="1:26" x14ac:dyDescent="0.3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collapsed="1" x14ac:dyDescent="0.35">
      <c r="A76" s="10"/>
      <c r="B76" s="25" t="s">
        <v>8</v>
      </c>
      <c r="C76" s="10"/>
      <c r="D76" s="4">
        <f>SUM(OSRRefD16x_0)</f>
        <v>771593.34000000008</v>
      </c>
      <c r="E76" s="4"/>
      <c r="F76" s="12">
        <f t="shared" ref="F76:F110" si="7">IF(D$12=0,0,D76/D$12)</f>
        <v>0.65454513712580265</v>
      </c>
      <c r="G76" s="4"/>
      <c r="H76" s="4">
        <f>SUM(OSRRefH16x_0)</f>
        <v>1250005</v>
      </c>
      <c r="I76" s="4"/>
      <c r="J76" s="12">
        <f t="shared" ref="J76:J110" si="8">IF(H$12=0,0,H76/H$12)</f>
        <v>0.64754617244759038</v>
      </c>
      <c r="K76" s="4"/>
      <c r="L76" s="4">
        <f t="shared" ref="L76:L110" si="9">+D76-H76</f>
        <v>-478411.65999999992</v>
      </c>
      <c r="M76" s="4"/>
      <c r="N76" s="12">
        <f t="shared" ref="N76:N110" si="10">IF(H76=0,0,L76/H76)</f>
        <v>-0.38272779708881161</v>
      </c>
      <c r="O76" s="10"/>
      <c r="P76" s="4">
        <f>SUM(OSRRefP16x_0)</f>
        <v>2506216.7700000005</v>
      </c>
      <c r="Q76" s="4"/>
      <c r="R76" s="12">
        <f t="shared" ref="R76:R110" si="11">IF(P$12=0,0,P76/P$12)</f>
        <v>0.64635888901899496</v>
      </c>
      <c r="S76" s="4"/>
      <c r="T76" s="4">
        <f>SUM(OSRRefT16x_0)</f>
        <v>4063096.9999999995</v>
      </c>
      <c r="U76" s="4"/>
      <c r="V76" s="12">
        <f t="shared" ref="V76:V110" si="12">IF(T$12=0,0,T76/T$12)</f>
        <v>0.61174111396857833</v>
      </c>
      <c r="W76" s="4"/>
      <c r="X76" s="4">
        <f t="shared" ref="X76:X110" si="13">+P76-T76</f>
        <v>-1556880.2299999991</v>
      </c>
      <c r="Y76" s="4"/>
      <c r="Z76" s="12">
        <f t="shared" ref="Z76:Z110" si="14">IF(T76=0,0,X76/T76)</f>
        <v>-0.38317574746554151</v>
      </c>
    </row>
    <row r="77" spans="1:26" s="24" customFormat="1" hidden="1" outlineLevel="1" x14ac:dyDescent="0.35">
      <c r="A77" s="51"/>
      <c r="B77" s="11" t="str">
        <f>CONCATENATE("          ", "5000", " - ", "PURCHASES @ COST")</f>
        <v xml:space="preserve">          5000 - PURCHASES @ COST</v>
      </c>
      <c r="C77" s="11"/>
      <c r="D77" s="2"/>
      <c r="E77" s="2"/>
      <c r="F77" s="22">
        <f t="shared" si="7"/>
        <v>0</v>
      </c>
      <c r="G77" s="2"/>
      <c r="H77" s="2">
        <v>1250005</v>
      </c>
      <c r="I77" s="2"/>
      <c r="J77" s="22">
        <f t="shared" si="8"/>
        <v>0.64754617244759038</v>
      </c>
      <c r="K77" s="2"/>
      <c r="L77" s="2">
        <f t="shared" si="9"/>
        <v>-1250005</v>
      </c>
      <c r="M77" s="2"/>
      <c r="N77" s="22">
        <f t="shared" si="10"/>
        <v>-1</v>
      </c>
      <c r="O77" s="11"/>
      <c r="P77" s="2"/>
      <c r="Q77" s="2"/>
      <c r="R77" s="22">
        <f t="shared" si="11"/>
        <v>0</v>
      </c>
      <c r="S77" s="2"/>
      <c r="T77" s="2">
        <v>4063096.9999999995</v>
      </c>
      <c r="U77" s="2"/>
      <c r="V77" s="22">
        <f t="shared" si="12"/>
        <v>0.61174111396857833</v>
      </c>
      <c r="W77" s="2"/>
      <c r="X77" s="2">
        <f t="shared" si="13"/>
        <v>-4063096.9999999995</v>
      </c>
      <c r="Y77" s="2"/>
      <c r="Z77" s="22">
        <f t="shared" si="14"/>
        <v>-1</v>
      </c>
    </row>
    <row r="78" spans="1:26" s="24" customFormat="1" hidden="1" outlineLevel="1" x14ac:dyDescent="0.35">
      <c r="A78" s="51"/>
      <c r="B78" s="11" t="str">
        <f>CONCATENATE("          ", "5001", " - ", "PURCHASES @ COST-NEW TEXT")</f>
        <v xml:space="preserve">          5001 - PURCHASES @ COST-NEW TEXT</v>
      </c>
      <c r="C78" s="11"/>
      <c r="D78" s="2">
        <v>381096.17</v>
      </c>
      <c r="E78" s="2"/>
      <c r="F78" s="22">
        <f t="shared" si="7"/>
        <v>0.32328511914160396</v>
      </c>
      <c r="G78" s="2"/>
      <c r="H78" s="2"/>
      <c r="I78" s="2"/>
      <c r="J78" s="22">
        <f t="shared" si="8"/>
        <v>0</v>
      </c>
      <c r="K78" s="2"/>
      <c r="L78" s="2">
        <f t="shared" si="9"/>
        <v>381096.17</v>
      </c>
      <c r="M78" s="2"/>
      <c r="N78" s="22">
        <f t="shared" si="10"/>
        <v>0</v>
      </c>
      <c r="O78" s="11"/>
      <c r="P78" s="2">
        <v>1659009.21</v>
      </c>
      <c r="Q78" s="2"/>
      <c r="R78" s="22">
        <f t="shared" si="11"/>
        <v>0.42786217165400275</v>
      </c>
      <c r="S78" s="2"/>
      <c r="T78" s="2"/>
      <c r="U78" s="2"/>
      <c r="V78" s="22">
        <f t="shared" si="12"/>
        <v>0</v>
      </c>
      <c r="W78" s="2"/>
      <c r="X78" s="2">
        <f t="shared" si="13"/>
        <v>1659009.21</v>
      </c>
      <c r="Y78" s="2"/>
      <c r="Z78" s="22">
        <f t="shared" si="14"/>
        <v>0</v>
      </c>
    </row>
    <row r="79" spans="1:26" s="24" customFormat="1" hidden="1" outlineLevel="1" x14ac:dyDescent="0.35">
      <c r="A79" s="51"/>
      <c r="B79" s="11" t="str">
        <f>CONCATENATE("          ", "5002", " - ", "PURCHASES @ COST-USED TEXT")</f>
        <v xml:space="preserve">          5002 - PURCHASES @ COST-USED TEXT</v>
      </c>
      <c r="C79" s="11"/>
      <c r="D79" s="2">
        <v>95863.360000000001</v>
      </c>
      <c r="E79" s="2"/>
      <c r="F79" s="22">
        <f t="shared" si="7"/>
        <v>8.1321199735264915E-2</v>
      </c>
      <c r="G79" s="2"/>
      <c r="H79" s="2"/>
      <c r="I79" s="2"/>
      <c r="J79" s="22">
        <f t="shared" si="8"/>
        <v>0</v>
      </c>
      <c r="K79" s="2"/>
      <c r="L79" s="2">
        <f t="shared" si="9"/>
        <v>95863.360000000001</v>
      </c>
      <c r="M79" s="2"/>
      <c r="N79" s="22">
        <f t="shared" si="10"/>
        <v>0</v>
      </c>
      <c r="O79" s="11"/>
      <c r="P79" s="2">
        <v>260336.28</v>
      </c>
      <c r="Q79" s="2"/>
      <c r="R79" s="22">
        <f t="shared" si="11"/>
        <v>6.7141306660452191E-2</v>
      </c>
      <c r="S79" s="2"/>
      <c r="T79" s="2"/>
      <c r="U79" s="2"/>
      <c r="V79" s="22">
        <f t="shared" si="12"/>
        <v>0</v>
      </c>
      <c r="W79" s="2"/>
      <c r="X79" s="2">
        <f t="shared" si="13"/>
        <v>260336.28</v>
      </c>
      <c r="Y79" s="2"/>
      <c r="Z79" s="22">
        <f t="shared" si="14"/>
        <v>0</v>
      </c>
    </row>
    <row r="80" spans="1:26" s="24" customFormat="1" hidden="1" outlineLevel="1" x14ac:dyDescent="0.35">
      <c r="A80" s="51"/>
      <c r="B80" s="11" t="str">
        <f>CONCATENATE("          ", "5003", " - ", "PURCHASES @ COST-RENTAL TEXT")</f>
        <v xml:space="preserve">          5003 - PURCHASES @ COST-RENTAL TEXT</v>
      </c>
      <c r="C80" s="11"/>
      <c r="D80" s="2"/>
      <c r="E80" s="2"/>
      <c r="F80" s="22">
        <f t="shared" si="7"/>
        <v>0</v>
      </c>
      <c r="G80" s="2"/>
      <c r="H80" s="2"/>
      <c r="I80" s="2"/>
      <c r="J80" s="22">
        <f t="shared" si="8"/>
        <v>0</v>
      </c>
      <c r="K80" s="2"/>
      <c r="L80" s="2">
        <f t="shared" si="9"/>
        <v>0</v>
      </c>
      <c r="M80" s="2"/>
      <c r="N80" s="22">
        <f t="shared" si="10"/>
        <v>0</v>
      </c>
      <c r="O80" s="11"/>
      <c r="P80" s="2">
        <v>32.520000000000003</v>
      </c>
      <c r="Q80" s="2"/>
      <c r="R80" s="22">
        <f t="shared" si="11"/>
        <v>8.3869804569609171E-6</v>
      </c>
      <c r="S80" s="2"/>
      <c r="T80" s="2"/>
      <c r="U80" s="2"/>
      <c r="V80" s="22">
        <f t="shared" si="12"/>
        <v>0</v>
      </c>
      <c r="W80" s="2"/>
      <c r="X80" s="2">
        <f t="shared" si="13"/>
        <v>32.520000000000003</v>
      </c>
      <c r="Y80" s="2"/>
      <c r="Z80" s="22">
        <f t="shared" si="14"/>
        <v>0</v>
      </c>
    </row>
    <row r="81" spans="1:26" s="24" customFormat="1" hidden="1" outlineLevel="1" x14ac:dyDescent="0.35">
      <c r="A81" s="51"/>
      <c r="B81" s="11" t="str">
        <f>CONCATENATE("          ", "5004", " - ", "PURCHASES @ COST-DIGITAL TEXT")</f>
        <v xml:space="preserve">          5004 - PURCHASES @ COST-DIGITAL TEXT</v>
      </c>
      <c r="C81" s="11"/>
      <c r="D81" s="2">
        <v>18888.449999999997</v>
      </c>
      <c r="E81" s="2"/>
      <c r="F81" s="22">
        <f t="shared" si="7"/>
        <v>1.6023133501053628E-2</v>
      </c>
      <c r="G81" s="2"/>
      <c r="H81" s="2"/>
      <c r="I81" s="2"/>
      <c r="J81" s="22">
        <f t="shared" si="8"/>
        <v>0</v>
      </c>
      <c r="K81" s="2"/>
      <c r="L81" s="2">
        <f t="shared" si="9"/>
        <v>18888.449999999997</v>
      </c>
      <c r="M81" s="2"/>
      <c r="N81" s="22">
        <f t="shared" si="10"/>
        <v>0</v>
      </c>
      <c r="O81" s="11"/>
      <c r="P81" s="2">
        <v>216726.56</v>
      </c>
      <c r="Q81" s="2"/>
      <c r="R81" s="22">
        <f t="shared" si="11"/>
        <v>5.5894262706776374E-2</v>
      </c>
      <c r="S81" s="2"/>
      <c r="T81" s="2"/>
      <c r="U81" s="2"/>
      <c r="V81" s="22">
        <f t="shared" si="12"/>
        <v>0</v>
      </c>
      <c r="W81" s="2"/>
      <c r="X81" s="2">
        <f t="shared" si="13"/>
        <v>216726.56</v>
      </c>
      <c r="Y81" s="2"/>
      <c r="Z81" s="22">
        <f t="shared" si="14"/>
        <v>0</v>
      </c>
    </row>
    <row r="82" spans="1:26" s="24" customFormat="1" hidden="1" outlineLevel="1" x14ac:dyDescent="0.35">
      <c r="A82" s="51"/>
      <c r="B82" s="11" t="str">
        <f>CONCATENATE("          ", "5011", " - ", "PURCHASES @ COST-NO VALUE TEXT")</f>
        <v xml:space="preserve">          5011 - PURCHASES @ COST-NO VALUE TEXT</v>
      </c>
      <c r="C82" s="11"/>
      <c r="D82" s="2"/>
      <c r="E82" s="2"/>
      <c r="F82" s="22">
        <f t="shared" si="7"/>
        <v>0</v>
      </c>
      <c r="G82" s="2"/>
      <c r="H82" s="2"/>
      <c r="I82" s="2"/>
      <c r="J82" s="22">
        <f t="shared" si="8"/>
        <v>0</v>
      </c>
      <c r="K82" s="2"/>
      <c r="L82" s="2">
        <f t="shared" si="9"/>
        <v>0</v>
      </c>
      <c r="M82" s="2"/>
      <c r="N82" s="22">
        <f t="shared" si="10"/>
        <v>0</v>
      </c>
      <c r="O82" s="11"/>
      <c r="P82" s="2">
        <v>67.17</v>
      </c>
      <c r="Q82" s="2"/>
      <c r="R82" s="22">
        <f t="shared" si="11"/>
        <v>1.7323292659719091E-5</v>
      </c>
      <c r="S82" s="2"/>
      <c r="T82" s="2"/>
      <c r="U82" s="2"/>
      <c r="V82" s="22">
        <f t="shared" si="12"/>
        <v>0</v>
      </c>
      <c r="W82" s="2"/>
      <c r="X82" s="2">
        <f t="shared" si="13"/>
        <v>67.17</v>
      </c>
      <c r="Y82" s="2"/>
      <c r="Z82" s="22">
        <f t="shared" si="14"/>
        <v>0</v>
      </c>
    </row>
    <row r="83" spans="1:26" s="24" customFormat="1" hidden="1" outlineLevel="1" x14ac:dyDescent="0.35">
      <c r="A83" s="51"/>
      <c r="B83" s="11" t="str">
        <f>CONCATENATE("          ", "5013", " - ", "PURCHASES @ COST-TRADE BOOKS")</f>
        <v xml:space="preserve">          5013 - PURCHASES @ COST-TRADE BOOKS</v>
      </c>
      <c r="C83" s="11"/>
      <c r="D83" s="2">
        <v>3531.13</v>
      </c>
      <c r="E83" s="2"/>
      <c r="F83" s="22">
        <f t="shared" si="7"/>
        <v>2.9954690511701867E-3</v>
      </c>
      <c r="G83" s="2"/>
      <c r="H83" s="2"/>
      <c r="I83" s="2"/>
      <c r="J83" s="22">
        <f t="shared" si="8"/>
        <v>0</v>
      </c>
      <c r="K83" s="2"/>
      <c r="L83" s="2">
        <f t="shared" si="9"/>
        <v>3531.13</v>
      </c>
      <c r="M83" s="2"/>
      <c r="N83" s="22">
        <f t="shared" si="10"/>
        <v>0</v>
      </c>
      <c r="O83" s="11"/>
      <c r="P83" s="2">
        <v>5656.98</v>
      </c>
      <c r="Q83" s="2"/>
      <c r="R83" s="22">
        <f t="shared" si="11"/>
        <v>1.4589477461690887E-3</v>
      </c>
      <c r="S83" s="2"/>
      <c r="T83" s="2"/>
      <c r="U83" s="2"/>
      <c r="V83" s="22">
        <f t="shared" si="12"/>
        <v>0</v>
      </c>
      <c r="W83" s="2"/>
      <c r="X83" s="2">
        <f t="shared" si="13"/>
        <v>5656.98</v>
      </c>
      <c r="Y83" s="2"/>
      <c r="Z83" s="22">
        <f t="shared" si="14"/>
        <v>0</v>
      </c>
    </row>
    <row r="84" spans="1:26" s="24" customFormat="1" hidden="1" outlineLevel="1" x14ac:dyDescent="0.35">
      <c r="A84" s="51"/>
      <c r="B84" s="11" t="str">
        <f>CONCATENATE("          ", "5014", " - ", "PURCHASES @ COST-REMAINDERS")</f>
        <v xml:space="preserve">          5014 - PURCHASES @ COST-REMAINDERS</v>
      </c>
      <c r="C84" s="11"/>
      <c r="D84" s="2"/>
      <c r="E84" s="2"/>
      <c r="F84" s="22">
        <f t="shared" si="7"/>
        <v>0</v>
      </c>
      <c r="G84" s="2"/>
      <c r="H84" s="2"/>
      <c r="I84" s="2"/>
      <c r="J84" s="22">
        <f t="shared" si="8"/>
        <v>0</v>
      </c>
      <c r="K84" s="2"/>
      <c r="L84" s="2">
        <f t="shared" si="9"/>
        <v>0</v>
      </c>
      <c r="M84" s="2"/>
      <c r="N84" s="22">
        <f t="shared" si="10"/>
        <v>0</v>
      </c>
      <c r="O84" s="11"/>
      <c r="P84" s="2">
        <v>90.41</v>
      </c>
      <c r="Q84" s="2"/>
      <c r="R84" s="22">
        <f t="shared" si="11"/>
        <v>2.3316940440154874E-5</v>
      </c>
      <c r="S84" s="2"/>
      <c r="T84" s="2"/>
      <c r="U84" s="2"/>
      <c r="V84" s="22">
        <f t="shared" si="12"/>
        <v>0</v>
      </c>
      <c r="W84" s="2"/>
      <c r="X84" s="2">
        <f t="shared" si="13"/>
        <v>90.41</v>
      </c>
      <c r="Y84" s="2"/>
      <c r="Z84" s="22">
        <f t="shared" si="14"/>
        <v>0</v>
      </c>
    </row>
    <row r="85" spans="1:26" s="24" customFormat="1" hidden="1" outlineLevel="1" x14ac:dyDescent="0.35">
      <c r="A85" s="51"/>
      <c r="B85" s="11" t="str">
        <f>CONCATENATE("          ", "5018", " - ", "PURCHASES @ COST-STUDY GUIDES")</f>
        <v xml:space="preserve">          5018 - PURCHASES @ COST-STUDY GUIDES</v>
      </c>
      <c r="C85" s="11"/>
      <c r="D85" s="2">
        <v>416</v>
      </c>
      <c r="E85" s="2"/>
      <c r="F85" s="22">
        <f t="shared" si="7"/>
        <v>3.5289415152849019E-4</v>
      </c>
      <c r="G85" s="2"/>
      <c r="H85" s="2"/>
      <c r="I85" s="2"/>
      <c r="J85" s="22">
        <f t="shared" si="8"/>
        <v>0</v>
      </c>
      <c r="K85" s="2"/>
      <c r="L85" s="2">
        <f t="shared" si="9"/>
        <v>416</v>
      </c>
      <c r="M85" s="2"/>
      <c r="N85" s="22">
        <f t="shared" si="10"/>
        <v>0</v>
      </c>
      <c r="O85" s="11"/>
      <c r="P85" s="2">
        <v>522.34</v>
      </c>
      <c r="Q85" s="2"/>
      <c r="R85" s="22">
        <f t="shared" si="11"/>
        <v>1.3471264981208383E-4</v>
      </c>
      <c r="S85" s="2"/>
      <c r="T85" s="2"/>
      <c r="U85" s="2"/>
      <c r="V85" s="22">
        <f t="shared" si="12"/>
        <v>0</v>
      </c>
      <c r="W85" s="2"/>
      <c r="X85" s="2">
        <f t="shared" si="13"/>
        <v>522.34</v>
      </c>
      <c r="Y85" s="2"/>
      <c r="Z85" s="22">
        <f t="shared" si="14"/>
        <v>0</v>
      </c>
    </row>
    <row r="86" spans="1:26" s="24" customFormat="1" hidden="1" outlineLevel="1" x14ac:dyDescent="0.35">
      <c r="A86" s="51"/>
      <c r="B86" s="11" t="str">
        <f>CONCATENATE("          ", "5025", " - ", "PURCHASES @ COST-TEST FORMS")</f>
        <v xml:space="preserve">          5025 - PURCHASES @ COST-TEST FORMS</v>
      </c>
      <c r="C86" s="11"/>
      <c r="D86" s="2"/>
      <c r="E86" s="2"/>
      <c r="F86" s="22">
        <f t="shared" si="7"/>
        <v>0</v>
      </c>
      <c r="G86" s="2"/>
      <c r="H86" s="2"/>
      <c r="I86" s="2"/>
      <c r="J86" s="22">
        <f t="shared" si="8"/>
        <v>0</v>
      </c>
      <c r="K86" s="2"/>
      <c r="L86" s="2">
        <f t="shared" si="9"/>
        <v>0</v>
      </c>
      <c r="M86" s="2"/>
      <c r="N86" s="22">
        <f t="shared" si="10"/>
        <v>0</v>
      </c>
      <c r="O86" s="11"/>
      <c r="P86" s="2">
        <v>599.29</v>
      </c>
      <c r="Q86" s="2"/>
      <c r="R86" s="22">
        <f t="shared" si="11"/>
        <v>1.5455822626236494E-4</v>
      </c>
      <c r="S86" s="2"/>
      <c r="T86" s="2"/>
      <c r="U86" s="2"/>
      <c r="V86" s="22">
        <f t="shared" si="12"/>
        <v>0</v>
      </c>
      <c r="W86" s="2"/>
      <c r="X86" s="2">
        <f t="shared" si="13"/>
        <v>599.29</v>
      </c>
      <c r="Y86" s="2"/>
      <c r="Z86" s="22">
        <f t="shared" si="14"/>
        <v>0</v>
      </c>
    </row>
    <row r="87" spans="1:26" s="24" customFormat="1" hidden="1" outlineLevel="1" x14ac:dyDescent="0.35">
      <c r="A87" s="51"/>
      <c r="B87" s="11" t="str">
        <f>CONCATENATE("          ", "5026", " - ", "PURCHASES @ COST-WRITING INSTR")</f>
        <v xml:space="preserve">          5026 - PURCHASES @ COST-WRITING INSTR</v>
      </c>
      <c r="C87" s="11"/>
      <c r="D87" s="2"/>
      <c r="E87" s="2"/>
      <c r="F87" s="22">
        <f t="shared" si="7"/>
        <v>0</v>
      </c>
      <c r="G87" s="2"/>
      <c r="H87" s="2"/>
      <c r="I87" s="2"/>
      <c r="J87" s="22">
        <f t="shared" si="8"/>
        <v>0</v>
      </c>
      <c r="K87" s="2"/>
      <c r="L87" s="2">
        <f t="shared" si="9"/>
        <v>0</v>
      </c>
      <c r="M87" s="2"/>
      <c r="N87" s="22">
        <f t="shared" si="10"/>
        <v>0</v>
      </c>
      <c r="O87" s="11"/>
      <c r="P87" s="2">
        <v>374.91</v>
      </c>
      <c r="Q87" s="2"/>
      <c r="R87" s="22">
        <f t="shared" si="11"/>
        <v>9.6690124327159215E-5</v>
      </c>
      <c r="S87" s="2"/>
      <c r="T87" s="2"/>
      <c r="U87" s="2"/>
      <c r="V87" s="22">
        <f t="shared" si="12"/>
        <v>0</v>
      </c>
      <c r="W87" s="2"/>
      <c r="X87" s="2">
        <f t="shared" si="13"/>
        <v>374.91</v>
      </c>
      <c r="Y87" s="2"/>
      <c r="Z87" s="22">
        <f t="shared" si="14"/>
        <v>0</v>
      </c>
    </row>
    <row r="88" spans="1:26" s="24" customFormat="1" hidden="1" outlineLevel="1" x14ac:dyDescent="0.35">
      <c r="A88" s="51"/>
      <c r="B88" s="11" t="str">
        <f>CONCATENATE("          ", "5027", " - ", "PURCHASES @ COST-SCHOOL SUPPLI")</f>
        <v xml:space="preserve">          5027 - PURCHASES @ COST-SCHOOL SUPPLI</v>
      </c>
      <c r="C88" s="11"/>
      <c r="D88" s="2"/>
      <c r="E88" s="2"/>
      <c r="F88" s="22">
        <f t="shared" si="7"/>
        <v>0</v>
      </c>
      <c r="G88" s="2"/>
      <c r="H88" s="2"/>
      <c r="I88" s="2"/>
      <c r="J88" s="22">
        <f t="shared" si="8"/>
        <v>0</v>
      </c>
      <c r="K88" s="2"/>
      <c r="L88" s="2">
        <f t="shared" si="9"/>
        <v>0</v>
      </c>
      <c r="M88" s="2"/>
      <c r="N88" s="22">
        <f t="shared" si="10"/>
        <v>0</v>
      </c>
      <c r="O88" s="11"/>
      <c r="P88" s="2">
        <v>19071.350000000002</v>
      </c>
      <c r="Q88" s="2"/>
      <c r="R88" s="22">
        <f t="shared" si="11"/>
        <v>4.9185436573758179E-3</v>
      </c>
      <c r="S88" s="2"/>
      <c r="T88" s="2"/>
      <c r="U88" s="2"/>
      <c r="V88" s="22">
        <f t="shared" si="12"/>
        <v>0</v>
      </c>
      <c r="W88" s="2"/>
      <c r="X88" s="2">
        <f t="shared" si="13"/>
        <v>19071.350000000002</v>
      </c>
      <c r="Y88" s="2"/>
      <c r="Z88" s="22">
        <f t="shared" si="14"/>
        <v>0</v>
      </c>
    </row>
    <row r="89" spans="1:26" s="24" customFormat="1" hidden="1" outlineLevel="1" x14ac:dyDescent="0.35">
      <c r="A89" s="51"/>
      <c r="B89" s="11" t="str">
        <f>CONCATENATE("          ", "5028", " - ", "PURCHASES @ COST-ART/TECH")</f>
        <v xml:space="preserve">          5028 - PURCHASES @ COST-ART/TECH</v>
      </c>
      <c r="C89" s="11"/>
      <c r="D89" s="2"/>
      <c r="E89" s="2"/>
      <c r="F89" s="22">
        <f t="shared" si="7"/>
        <v>0</v>
      </c>
      <c r="G89" s="2"/>
      <c r="H89" s="2"/>
      <c r="I89" s="2"/>
      <c r="J89" s="22">
        <f t="shared" si="8"/>
        <v>0</v>
      </c>
      <c r="K89" s="2"/>
      <c r="L89" s="2">
        <f t="shared" si="9"/>
        <v>0</v>
      </c>
      <c r="M89" s="2"/>
      <c r="N89" s="22">
        <f t="shared" si="10"/>
        <v>0</v>
      </c>
      <c r="O89" s="11"/>
      <c r="P89" s="2">
        <v>41358.449999999997</v>
      </c>
      <c r="Q89" s="2"/>
      <c r="R89" s="22">
        <f t="shared" si="11"/>
        <v>1.066643640468005E-2</v>
      </c>
      <c r="S89" s="2"/>
      <c r="T89" s="2"/>
      <c r="U89" s="2"/>
      <c r="V89" s="22">
        <f t="shared" si="12"/>
        <v>0</v>
      </c>
      <c r="W89" s="2"/>
      <c r="X89" s="2">
        <f t="shared" si="13"/>
        <v>41358.449999999997</v>
      </c>
      <c r="Y89" s="2"/>
      <c r="Z89" s="22">
        <f t="shared" si="14"/>
        <v>0</v>
      </c>
    </row>
    <row r="90" spans="1:26" s="24" customFormat="1" hidden="1" outlineLevel="1" x14ac:dyDescent="0.35">
      <c r="A90" s="51"/>
      <c r="B90" s="11" t="str">
        <f>CONCATENATE("          ", "5031", " - ", "PURCHASES @ COST-FOOD")</f>
        <v xml:space="preserve">          5031 - PURCHASES @ COST-FOOD</v>
      </c>
      <c r="C90" s="11"/>
      <c r="D90" s="2">
        <v>239.16</v>
      </c>
      <c r="E90" s="2"/>
      <c r="F90" s="22">
        <f t="shared" si="7"/>
        <v>2.0288020499892719E-4</v>
      </c>
      <c r="G90" s="2"/>
      <c r="H90" s="2"/>
      <c r="I90" s="2"/>
      <c r="J90" s="22">
        <f t="shared" si="8"/>
        <v>0</v>
      </c>
      <c r="K90" s="2"/>
      <c r="L90" s="2">
        <f t="shared" si="9"/>
        <v>239.16</v>
      </c>
      <c r="M90" s="2"/>
      <c r="N90" s="22">
        <f t="shared" si="10"/>
        <v>0</v>
      </c>
      <c r="O90" s="11"/>
      <c r="P90" s="2">
        <v>7514.26</v>
      </c>
      <c r="Q90" s="2"/>
      <c r="R90" s="22">
        <f t="shared" si="11"/>
        <v>1.9379443963260499E-3</v>
      </c>
      <c r="S90" s="2"/>
      <c r="T90" s="2"/>
      <c r="U90" s="2"/>
      <c r="V90" s="22">
        <f t="shared" si="12"/>
        <v>0</v>
      </c>
      <c r="W90" s="2"/>
      <c r="X90" s="2">
        <f t="shared" si="13"/>
        <v>7514.26</v>
      </c>
      <c r="Y90" s="2"/>
      <c r="Z90" s="22">
        <f t="shared" si="14"/>
        <v>0</v>
      </c>
    </row>
    <row r="91" spans="1:26" s="24" customFormat="1" hidden="1" outlineLevel="1" x14ac:dyDescent="0.35">
      <c r="A91" s="51"/>
      <c r="B91" s="11" t="str">
        <f>CONCATENATE("          ", "5040", " - ", "PURCHASES @ COST-LOGO CLOTHING")</f>
        <v xml:space="preserve">          5040 - PURCHASES @ COST-LOGO CLOTHING</v>
      </c>
      <c r="C91" s="11"/>
      <c r="D91" s="2">
        <v>34900.79</v>
      </c>
      <c r="E91" s="2"/>
      <c r="F91" s="22">
        <f t="shared" si="7"/>
        <v>2.9606453545009653E-2</v>
      </c>
      <c r="G91" s="2"/>
      <c r="H91" s="2"/>
      <c r="I91" s="2"/>
      <c r="J91" s="22">
        <f t="shared" si="8"/>
        <v>0</v>
      </c>
      <c r="K91" s="2"/>
      <c r="L91" s="2">
        <f t="shared" si="9"/>
        <v>34900.79</v>
      </c>
      <c r="M91" s="2"/>
      <c r="N91" s="22">
        <f t="shared" si="10"/>
        <v>0</v>
      </c>
      <c r="O91" s="11"/>
      <c r="P91" s="2">
        <v>167371.19</v>
      </c>
      <c r="Q91" s="2"/>
      <c r="R91" s="22">
        <f t="shared" si="11"/>
        <v>4.3165402816368159E-2</v>
      </c>
      <c r="S91" s="2"/>
      <c r="T91" s="2"/>
      <c r="U91" s="2"/>
      <c r="V91" s="22">
        <f t="shared" si="12"/>
        <v>0</v>
      </c>
      <c r="W91" s="2"/>
      <c r="X91" s="2">
        <f t="shared" si="13"/>
        <v>167371.19</v>
      </c>
      <c r="Y91" s="2"/>
      <c r="Z91" s="22">
        <f t="shared" si="14"/>
        <v>0</v>
      </c>
    </row>
    <row r="92" spans="1:26" s="24" customFormat="1" hidden="1" outlineLevel="1" x14ac:dyDescent="0.35">
      <c r="A92" s="51"/>
      <c r="B92" s="11" t="str">
        <f>CONCATENATE("          ", "5041", " - ", "PURCHASES @ COST-LOGO GIFTS")</f>
        <v xml:space="preserve">          5041 - PURCHASES @ COST-LOGO GIFTS</v>
      </c>
      <c r="C92" s="11"/>
      <c r="D92" s="2">
        <v>8769.24</v>
      </c>
      <c r="E92" s="2"/>
      <c r="F92" s="22">
        <f t="shared" si="7"/>
        <v>7.4389747820906181E-3</v>
      </c>
      <c r="G92" s="2"/>
      <c r="H92" s="2"/>
      <c r="I92" s="2"/>
      <c r="J92" s="22">
        <f t="shared" si="8"/>
        <v>0</v>
      </c>
      <c r="K92" s="2"/>
      <c r="L92" s="2">
        <f t="shared" si="9"/>
        <v>8769.24</v>
      </c>
      <c r="M92" s="2"/>
      <c r="N92" s="22">
        <f t="shared" si="10"/>
        <v>0</v>
      </c>
      <c r="O92" s="11"/>
      <c r="P92" s="2">
        <v>40971</v>
      </c>
      <c r="Q92" s="2"/>
      <c r="R92" s="22">
        <f t="shared" si="11"/>
        <v>1.0566512186412845E-2</v>
      </c>
      <c r="S92" s="2"/>
      <c r="T92" s="2"/>
      <c r="U92" s="2"/>
      <c r="V92" s="22">
        <f t="shared" si="12"/>
        <v>0</v>
      </c>
      <c r="W92" s="2"/>
      <c r="X92" s="2">
        <f t="shared" si="13"/>
        <v>40971</v>
      </c>
      <c r="Y92" s="2"/>
      <c r="Z92" s="22">
        <f t="shared" si="14"/>
        <v>0</v>
      </c>
    </row>
    <row r="93" spans="1:26" s="24" customFormat="1" hidden="1" outlineLevel="1" x14ac:dyDescent="0.35">
      <c r="A93" s="51"/>
      <c r="B93" s="11" t="str">
        <f>CONCATENATE("          ", "5042", " - ", "PURCHASES @ COST-EVERYDAY GIFT")</f>
        <v xml:space="preserve">          5042 - PURCHASES @ COST-EVERYDAY GIFT</v>
      </c>
      <c r="C93" s="11"/>
      <c r="D93" s="2">
        <v>6760.7</v>
      </c>
      <c r="E93" s="2"/>
      <c r="F93" s="22">
        <f t="shared" si="7"/>
        <v>5.7351237746121721E-3</v>
      </c>
      <c r="G93" s="2"/>
      <c r="H93" s="2"/>
      <c r="I93" s="2"/>
      <c r="J93" s="22">
        <f t="shared" si="8"/>
        <v>0</v>
      </c>
      <c r="K93" s="2"/>
      <c r="L93" s="2">
        <f t="shared" si="9"/>
        <v>6760.7</v>
      </c>
      <c r="M93" s="2"/>
      <c r="N93" s="22">
        <f t="shared" si="10"/>
        <v>0</v>
      </c>
      <c r="O93" s="11"/>
      <c r="P93" s="2">
        <v>17821.98</v>
      </c>
      <c r="Q93" s="2"/>
      <c r="R93" s="22">
        <f t="shared" si="11"/>
        <v>4.5963283506872182E-3</v>
      </c>
      <c r="S93" s="2"/>
      <c r="T93" s="2"/>
      <c r="U93" s="2"/>
      <c r="V93" s="22">
        <f t="shared" si="12"/>
        <v>0</v>
      </c>
      <c r="W93" s="2"/>
      <c r="X93" s="2">
        <f t="shared" si="13"/>
        <v>17821.98</v>
      </c>
      <c r="Y93" s="2"/>
      <c r="Z93" s="22">
        <f t="shared" si="14"/>
        <v>0</v>
      </c>
    </row>
    <row r="94" spans="1:26" s="24" customFormat="1" hidden="1" outlineLevel="1" x14ac:dyDescent="0.35">
      <c r="A94" s="51"/>
      <c r="B94" s="11" t="str">
        <f>CONCATENATE("          ", "5043", " - ", "PURCHASES @ COST-CARDS")</f>
        <v xml:space="preserve">          5043 - PURCHASES @ COST-CARDS</v>
      </c>
      <c r="C94" s="11"/>
      <c r="D94" s="2">
        <v>8743.1</v>
      </c>
      <c r="E94" s="2"/>
      <c r="F94" s="22">
        <f t="shared" si="7"/>
        <v>7.4168001351652465E-3</v>
      </c>
      <c r="G94" s="2"/>
      <c r="H94" s="2"/>
      <c r="I94" s="2"/>
      <c r="J94" s="22">
        <f t="shared" si="8"/>
        <v>0</v>
      </c>
      <c r="K94" s="2"/>
      <c r="L94" s="2">
        <f t="shared" si="9"/>
        <v>8743.1</v>
      </c>
      <c r="M94" s="2"/>
      <c r="N94" s="22">
        <f t="shared" si="10"/>
        <v>0</v>
      </c>
      <c r="O94" s="11"/>
      <c r="P94" s="2">
        <v>55364.33</v>
      </c>
      <c r="Q94" s="2"/>
      <c r="R94" s="22">
        <f t="shared" si="11"/>
        <v>1.427858406281473E-2</v>
      </c>
      <c r="S94" s="2"/>
      <c r="T94" s="2"/>
      <c r="U94" s="2"/>
      <c r="V94" s="22">
        <f t="shared" si="12"/>
        <v>0</v>
      </c>
      <c r="W94" s="2"/>
      <c r="X94" s="2">
        <f t="shared" si="13"/>
        <v>55364.33</v>
      </c>
      <c r="Y94" s="2"/>
      <c r="Z94" s="22">
        <f t="shared" si="14"/>
        <v>0</v>
      </c>
    </row>
    <row r="95" spans="1:26" s="24" customFormat="1" hidden="1" outlineLevel="1" x14ac:dyDescent="0.35">
      <c r="A95" s="51"/>
      <c r="B95" s="11" t="str">
        <f>CONCATENATE("          ", "5044", " - ", "PURCHASES @ COST-ACCESSORIES")</f>
        <v xml:space="preserve">          5044 - PURCHASES @ COST-ACCESSORIES</v>
      </c>
      <c r="C95" s="11"/>
      <c r="D95" s="2">
        <v>782.5</v>
      </c>
      <c r="E95" s="2"/>
      <c r="F95" s="22">
        <f t="shared" si="7"/>
        <v>6.6379729223808555E-4</v>
      </c>
      <c r="G95" s="2"/>
      <c r="H95" s="2"/>
      <c r="I95" s="2"/>
      <c r="J95" s="22">
        <f t="shared" si="8"/>
        <v>0</v>
      </c>
      <c r="K95" s="2"/>
      <c r="L95" s="2">
        <f t="shared" si="9"/>
        <v>782.5</v>
      </c>
      <c r="M95" s="2"/>
      <c r="N95" s="22">
        <f t="shared" si="10"/>
        <v>0</v>
      </c>
      <c r="O95" s="11"/>
      <c r="P95" s="2">
        <v>1064.83</v>
      </c>
      <c r="Q95" s="2"/>
      <c r="R95" s="22">
        <f t="shared" si="11"/>
        <v>2.7462202951985523E-4</v>
      </c>
      <c r="S95" s="2"/>
      <c r="T95" s="2"/>
      <c r="U95" s="2"/>
      <c r="V95" s="22">
        <f t="shared" si="12"/>
        <v>0</v>
      </c>
      <c r="W95" s="2"/>
      <c r="X95" s="2">
        <f t="shared" si="13"/>
        <v>1064.83</v>
      </c>
      <c r="Y95" s="2"/>
      <c r="Z95" s="22">
        <f t="shared" si="14"/>
        <v>0</v>
      </c>
    </row>
    <row r="96" spans="1:26" s="24" customFormat="1" hidden="1" outlineLevel="1" x14ac:dyDescent="0.35">
      <c r="A96" s="51"/>
      <c r="B96" s="11" t="str">
        <f>CONCATENATE("          ", "5045", " - ", "PURCHASES @ COST-SPECIAL ORDER")</f>
        <v xml:space="preserve">          5045 - PURCHASES @ COST-SPECIAL ORDER</v>
      </c>
      <c r="C96" s="11"/>
      <c r="D96" s="2">
        <v>5855.38</v>
      </c>
      <c r="E96" s="2"/>
      <c r="F96" s="22">
        <f t="shared" si="7"/>
        <v>4.9671378773482955E-3</v>
      </c>
      <c r="G96" s="2"/>
      <c r="H96" s="2"/>
      <c r="I96" s="2"/>
      <c r="J96" s="22">
        <f t="shared" si="8"/>
        <v>0</v>
      </c>
      <c r="K96" s="2"/>
      <c r="L96" s="2">
        <f t="shared" si="9"/>
        <v>5855.38</v>
      </c>
      <c r="M96" s="2"/>
      <c r="N96" s="22">
        <f t="shared" si="10"/>
        <v>0</v>
      </c>
      <c r="O96" s="11"/>
      <c r="P96" s="2">
        <v>93464.38</v>
      </c>
      <c r="Q96" s="2"/>
      <c r="R96" s="22">
        <f t="shared" si="11"/>
        <v>2.4104671847539016E-2</v>
      </c>
      <c r="S96" s="2"/>
      <c r="T96" s="2"/>
      <c r="U96" s="2"/>
      <c r="V96" s="22">
        <f t="shared" si="12"/>
        <v>0</v>
      </c>
      <c r="W96" s="2"/>
      <c r="X96" s="2">
        <f t="shared" si="13"/>
        <v>93464.38</v>
      </c>
      <c r="Y96" s="2"/>
      <c r="Z96" s="22">
        <f t="shared" si="14"/>
        <v>0</v>
      </c>
    </row>
    <row r="97" spans="1:26" s="24" customFormat="1" hidden="1" outlineLevel="1" x14ac:dyDescent="0.35">
      <c r="A97" s="51"/>
      <c r="B97" s="11" t="str">
        <f>CONCATENATE("          ", "5200", " - ", "PURCHASES OFFSET")</f>
        <v xml:space="preserve">          5200 - PURCHASES OFFSET</v>
      </c>
      <c r="C97" s="11"/>
      <c r="D97" s="2">
        <v>-390760.97</v>
      </c>
      <c r="E97" s="2"/>
      <c r="F97" s="22">
        <f t="shared" si="7"/>
        <v>-0.33148380038124953</v>
      </c>
      <c r="G97" s="2"/>
      <c r="H97" s="2"/>
      <c r="I97" s="2"/>
      <c r="J97" s="22">
        <f t="shared" si="8"/>
        <v>0</v>
      </c>
      <c r="K97" s="2"/>
      <c r="L97" s="2">
        <f t="shared" si="9"/>
        <v>-390760.97</v>
      </c>
      <c r="M97" s="2"/>
      <c r="N97" s="22">
        <f t="shared" si="10"/>
        <v>0</v>
      </c>
      <c r="O97" s="11"/>
      <c r="P97" s="2">
        <v>-2135783.4</v>
      </c>
      <c r="Q97" s="2"/>
      <c r="R97" s="22">
        <f t="shared" si="11"/>
        <v>-0.55082329754309778</v>
      </c>
      <c r="S97" s="2"/>
      <c r="T97" s="2"/>
      <c r="U97" s="2"/>
      <c r="V97" s="22">
        <f t="shared" si="12"/>
        <v>0</v>
      </c>
      <c r="W97" s="2"/>
      <c r="X97" s="2">
        <f t="shared" si="13"/>
        <v>-2135783.4</v>
      </c>
      <c r="Y97" s="2"/>
      <c r="Z97" s="22">
        <f t="shared" si="14"/>
        <v>0</v>
      </c>
    </row>
    <row r="98" spans="1:26" s="24" customFormat="1" hidden="1" outlineLevel="1" x14ac:dyDescent="0.35">
      <c r="A98" s="51"/>
      <c r="B98" s="11" t="str">
        <f>CONCATENATE("          ", "5300", " - ", "COG$ OFFSET")</f>
        <v xml:space="preserve">          5300 - COG$ OFFSET</v>
      </c>
      <c r="C98" s="11"/>
      <c r="D98" s="2">
        <v>584457</v>
      </c>
      <c r="E98" s="2"/>
      <c r="F98" s="22">
        <f t="shared" si="7"/>
        <v>0.4957967719228048</v>
      </c>
      <c r="G98" s="2"/>
      <c r="H98" s="2"/>
      <c r="I98" s="2"/>
      <c r="J98" s="22">
        <f t="shared" si="8"/>
        <v>0</v>
      </c>
      <c r="K98" s="2"/>
      <c r="L98" s="2">
        <f t="shared" si="9"/>
        <v>584457</v>
      </c>
      <c r="M98" s="2"/>
      <c r="N98" s="22">
        <f t="shared" si="10"/>
        <v>0</v>
      </c>
      <c r="O98" s="11"/>
      <c r="P98" s="2">
        <v>1975590.0000000002</v>
      </c>
      <c r="Q98" s="2"/>
      <c r="R98" s="22">
        <f t="shared" si="11"/>
        <v>0.50950906276037577</v>
      </c>
      <c r="S98" s="2"/>
      <c r="T98" s="2"/>
      <c r="U98" s="2"/>
      <c r="V98" s="22">
        <f t="shared" si="12"/>
        <v>0</v>
      </c>
      <c r="W98" s="2"/>
      <c r="X98" s="2">
        <f t="shared" si="13"/>
        <v>1975590.0000000002</v>
      </c>
      <c r="Y98" s="2"/>
      <c r="Z98" s="22">
        <f t="shared" si="14"/>
        <v>0</v>
      </c>
    </row>
    <row r="99" spans="1:26" s="24" customFormat="1" hidden="1" outlineLevel="1" x14ac:dyDescent="0.35">
      <c r="A99" s="51"/>
      <c r="B99" s="11" t="str">
        <f>CONCATENATE("          ", "5501", " - ", "FREIGHT-IN-NEW TEXT")</f>
        <v xml:space="preserve">          5501 - FREIGHT-IN-NEW TEXT</v>
      </c>
      <c r="C99" s="11"/>
      <c r="D99" s="2">
        <v>7155.21</v>
      </c>
      <c r="E99" s="2"/>
      <c r="F99" s="22">
        <f t="shared" si="7"/>
        <v>6.0697878893225202E-3</v>
      </c>
      <c r="G99" s="2"/>
      <c r="H99" s="2"/>
      <c r="I99" s="2"/>
      <c r="J99" s="22">
        <f t="shared" si="8"/>
        <v>0</v>
      </c>
      <c r="K99" s="2"/>
      <c r="L99" s="2">
        <f t="shared" si="9"/>
        <v>7155.21</v>
      </c>
      <c r="M99" s="2"/>
      <c r="N99" s="22">
        <f t="shared" si="10"/>
        <v>0</v>
      </c>
      <c r="O99" s="11"/>
      <c r="P99" s="2">
        <v>44618.79</v>
      </c>
      <c r="Q99" s="2"/>
      <c r="R99" s="22">
        <f t="shared" si="11"/>
        <v>1.1507285354958279E-2</v>
      </c>
      <c r="S99" s="2"/>
      <c r="T99" s="2"/>
      <c r="U99" s="2"/>
      <c r="V99" s="22">
        <f t="shared" si="12"/>
        <v>0</v>
      </c>
      <c r="W99" s="2"/>
      <c r="X99" s="2">
        <f t="shared" si="13"/>
        <v>44618.79</v>
      </c>
      <c r="Y99" s="2"/>
      <c r="Z99" s="22">
        <f t="shared" si="14"/>
        <v>0</v>
      </c>
    </row>
    <row r="100" spans="1:26" s="24" customFormat="1" hidden="1" outlineLevel="1" x14ac:dyDescent="0.35">
      <c r="A100" s="51"/>
      <c r="B100" s="11" t="str">
        <f>CONCATENATE("          ", "5502", " - ", "FREIGHT-IN-USED TEXT")</f>
        <v xml:space="preserve">          5502 - FREIGHT-IN-USED TEXT</v>
      </c>
      <c r="C100" s="11"/>
      <c r="D100" s="2">
        <v>2129.7399999999998</v>
      </c>
      <c r="E100" s="2"/>
      <c r="F100" s="22">
        <f t="shared" si="7"/>
        <v>1.8066653612410736E-3</v>
      </c>
      <c r="G100" s="2"/>
      <c r="H100" s="2"/>
      <c r="I100" s="2"/>
      <c r="J100" s="22">
        <f t="shared" si="8"/>
        <v>0</v>
      </c>
      <c r="K100" s="2"/>
      <c r="L100" s="2">
        <f t="shared" si="9"/>
        <v>2129.7399999999998</v>
      </c>
      <c r="M100" s="2"/>
      <c r="N100" s="22">
        <f t="shared" si="10"/>
        <v>0</v>
      </c>
      <c r="O100" s="11"/>
      <c r="P100" s="2">
        <v>15652.310000000001</v>
      </c>
      <c r="Q100" s="2"/>
      <c r="R100" s="22">
        <f t="shared" si="11"/>
        <v>4.0367656235022736E-3</v>
      </c>
      <c r="S100" s="2"/>
      <c r="T100" s="2"/>
      <c r="U100" s="2"/>
      <c r="V100" s="22">
        <f t="shared" si="12"/>
        <v>0</v>
      </c>
      <c r="W100" s="2"/>
      <c r="X100" s="2">
        <f t="shared" si="13"/>
        <v>15652.310000000001</v>
      </c>
      <c r="Y100" s="2"/>
      <c r="Z100" s="22">
        <f t="shared" si="14"/>
        <v>0</v>
      </c>
    </row>
    <row r="101" spans="1:26" s="24" customFormat="1" hidden="1" outlineLevel="1" x14ac:dyDescent="0.35">
      <c r="A101" s="51"/>
      <c r="B101" s="11" t="str">
        <f>CONCATENATE("          ", "5504", " - ", "FREIGHT-IN-DIGITAL TEXT")</f>
        <v xml:space="preserve">          5504 - FREIGHT-IN-DIGITAL TEXT</v>
      </c>
      <c r="C101" s="11"/>
      <c r="D101" s="2"/>
      <c r="E101" s="2"/>
      <c r="F101" s="22">
        <f t="shared" si="7"/>
        <v>0</v>
      </c>
      <c r="G101" s="2"/>
      <c r="H101" s="2"/>
      <c r="I101" s="2"/>
      <c r="J101" s="22">
        <f t="shared" si="8"/>
        <v>0</v>
      </c>
      <c r="K101" s="2"/>
      <c r="L101" s="2">
        <f t="shared" si="9"/>
        <v>0</v>
      </c>
      <c r="M101" s="2"/>
      <c r="N101" s="22">
        <f t="shared" si="10"/>
        <v>0</v>
      </c>
      <c r="O101" s="11"/>
      <c r="P101" s="2">
        <v>21.98</v>
      </c>
      <c r="Q101" s="2"/>
      <c r="R101" s="22">
        <f t="shared" si="11"/>
        <v>5.6686909730627599E-6</v>
      </c>
      <c r="S101" s="2"/>
      <c r="T101" s="2"/>
      <c r="U101" s="2"/>
      <c r="V101" s="22">
        <f t="shared" si="12"/>
        <v>0</v>
      </c>
      <c r="W101" s="2"/>
      <c r="X101" s="2">
        <f t="shared" si="13"/>
        <v>21.98</v>
      </c>
      <c r="Y101" s="2"/>
      <c r="Z101" s="22">
        <f t="shared" si="14"/>
        <v>0</v>
      </c>
    </row>
    <row r="102" spans="1:26" s="24" customFormat="1" hidden="1" outlineLevel="1" x14ac:dyDescent="0.35">
      <c r="A102" s="51"/>
      <c r="B102" s="11" t="str">
        <f>CONCATENATE("          ", "5513", " - ", "FREIGHT-IN-TRADE BOOKS")</f>
        <v xml:space="preserve">          5513 - FREIGHT-IN-TRADE BOOKS</v>
      </c>
      <c r="C102" s="11"/>
      <c r="D102" s="2">
        <v>7.06</v>
      </c>
      <c r="E102" s="2"/>
      <c r="F102" s="22">
        <f t="shared" si="7"/>
        <v>5.9890209369979339E-6</v>
      </c>
      <c r="G102" s="2"/>
      <c r="H102" s="2"/>
      <c r="I102" s="2"/>
      <c r="J102" s="22">
        <f t="shared" si="8"/>
        <v>0</v>
      </c>
      <c r="K102" s="2"/>
      <c r="L102" s="2">
        <f t="shared" si="9"/>
        <v>7.06</v>
      </c>
      <c r="M102" s="2"/>
      <c r="N102" s="22">
        <f t="shared" si="10"/>
        <v>0</v>
      </c>
      <c r="O102" s="11"/>
      <c r="P102" s="2">
        <v>33.520000000000003</v>
      </c>
      <c r="Q102" s="2"/>
      <c r="R102" s="22">
        <f t="shared" si="11"/>
        <v>8.6448826850347468E-6</v>
      </c>
      <c r="S102" s="2"/>
      <c r="T102" s="2"/>
      <c r="U102" s="2"/>
      <c r="V102" s="22">
        <f t="shared" si="12"/>
        <v>0</v>
      </c>
      <c r="W102" s="2"/>
      <c r="X102" s="2">
        <f t="shared" si="13"/>
        <v>33.520000000000003</v>
      </c>
      <c r="Y102" s="2"/>
      <c r="Z102" s="22">
        <f t="shared" si="14"/>
        <v>0</v>
      </c>
    </row>
    <row r="103" spans="1:26" s="24" customFormat="1" hidden="1" outlineLevel="1" x14ac:dyDescent="0.35">
      <c r="A103" s="51"/>
      <c r="B103" s="11" t="str">
        <f>CONCATENATE("          ", "5525", " - ", "FREIGHT-IN-TEST FORMS")</f>
        <v xml:space="preserve">          5525 - FREIGHT-IN-TEST FORMS</v>
      </c>
      <c r="C103" s="11"/>
      <c r="D103" s="2"/>
      <c r="E103" s="2"/>
      <c r="F103" s="22">
        <f t="shared" si="7"/>
        <v>0</v>
      </c>
      <c r="G103" s="2"/>
      <c r="H103" s="2"/>
      <c r="I103" s="2"/>
      <c r="J103" s="22">
        <f t="shared" si="8"/>
        <v>0</v>
      </c>
      <c r="K103" s="2"/>
      <c r="L103" s="2">
        <f t="shared" si="9"/>
        <v>0</v>
      </c>
      <c r="M103" s="2"/>
      <c r="N103" s="22">
        <f t="shared" si="10"/>
        <v>0</v>
      </c>
      <c r="O103" s="11"/>
      <c r="P103" s="2">
        <v>48.14</v>
      </c>
      <c r="Q103" s="2"/>
      <c r="R103" s="22">
        <f t="shared" si="11"/>
        <v>1.2415413259474126E-5</v>
      </c>
      <c r="S103" s="2"/>
      <c r="T103" s="2"/>
      <c r="U103" s="2"/>
      <c r="V103" s="22">
        <f t="shared" si="12"/>
        <v>0</v>
      </c>
      <c r="W103" s="2"/>
      <c r="X103" s="2">
        <f t="shared" si="13"/>
        <v>48.14</v>
      </c>
      <c r="Y103" s="2"/>
      <c r="Z103" s="22">
        <f t="shared" si="14"/>
        <v>0</v>
      </c>
    </row>
    <row r="104" spans="1:26" s="24" customFormat="1" hidden="1" outlineLevel="1" x14ac:dyDescent="0.35">
      <c r="A104" s="51"/>
      <c r="B104" s="11" t="str">
        <f>CONCATENATE("          ", "5527", " - ", "FREIGHT-IN-SCHOOL SUPPLIES")</f>
        <v xml:space="preserve">          5527 - FREIGHT-IN-SCHOOL SUPPLIES</v>
      </c>
      <c r="C104" s="11"/>
      <c r="D104" s="2"/>
      <c r="E104" s="2"/>
      <c r="F104" s="22">
        <f t="shared" si="7"/>
        <v>0</v>
      </c>
      <c r="G104" s="2"/>
      <c r="H104" s="2"/>
      <c r="I104" s="2"/>
      <c r="J104" s="22">
        <f t="shared" si="8"/>
        <v>0</v>
      </c>
      <c r="K104" s="2"/>
      <c r="L104" s="2">
        <f t="shared" si="9"/>
        <v>0</v>
      </c>
      <c r="M104" s="2"/>
      <c r="N104" s="22">
        <f t="shared" si="10"/>
        <v>0</v>
      </c>
      <c r="O104" s="11"/>
      <c r="P104" s="2">
        <v>177.5</v>
      </c>
      <c r="Q104" s="2"/>
      <c r="R104" s="22">
        <f t="shared" si="11"/>
        <v>4.5777645483104635E-5</v>
      </c>
      <c r="S104" s="2"/>
      <c r="T104" s="2"/>
      <c r="U104" s="2"/>
      <c r="V104" s="22">
        <f t="shared" si="12"/>
        <v>0</v>
      </c>
      <c r="W104" s="2"/>
      <c r="X104" s="2">
        <f t="shared" si="13"/>
        <v>177.5</v>
      </c>
      <c r="Y104" s="2"/>
      <c r="Z104" s="22">
        <f t="shared" si="14"/>
        <v>0</v>
      </c>
    </row>
    <row r="105" spans="1:26" s="24" customFormat="1" hidden="1" outlineLevel="1" x14ac:dyDescent="0.35">
      <c r="A105" s="51"/>
      <c r="B105" s="11" t="str">
        <f>CONCATENATE("          ", "5528", " - ", "FREIGHT-IN-ART/TECH")</f>
        <v xml:space="preserve">          5528 - FREIGHT-IN-ART/TECH</v>
      </c>
      <c r="C105" s="11"/>
      <c r="D105" s="2">
        <v>48.53</v>
      </c>
      <c r="E105" s="2"/>
      <c r="F105" s="22">
        <f t="shared" si="7"/>
        <v>4.1168156667494302E-5</v>
      </c>
      <c r="G105" s="2"/>
      <c r="H105" s="2"/>
      <c r="I105" s="2"/>
      <c r="J105" s="22">
        <f t="shared" si="8"/>
        <v>0</v>
      </c>
      <c r="K105" s="2"/>
      <c r="L105" s="2">
        <f t="shared" si="9"/>
        <v>48.53</v>
      </c>
      <c r="M105" s="2"/>
      <c r="N105" s="22">
        <f t="shared" si="10"/>
        <v>0</v>
      </c>
      <c r="O105" s="11"/>
      <c r="P105" s="2">
        <v>338.74</v>
      </c>
      <c r="Q105" s="2"/>
      <c r="R105" s="22">
        <f t="shared" si="11"/>
        <v>8.7361800737728815E-5</v>
      </c>
      <c r="S105" s="2"/>
      <c r="T105" s="2"/>
      <c r="U105" s="2"/>
      <c r="V105" s="22">
        <f t="shared" si="12"/>
        <v>0</v>
      </c>
      <c r="W105" s="2"/>
      <c r="X105" s="2">
        <f t="shared" si="13"/>
        <v>338.74</v>
      </c>
      <c r="Y105" s="2"/>
      <c r="Z105" s="22">
        <f t="shared" si="14"/>
        <v>0</v>
      </c>
    </row>
    <row r="106" spans="1:26" s="24" customFormat="1" hidden="1" outlineLevel="1" x14ac:dyDescent="0.35">
      <c r="A106" s="51"/>
      <c r="B106" s="11" t="str">
        <f>CONCATENATE("          ", "5540", " - ", "FREIGHT-IN-LOGO CLOTHING")</f>
        <v xml:space="preserve">          5540 - FREIGHT-IN-LOGO CLOTHING</v>
      </c>
      <c r="C106" s="11"/>
      <c r="D106" s="2">
        <v>347.67</v>
      </c>
      <c r="E106" s="2"/>
      <c r="F106" s="22">
        <f t="shared" si="7"/>
        <v>2.9492959053343794E-4</v>
      </c>
      <c r="G106" s="2"/>
      <c r="H106" s="2"/>
      <c r="I106" s="2"/>
      <c r="J106" s="22">
        <f t="shared" si="8"/>
        <v>0</v>
      </c>
      <c r="K106" s="2"/>
      <c r="L106" s="2">
        <f t="shared" si="9"/>
        <v>347.67</v>
      </c>
      <c r="M106" s="2"/>
      <c r="N106" s="22">
        <f t="shared" si="10"/>
        <v>0</v>
      </c>
      <c r="O106" s="11"/>
      <c r="P106" s="2">
        <v>5790.63</v>
      </c>
      <c r="Q106" s="2"/>
      <c r="R106" s="22">
        <f t="shared" si="11"/>
        <v>1.4934163789511561E-3</v>
      </c>
      <c r="S106" s="2"/>
      <c r="T106" s="2"/>
      <c r="U106" s="2"/>
      <c r="V106" s="22">
        <f t="shared" si="12"/>
        <v>0</v>
      </c>
      <c r="W106" s="2"/>
      <c r="X106" s="2">
        <f t="shared" si="13"/>
        <v>5790.63</v>
      </c>
      <c r="Y106" s="2"/>
      <c r="Z106" s="22">
        <f t="shared" si="14"/>
        <v>0</v>
      </c>
    </row>
    <row r="107" spans="1:26" s="24" customFormat="1" hidden="1" outlineLevel="1" x14ac:dyDescent="0.35">
      <c r="A107" s="51"/>
      <c r="B107" s="11" t="str">
        <f>CONCATENATE("          ", "5541", " - ", "FREIGHT-IN-LOGO GIFTS")</f>
        <v xml:space="preserve">          5541 - FREIGHT-IN-LOGO GIFTS</v>
      </c>
      <c r="C107" s="11"/>
      <c r="D107" s="2">
        <v>182.93</v>
      </c>
      <c r="E107" s="2"/>
      <c r="F107" s="22">
        <f t="shared" si="7"/>
        <v>1.5518011331516036E-4</v>
      </c>
      <c r="G107" s="2"/>
      <c r="H107" s="2"/>
      <c r="I107" s="2"/>
      <c r="J107" s="22">
        <f t="shared" si="8"/>
        <v>0</v>
      </c>
      <c r="K107" s="2"/>
      <c r="L107" s="2">
        <f t="shared" si="9"/>
        <v>182.93</v>
      </c>
      <c r="M107" s="2"/>
      <c r="N107" s="22">
        <f t="shared" si="10"/>
        <v>0</v>
      </c>
      <c r="O107" s="11"/>
      <c r="P107" s="2">
        <v>1702.87</v>
      </c>
      <c r="Q107" s="2"/>
      <c r="R107" s="22">
        <f t="shared" si="11"/>
        <v>4.3917396712008107E-4</v>
      </c>
      <c r="S107" s="2"/>
      <c r="T107" s="2"/>
      <c r="U107" s="2"/>
      <c r="V107" s="22">
        <f t="shared" si="12"/>
        <v>0</v>
      </c>
      <c r="W107" s="2"/>
      <c r="X107" s="2">
        <f t="shared" si="13"/>
        <v>1702.87</v>
      </c>
      <c r="Y107" s="2"/>
      <c r="Z107" s="22">
        <f t="shared" si="14"/>
        <v>0</v>
      </c>
    </row>
    <row r="108" spans="1:26" s="24" customFormat="1" hidden="1" outlineLevel="1" x14ac:dyDescent="0.35">
      <c r="A108" s="51"/>
      <c r="B108" s="11" t="str">
        <f>CONCATENATE("          ", "5542", " - ", "FREIGHT-IN-EVERYDAY GIFTS")</f>
        <v xml:space="preserve">          5542 - FREIGHT-IN-EVERYDAY GIFTS</v>
      </c>
      <c r="C108" s="11"/>
      <c r="D108" s="2">
        <v>187.38</v>
      </c>
      <c r="E108" s="2"/>
      <c r="F108" s="22">
        <f t="shared" si="7"/>
        <v>1.5895506277261657E-4</v>
      </c>
      <c r="G108" s="2"/>
      <c r="H108" s="2"/>
      <c r="I108" s="2"/>
      <c r="J108" s="22">
        <f t="shared" si="8"/>
        <v>0</v>
      </c>
      <c r="K108" s="2"/>
      <c r="L108" s="2">
        <f t="shared" si="9"/>
        <v>187.38</v>
      </c>
      <c r="M108" s="2"/>
      <c r="N108" s="22">
        <f t="shared" si="10"/>
        <v>0</v>
      </c>
      <c r="O108" s="11"/>
      <c r="P108" s="2">
        <v>383.93</v>
      </c>
      <c r="Q108" s="2"/>
      <c r="R108" s="22">
        <f t="shared" si="11"/>
        <v>9.9016402424385145E-5</v>
      </c>
      <c r="S108" s="2"/>
      <c r="T108" s="2"/>
      <c r="U108" s="2"/>
      <c r="V108" s="22">
        <f t="shared" si="12"/>
        <v>0</v>
      </c>
      <c r="W108" s="2"/>
      <c r="X108" s="2">
        <f t="shared" si="13"/>
        <v>383.93</v>
      </c>
      <c r="Y108" s="2"/>
      <c r="Z108" s="22">
        <f t="shared" si="14"/>
        <v>0</v>
      </c>
    </row>
    <row r="109" spans="1:26" s="24" customFormat="1" hidden="1" outlineLevel="1" x14ac:dyDescent="0.35">
      <c r="A109" s="51"/>
      <c r="B109" s="11" t="str">
        <f>CONCATENATE("          ", "5543", " - ", "FREIGHT-IN-CARDS")</f>
        <v xml:space="preserve">          5543 - FREIGHT-IN-CARDS</v>
      </c>
      <c r="C109" s="11"/>
      <c r="D109" s="2">
        <v>1992.81</v>
      </c>
      <c r="E109" s="2"/>
      <c r="F109" s="22">
        <f t="shared" si="7"/>
        <v>1.6905071973737753E-3</v>
      </c>
      <c r="G109" s="2"/>
      <c r="H109" s="2"/>
      <c r="I109" s="2"/>
      <c r="J109" s="22">
        <f t="shared" si="8"/>
        <v>0</v>
      </c>
      <c r="K109" s="2"/>
      <c r="L109" s="2">
        <f t="shared" si="9"/>
        <v>1992.81</v>
      </c>
      <c r="M109" s="2"/>
      <c r="N109" s="22">
        <f t="shared" si="10"/>
        <v>0</v>
      </c>
      <c r="O109" s="11"/>
      <c r="P109" s="2">
        <v>9110.5300000000007</v>
      </c>
      <c r="Q109" s="2"/>
      <c r="R109" s="22">
        <f t="shared" si="11"/>
        <v>2.3496259859334609E-3</v>
      </c>
      <c r="S109" s="2"/>
      <c r="T109" s="2"/>
      <c r="U109" s="2"/>
      <c r="V109" s="22">
        <f t="shared" si="12"/>
        <v>0</v>
      </c>
      <c r="W109" s="2"/>
      <c r="X109" s="2">
        <f t="shared" si="13"/>
        <v>9110.5300000000007</v>
      </c>
      <c r="Y109" s="2"/>
      <c r="Z109" s="22">
        <f t="shared" si="14"/>
        <v>0</v>
      </c>
    </row>
    <row r="110" spans="1:26" s="24" customFormat="1" hidden="1" outlineLevel="1" x14ac:dyDescent="0.35">
      <c r="A110" s="51"/>
      <c r="B110" s="11" t="str">
        <f>CONCATENATE("          ", "5545", " - ", "FREIGHT-IN-SPECIAL ORDERS")</f>
        <v xml:space="preserve">          5545 - FREIGHT-IN-SPECIAL ORDERS</v>
      </c>
      <c r="C110" s="11"/>
      <c r="D110" s="2"/>
      <c r="E110" s="2"/>
      <c r="F110" s="22">
        <f t="shared" si="7"/>
        <v>0</v>
      </c>
      <c r="G110" s="2"/>
      <c r="H110" s="2"/>
      <c r="I110" s="2"/>
      <c r="J110" s="22">
        <f t="shared" si="8"/>
        <v>0</v>
      </c>
      <c r="K110" s="2"/>
      <c r="L110" s="2">
        <f t="shared" si="9"/>
        <v>0</v>
      </c>
      <c r="M110" s="2"/>
      <c r="N110" s="22">
        <f t="shared" si="10"/>
        <v>0</v>
      </c>
      <c r="O110" s="11"/>
      <c r="P110" s="2">
        <v>1113.79</v>
      </c>
      <c r="Q110" s="2"/>
      <c r="R110" s="22">
        <f t="shared" si="11"/>
        <v>2.8724892260634992E-4</v>
      </c>
      <c r="S110" s="2"/>
      <c r="T110" s="2"/>
      <c r="U110" s="2"/>
      <c r="V110" s="22">
        <f t="shared" si="12"/>
        <v>0</v>
      </c>
      <c r="W110" s="2"/>
      <c r="X110" s="2">
        <f t="shared" si="13"/>
        <v>1113.79</v>
      </c>
      <c r="Y110" s="2"/>
      <c r="Z110" s="22">
        <f t="shared" si="14"/>
        <v>0</v>
      </c>
    </row>
    <row r="111" spans="1:26" x14ac:dyDescent="0.3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35">
      <c r="A112" s="10"/>
      <c r="B112" s="26" t="s">
        <v>6</v>
      </c>
      <c r="C112" s="26"/>
      <c r="D112" s="19">
        <f>D12-D76</f>
        <v>407230.3899999999</v>
      </c>
      <c r="E112" s="13"/>
      <c r="F112" s="21">
        <f>IF(D$12=0,0,D112/D$12)</f>
        <v>0.34545486287419741</v>
      </c>
      <c r="G112" s="13"/>
      <c r="H112" s="19">
        <f>H12-H76</f>
        <v>680367</v>
      </c>
      <c r="I112" s="13"/>
      <c r="J112" s="21">
        <f>IF(H$12=0,0,H112/H$12)</f>
        <v>0.35245382755240956</v>
      </c>
      <c r="K112" s="16"/>
      <c r="L112" s="19">
        <f>+D112-H112</f>
        <v>-273136.6100000001</v>
      </c>
      <c r="M112" s="16"/>
      <c r="N112" s="21">
        <f>IF(H112=0,0,L112/H112)</f>
        <v>-0.40145481776746977</v>
      </c>
      <c r="O112" s="25"/>
      <c r="P112" s="19">
        <f>P12-P76</f>
        <v>1371221.6199999992</v>
      </c>
      <c r="Q112" s="13"/>
      <c r="R112" s="21">
        <f>IF(P$12=0,0,P112/P$12)</f>
        <v>0.35364111098100498</v>
      </c>
      <c r="S112" s="13"/>
      <c r="T112" s="19">
        <f>T12-T76</f>
        <v>2578760.0000000005</v>
      </c>
      <c r="U112" s="13"/>
      <c r="V112" s="21">
        <f>IF(T$12=0,0,T112/T$12)</f>
        <v>0.38825888603142172</v>
      </c>
      <c r="W112" s="16"/>
      <c r="X112" s="19">
        <f>+P112-T112</f>
        <v>-1207538.3800000013</v>
      </c>
      <c r="Y112" s="16"/>
      <c r="Z112" s="21">
        <f>IF(T112=0,0,X112/T112)</f>
        <v>-0.4682631885092064</v>
      </c>
    </row>
    <row r="113" spans="1:26" x14ac:dyDescent="0.35">
      <c r="A113" s="9"/>
      <c r="B113" s="10"/>
      <c r="C113" s="9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6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x14ac:dyDescent="0.35">
      <c r="A114" s="10"/>
      <c r="B114" s="25" t="s">
        <v>9</v>
      </c>
      <c r="C114" s="10"/>
      <c r="D114" s="20">
        <f>SUM(OSRRefD22x_0)</f>
        <v>298970.27000000008</v>
      </c>
      <c r="E114" s="20"/>
      <c r="F114" s="30">
        <f t="shared" ref="F114:F125" si="15">IF(D$12=0,0,D114/D$12)</f>
        <v>0.25361745135551361</v>
      </c>
      <c r="G114" s="20"/>
      <c r="H114" s="20">
        <f>SUM(OSRRefH22x_0)</f>
        <v>441849.75307797315</v>
      </c>
      <c r="I114" s="20"/>
      <c r="J114" s="30">
        <f t="shared" ref="J114:J125" si="16">IF(H$12=0,0,H114/H$12)</f>
        <v>0.22889357754773337</v>
      </c>
      <c r="K114" s="4"/>
      <c r="L114" s="20">
        <f t="shared" ref="L114:L125" si="17">+D114-H114</f>
        <v>-142879.48307797307</v>
      </c>
      <c r="M114" s="4"/>
      <c r="N114" s="30">
        <f t="shared" ref="N114:N125" si="18">IF(H114=0,0,L114/H114)</f>
        <v>-0.3233666695130169</v>
      </c>
      <c r="O114" s="10"/>
      <c r="P114" s="20">
        <f>SUM(OSRRefP22x_0)</f>
        <v>1906395.4399999992</v>
      </c>
      <c r="Q114" s="20"/>
      <c r="R114" s="30">
        <f t="shared" ref="R114:R125" si="19">IF(P$12=0,0,P114/P$12)</f>
        <v>0.4916636315657873</v>
      </c>
      <c r="S114" s="20"/>
      <c r="T114" s="20">
        <f>SUM(OSRRefT22x_0)</f>
        <v>2670988.4684547232</v>
      </c>
      <c r="U114" s="20"/>
      <c r="V114" s="30">
        <f t="shared" ref="V114:V125" si="20">IF(T$12=0,0,T114/T$12)</f>
        <v>0.40214483215382735</v>
      </c>
      <c r="W114" s="4"/>
      <c r="X114" s="20">
        <f t="shared" ref="X114:X125" si="21">+P114-T114</f>
        <v>-764593.028454724</v>
      </c>
      <c r="Y114" s="4"/>
      <c r="Z114" s="30">
        <f t="shared" ref="Z114:Z125" si="22">IF(T114=0,0,X114/T114)</f>
        <v>-0.28625845355935681</v>
      </c>
    </row>
    <row r="115" spans="1:26" s="28" customFormat="1" outlineLevel="1" collapsed="1" x14ac:dyDescent="0.35">
      <c r="A115" s="27"/>
      <c r="B115" s="14" t="str">
        <f>CONCATENATE("     ","*Benefits                                         ")</f>
        <v xml:space="preserve">     *Benefits                                         </v>
      </c>
      <c r="C115" s="14"/>
      <c r="D115" s="1">
        <f>SUM(OSRRefD22_0x_0)</f>
        <v>51590.869999999995</v>
      </c>
      <c r="E115" s="1"/>
      <c r="F115" s="5">
        <f t="shared" si="15"/>
        <v>4.3764702632852495E-2</v>
      </c>
      <c r="G115" s="1"/>
      <c r="H115" s="1">
        <f>SUM(OSRRefH22_0x_0)</f>
        <v>52055.043773357669</v>
      </c>
      <c r="I115" s="1"/>
      <c r="J115" s="5">
        <f t="shared" si="16"/>
        <v>2.6966327616313162E-2</v>
      </c>
      <c r="K115" s="1"/>
      <c r="L115" s="1">
        <f t="shared" si="17"/>
        <v>-464.17377335767378</v>
      </c>
      <c r="M115" s="1"/>
      <c r="N115" s="5">
        <f t="shared" si="18"/>
        <v>-8.9169797912117578E-3</v>
      </c>
      <c r="O115" s="14"/>
      <c r="P115" s="1">
        <f>SUM(OSRRefP22_0x_0)</f>
        <v>319455.47000000009</v>
      </c>
      <c r="Q115" s="1"/>
      <c r="R115" s="5">
        <f t="shared" si="19"/>
        <v>8.2388277483372241E-2</v>
      </c>
      <c r="S115" s="1"/>
      <c r="T115" s="1">
        <f>SUM(OSRRefT22_0x_0)</f>
        <v>322836.62356610759</v>
      </c>
      <c r="U115" s="1"/>
      <c r="V115" s="5">
        <f t="shared" si="20"/>
        <v>4.8606379746824961E-2</v>
      </c>
      <c r="W115" s="1"/>
      <c r="X115" s="1">
        <f t="shared" si="21"/>
        <v>-3381.1535661075031</v>
      </c>
      <c r="Y115" s="1"/>
      <c r="Z115" s="5">
        <f t="shared" si="22"/>
        <v>-1.0473265172825539E-2</v>
      </c>
    </row>
    <row r="116" spans="1:26" s="24" customFormat="1" hidden="1" outlineLevel="2" x14ac:dyDescent="0.35">
      <c r="A116" s="29"/>
      <c r="B116" s="11" t="str">
        <f>CONCATENATE("          ", "6111", " - ", "F.I.C.A.")</f>
        <v xml:space="preserve">          6111 - F.I.C.A.</v>
      </c>
      <c r="C116" s="11"/>
      <c r="D116" s="7">
        <v>7931.47</v>
      </c>
      <c r="E116" s="2"/>
      <c r="F116" s="6">
        <f t="shared" si="15"/>
        <v>6.7282917692876787E-3</v>
      </c>
      <c r="G116" s="2"/>
      <c r="H116" s="7">
        <v>9254.5766741365351</v>
      </c>
      <c r="I116" s="2"/>
      <c r="J116" s="6">
        <f t="shared" si="16"/>
        <v>4.7941933855943494E-3</v>
      </c>
      <c r="K116" s="2"/>
      <c r="L116" s="7">
        <f t="shared" si="17"/>
        <v>-1323.1066741365348</v>
      </c>
      <c r="M116" s="2"/>
      <c r="N116" s="6">
        <f t="shared" si="18"/>
        <v>-0.14296782237854036</v>
      </c>
      <c r="O116" s="11"/>
      <c r="P116" s="7">
        <v>63448.71</v>
      </c>
      <c r="Q116" s="2"/>
      <c r="R116" s="6">
        <f t="shared" si="19"/>
        <v>1.636356367741023E-2</v>
      </c>
      <c r="S116" s="2"/>
      <c r="T116" s="7">
        <v>60832.928712386543</v>
      </c>
      <c r="U116" s="2"/>
      <c r="V116" s="6">
        <f t="shared" si="20"/>
        <v>9.159024157308196E-3</v>
      </c>
      <c r="W116" s="2"/>
      <c r="X116" s="7">
        <f t="shared" si="21"/>
        <v>2615.7812876134558</v>
      </c>
      <c r="Y116" s="2"/>
      <c r="Z116" s="6">
        <f t="shared" si="22"/>
        <v>4.2999430456170711E-2</v>
      </c>
    </row>
    <row r="117" spans="1:26" s="24" customFormat="1" hidden="1" outlineLevel="2" x14ac:dyDescent="0.35">
      <c r="A117" s="29"/>
      <c r="B117" s="11" t="str">
        <f>CONCATENATE("          ", "6112", " - ", "COMPENSATION INSURANCE")</f>
        <v xml:space="preserve">          6112 - COMPENSATION INSURANCE</v>
      </c>
      <c r="C117" s="11"/>
      <c r="D117" s="7">
        <v>804.16</v>
      </c>
      <c r="E117" s="2"/>
      <c r="F117" s="6">
        <f t="shared" si="15"/>
        <v>6.8217154060853523E-4</v>
      </c>
      <c r="G117" s="2"/>
      <c r="H117" s="7">
        <v>4866.3721771634609</v>
      </c>
      <c r="I117" s="2"/>
      <c r="J117" s="6">
        <f t="shared" si="16"/>
        <v>2.5209504578202861E-3</v>
      </c>
      <c r="K117" s="2"/>
      <c r="L117" s="7">
        <f t="shared" si="17"/>
        <v>-4062.2121771634611</v>
      </c>
      <c r="M117" s="2"/>
      <c r="N117" s="6">
        <f t="shared" si="18"/>
        <v>-0.83475164440284688</v>
      </c>
      <c r="O117" s="11"/>
      <c r="P117" s="7">
        <v>16489.57</v>
      </c>
      <c r="Q117" s="2"/>
      <c r="R117" s="6">
        <f t="shared" si="19"/>
        <v>4.2526968429793671E-3</v>
      </c>
      <c r="S117" s="2"/>
      <c r="T117" s="7">
        <v>23408.405934663457</v>
      </c>
      <c r="U117" s="2"/>
      <c r="V117" s="6">
        <f t="shared" si="20"/>
        <v>3.5243766818020108E-3</v>
      </c>
      <c r="W117" s="2"/>
      <c r="X117" s="7">
        <f t="shared" si="21"/>
        <v>-6918.835934663457</v>
      </c>
      <c r="Y117" s="2"/>
      <c r="Z117" s="6">
        <f t="shared" si="22"/>
        <v>-0.29557057212588572</v>
      </c>
    </row>
    <row r="118" spans="1:26" s="24" customFormat="1" hidden="1" outlineLevel="2" x14ac:dyDescent="0.35">
      <c r="A118" s="29"/>
      <c r="B118" s="11" t="str">
        <f>CONCATENATE("          ", "6113", " - ", "GROUP INSURANCE")</f>
        <v xml:space="preserve">          6113 - GROUP INSURANCE</v>
      </c>
      <c r="C118" s="11"/>
      <c r="D118" s="7">
        <v>21620.289999999997</v>
      </c>
      <c r="E118" s="2"/>
      <c r="F118" s="6">
        <f t="shared" si="15"/>
        <v>1.8340562248437262E-2</v>
      </c>
      <c r="G118" s="2"/>
      <c r="H118" s="7">
        <v>18067.499999999989</v>
      </c>
      <c r="I118" s="2"/>
      <c r="J118" s="6">
        <f t="shared" si="16"/>
        <v>9.3595949381777132E-3</v>
      </c>
      <c r="K118" s="2"/>
      <c r="L118" s="7">
        <f t="shared" si="17"/>
        <v>3552.7900000000081</v>
      </c>
      <c r="M118" s="2"/>
      <c r="N118" s="6">
        <f t="shared" si="18"/>
        <v>0.19663982288639881</v>
      </c>
      <c r="O118" s="11"/>
      <c r="P118" s="7">
        <v>110017.99</v>
      </c>
      <c r="Q118" s="2"/>
      <c r="R118" s="6">
        <f t="shared" si="19"/>
        <v>2.8373884749204232E-2</v>
      </c>
      <c r="S118" s="2"/>
      <c r="T118" s="7">
        <v>123352.49999999997</v>
      </c>
      <c r="U118" s="2"/>
      <c r="V118" s="6">
        <f t="shared" si="20"/>
        <v>1.8571989731185113E-2</v>
      </c>
      <c r="W118" s="2"/>
      <c r="X118" s="7">
        <f t="shared" si="21"/>
        <v>-13334.509999999966</v>
      </c>
      <c r="Y118" s="2"/>
      <c r="Z118" s="6">
        <f t="shared" si="22"/>
        <v>-0.10810084919235499</v>
      </c>
    </row>
    <row r="119" spans="1:26" s="24" customFormat="1" hidden="1" outlineLevel="2" x14ac:dyDescent="0.35">
      <c r="A119" s="29"/>
      <c r="B119" s="11" t="str">
        <f>CONCATENATE("          ", "6114", " - ", "STATE UNEMPLOYMENT INSURANCE")</f>
        <v xml:space="preserve">          6114 - STATE UNEMPLOYMENT INSURANCE</v>
      </c>
      <c r="C119" s="11"/>
      <c r="D119" s="7">
        <v>667.99</v>
      </c>
      <c r="E119" s="2"/>
      <c r="F119" s="6">
        <f t="shared" si="15"/>
        <v>5.6665808721037536E-4</v>
      </c>
      <c r="G119" s="2"/>
      <c r="H119" s="7">
        <v>688.99663224999995</v>
      </c>
      <c r="I119" s="2"/>
      <c r="J119" s="6">
        <f t="shared" si="16"/>
        <v>3.5692427793710226E-4</v>
      </c>
      <c r="K119" s="2"/>
      <c r="L119" s="7">
        <f t="shared" si="17"/>
        <v>-21.006632249999939</v>
      </c>
      <c r="M119" s="2"/>
      <c r="N119" s="6">
        <f t="shared" si="18"/>
        <v>-3.0488729939651953E-2</v>
      </c>
      <c r="O119" s="11"/>
      <c r="P119" s="7">
        <v>2616.2600000000002</v>
      </c>
      <c r="Q119" s="2"/>
      <c r="R119" s="6">
        <f t="shared" si="19"/>
        <v>6.7473928322043576E-4</v>
      </c>
      <c r="S119" s="2"/>
      <c r="T119" s="7">
        <v>3316.02907925</v>
      </c>
      <c r="U119" s="2"/>
      <c r="V119" s="6">
        <f t="shared" si="20"/>
        <v>4.9926234172912784E-4</v>
      </c>
      <c r="W119" s="2"/>
      <c r="X119" s="7">
        <f t="shared" si="21"/>
        <v>-699.76907924999978</v>
      </c>
      <c r="Y119" s="2"/>
      <c r="Z119" s="6">
        <f t="shared" si="22"/>
        <v>-0.21102621916942582</v>
      </c>
    </row>
    <row r="120" spans="1:26" s="24" customFormat="1" hidden="1" outlineLevel="2" x14ac:dyDescent="0.35">
      <c r="A120" s="29"/>
      <c r="B120" s="11" t="str">
        <f>CONCATENATE("          ", "6115", " - ", "P.E.R.S.")</f>
        <v xml:space="preserve">          6115 - P.E.R.S.</v>
      </c>
      <c r="C120" s="11"/>
      <c r="D120" s="7">
        <v>9507.2199999999993</v>
      </c>
      <c r="E120" s="2"/>
      <c r="F120" s="6">
        <f t="shared" si="15"/>
        <v>8.0650056136891638E-3</v>
      </c>
      <c r="G120" s="2"/>
      <c r="H120" s="7">
        <v>5924.7140176923067</v>
      </c>
      <c r="I120" s="2"/>
      <c r="J120" s="6">
        <f t="shared" si="16"/>
        <v>3.0692084311688662E-3</v>
      </c>
      <c r="K120" s="2"/>
      <c r="L120" s="7">
        <f t="shared" si="17"/>
        <v>3582.5059823076926</v>
      </c>
      <c r="M120" s="2"/>
      <c r="N120" s="6">
        <f t="shared" si="18"/>
        <v>0.60467154559859904</v>
      </c>
      <c r="O120" s="11"/>
      <c r="P120" s="7">
        <v>49525.270000000004</v>
      </c>
      <c r="Q120" s="2"/>
      <c r="R120" s="6">
        <f t="shared" si="19"/>
        <v>1.277267747895796E-2</v>
      </c>
      <c r="S120" s="2"/>
      <c r="T120" s="7">
        <v>36427.62616769231</v>
      </c>
      <c r="U120" s="2"/>
      <c r="V120" s="6">
        <f t="shared" si="20"/>
        <v>5.4845544202009027E-3</v>
      </c>
      <c r="W120" s="2"/>
      <c r="X120" s="7">
        <f t="shared" si="21"/>
        <v>13097.643832307695</v>
      </c>
      <c r="Y120" s="2"/>
      <c r="Z120" s="6">
        <f t="shared" si="22"/>
        <v>0.35955249381372001</v>
      </c>
    </row>
    <row r="121" spans="1:26" s="24" customFormat="1" hidden="1" outlineLevel="2" x14ac:dyDescent="0.35">
      <c r="A121" s="29"/>
      <c r="B121" s="11" t="str">
        <f>CONCATENATE("          ", "6116", " - ", "EDUCATIONAL BENEFITS")</f>
        <v xml:space="preserve">          6116 - EDUCATIONAL BENEFITS</v>
      </c>
      <c r="C121" s="11"/>
      <c r="D121" s="7"/>
      <c r="E121" s="2"/>
      <c r="F121" s="6">
        <f t="shared" si="15"/>
        <v>0</v>
      </c>
      <c r="G121" s="2"/>
      <c r="H121" s="7">
        <v>0</v>
      </c>
      <c r="I121" s="2"/>
      <c r="J121" s="6">
        <f t="shared" si="16"/>
        <v>0</v>
      </c>
      <c r="K121" s="2"/>
      <c r="L121" s="7">
        <f t="shared" si="17"/>
        <v>0</v>
      </c>
      <c r="M121" s="2"/>
      <c r="N121" s="6">
        <f t="shared" si="18"/>
        <v>0</v>
      </c>
      <c r="O121" s="11"/>
      <c r="P121" s="7">
        <v>0</v>
      </c>
      <c r="Q121" s="2"/>
      <c r="R121" s="6">
        <f t="shared" si="19"/>
        <v>0</v>
      </c>
      <c r="S121" s="2"/>
      <c r="T121" s="7">
        <v>0</v>
      </c>
      <c r="U121" s="2"/>
      <c r="V121" s="6">
        <f t="shared" si="20"/>
        <v>0</v>
      </c>
      <c r="W121" s="2"/>
      <c r="X121" s="7">
        <f t="shared" si="21"/>
        <v>0</v>
      </c>
      <c r="Y121" s="2"/>
      <c r="Z121" s="6">
        <f t="shared" si="22"/>
        <v>0</v>
      </c>
    </row>
    <row r="122" spans="1:26" s="24" customFormat="1" hidden="1" outlineLevel="2" x14ac:dyDescent="0.35">
      <c r="A122" s="29"/>
      <c r="B122" s="11" t="str">
        <f>CONCATENATE("          ", "6117", " - ", "RETIREMENT STAFF HOURLY")</f>
        <v xml:space="preserve">          6117 - RETIREMENT STAFF HOURLY</v>
      </c>
      <c r="C122" s="11"/>
      <c r="D122" s="7">
        <v>506.92</v>
      </c>
      <c r="E122" s="2"/>
      <c r="F122" s="6">
        <f t="shared" si="15"/>
        <v>4.3002188291543813E-4</v>
      </c>
      <c r="G122" s="2"/>
      <c r="H122" s="7"/>
      <c r="I122" s="2"/>
      <c r="J122" s="6">
        <f t="shared" si="16"/>
        <v>0</v>
      </c>
      <c r="K122" s="2"/>
      <c r="L122" s="7">
        <f t="shared" si="17"/>
        <v>506.92</v>
      </c>
      <c r="M122" s="2"/>
      <c r="N122" s="6">
        <f t="shared" si="18"/>
        <v>0</v>
      </c>
      <c r="O122" s="11"/>
      <c r="P122" s="7">
        <v>2241.04</v>
      </c>
      <c r="Q122" s="2"/>
      <c r="R122" s="6">
        <f t="shared" si="19"/>
        <v>5.7796920920257357E-4</v>
      </c>
      <c r="S122" s="2"/>
      <c r="T122" s="7"/>
      <c r="U122" s="2"/>
      <c r="V122" s="6">
        <f t="shared" si="20"/>
        <v>0</v>
      </c>
      <c r="W122" s="2"/>
      <c r="X122" s="7">
        <f t="shared" si="21"/>
        <v>2241.04</v>
      </c>
      <c r="Y122" s="2"/>
      <c r="Z122" s="6">
        <f t="shared" si="22"/>
        <v>0</v>
      </c>
    </row>
    <row r="123" spans="1:26" s="24" customFormat="1" hidden="1" outlineLevel="2" x14ac:dyDescent="0.35">
      <c r="A123" s="29"/>
      <c r="B123" s="11" t="str">
        <f>CONCATENATE("          ", "6118", " - ", "VACATION")</f>
        <v xml:space="preserve">          6118 - VACATION</v>
      </c>
      <c r="C123" s="11"/>
      <c r="D123" s="7">
        <v>5779.06</v>
      </c>
      <c r="E123" s="2"/>
      <c r="F123" s="6">
        <f t="shared" si="15"/>
        <v>4.9023953733947998E-3</v>
      </c>
      <c r="G123" s="2"/>
      <c r="H123" s="7">
        <v>4973.547515384611</v>
      </c>
      <c r="I123" s="2"/>
      <c r="J123" s="6">
        <f t="shared" si="16"/>
        <v>2.5764710197747434E-3</v>
      </c>
      <c r="K123" s="2"/>
      <c r="L123" s="7">
        <f t="shared" si="17"/>
        <v>805.51248461538944</v>
      </c>
      <c r="M123" s="2"/>
      <c r="N123" s="6">
        <f t="shared" si="18"/>
        <v>0.16195934232531367</v>
      </c>
      <c r="O123" s="11"/>
      <c r="P123" s="7">
        <v>38065.310000000005</v>
      </c>
      <c r="Q123" s="2"/>
      <c r="R123" s="6">
        <f t="shared" si="19"/>
        <v>9.8171282613210026E-3</v>
      </c>
      <c r="S123" s="2"/>
      <c r="T123" s="7">
        <v>30620.879745384605</v>
      </c>
      <c r="U123" s="2"/>
      <c r="V123" s="6">
        <f t="shared" si="20"/>
        <v>4.6102889215146612E-3</v>
      </c>
      <c r="W123" s="2"/>
      <c r="X123" s="7">
        <f t="shared" si="21"/>
        <v>7444.4302546153995</v>
      </c>
      <c r="Y123" s="2"/>
      <c r="Z123" s="6">
        <f t="shared" si="22"/>
        <v>0.2431161454705584</v>
      </c>
    </row>
    <row r="124" spans="1:26" s="24" customFormat="1" hidden="1" outlineLevel="2" x14ac:dyDescent="0.35">
      <c r="A124" s="29"/>
      <c r="B124" s="11" t="str">
        <f>CONCATENATE("          ", "6119", " - ", "SICK LEAVE")</f>
        <v xml:space="preserve">          6119 - SICK LEAVE</v>
      </c>
      <c r="C124" s="11"/>
      <c r="D124" s="7">
        <v>3939.34</v>
      </c>
      <c r="E124" s="2"/>
      <c r="F124" s="6">
        <f t="shared" si="15"/>
        <v>3.3417549203900061E-3</v>
      </c>
      <c r="G124" s="2"/>
      <c r="H124" s="7">
        <v>6654.3367567307669</v>
      </c>
      <c r="I124" s="2"/>
      <c r="J124" s="6">
        <f t="shared" si="16"/>
        <v>3.4471784488848611E-3</v>
      </c>
      <c r="K124" s="2"/>
      <c r="L124" s="7">
        <f t="shared" si="17"/>
        <v>-2714.9967567307667</v>
      </c>
      <c r="M124" s="2"/>
      <c r="N124" s="6">
        <f t="shared" si="18"/>
        <v>-0.40800411160204453</v>
      </c>
      <c r="O124" s="11"/>
      <c r="P124" s="7">
        <v>27320.449999999997</v>
      </c>
      <c r="Q124" s="2"/>
      <c r="R124" s="6">
        <f t="shared" si="19"/>
        <v>7.0460049269796387E-3</v>
      </c>
      <c r="S124" s="2"/>
      <c r="T124" s="7">
        <v>33503.253926730744</v>
      </c>
      <c r="U124" s="2"/>
      <c r="V124" s="6">
        <f t="shared" si="20"/>
        <v>5.044260050574823E-3</v>
      </c>
      <c r="W124" s="2"/>
      <c r="X124" s="7">
        <f t="shared" si="21"/>
        <v>-6182.8039267307468</v>
      </c>
      <c r="Y124" s="2"/>
      <c r="Z124" s="6">
        <f t="shared" si="22"/>
        <v>-0.18454338615144975</v>
      </c>
    </row>
    <row r="125" spans="1:26" s="24" customFormat="1" hidden="1" outlineLevel="2" x14ac:dyDescent="0.35">
      <c r="A125" s="29"/>
      <c r="B125" s="11" t="str">
        <f>CONCATENATE("          ", "6156", " - ", "EMPLOYEE MEALS")</f>
        <v xml:space="preserve">          6156 - EMPLOYEE MEALS</v>
      </c>
      <c r="C125" s="11"/>
      <c r="D125" s="7">
        <v>834.42</v>
      </c>
      <c r="E125" s="2"/>
      <c r="F125" s="6">
        <f t="shared" si="15"/>
        <v>7.0784119691923739E-4</v>
      </c>
      <c r="G125" s="2"/>
      <c r="H125" s="7">
        <v>1625</v>
      </c>
      <c r="I125" s="2"/>
      <c r="J125" s="6">
        <f t="shared" si="16"/>
        <v>8.4180665695523973E-4</v>
      </c>
      <c r="K125" s="2"/>
      <c r="L125" s="7">
        <f t="shared" si="17"/>
        <v>-790.58</v>
      </c>
      <c r="M125" s="2"/>
      <c r="N125" s="6">
        <f t="shared" si="18"/>
        <v>-0.48651076923076925</v>
      </c>
      <c r="O125" s="11"/>
      <c r="P125" s="7">
        <v>9730.8700000000008</v>
      </c>
      <c r="Q125" s="2"/>
      <c r="R125" s="6">
        <f t="shared" si="19"/>
        <v>2.50961305409678E-3</v>
      </c>
      <c r="S125" s="2"/>
      <c r="T125" s="7">
        <v>11375</v>
      </c>
      <c r="U125" s="2"/>
      <c r="V125" s="6">
        <f t="shared" si="20"/>
        <v>1.7126234425101294E-3</v>
      </c>
      <c r="W125" s="2"/>
      <c r="X125" s="7">
        <f t="shared" si="21"/>
        <v>-1644.1299999999992</v>
      </c>
      <c r="Y125" s="2"/>
      <c r="Z125" s="6">
        <f t="shared" si="22"/>
        <v>-0.14453890109890102</v>
      </c>
    </row>
    <row r="126" spans="1:26" s="28" customFormat="1" outlineLevel="1" collapsed="1" x14ac:dyDescent="0.35">
      <c r="A126" s="27"/>
      <c r="B126" s="14" t="str">
        <f>CONCATENATE("     ","*Payroll                                          ")</f>
        <v xml:space="preserve">     *Payroll                                          </v>
      </c>
      <c r="C126" s="14"/>
      <c r="D126" s="1">
        <f>SUM(OSRRefD22_1x_0)</f>
        <v>164815.32</v>
      </c>
      <c r="E126" s="1"/>
      <c r="F126" s="5">
        <f t="shared" ref="F126:F136" si="23">IF(D$12=0,0,D126/D$12)</f>
        <v>0.13981337141898223</v>
      </c>
      <c r="G126" s="1"/>
      <c r="H126" s="1">
        <f>SUM(OSRRefH22_1x_0)</f>
        <v>250035.70930461548</v>
      </c>
      <c r="I126" s="1"/>
      <c r="J126" s="5">
        <f t="shared" ref="J126:J136" si="24">IF(H$12=0,0,H126/H$12)</f>
        <v>0.12952721511947721</v>
      </c>
      <c r="K126" s="1"/>
      <c r="L126" s="1">
        <f t="shared" ref="L126:L136" si="25">+D126-H126</f>
        <v>-85220.38930461547</v>
      </c>
      <c r="M126" s="1"/>
      <c r="N126" s="5">
        <f t="shared" ref="N126:N136" si="26">IF(H126=0,0,L126/H126)</f>
        <v>-0.34083287359883663</v>
      </c>
      <c r="O126" s="14"/>
      <c r="P126" s="1">
        <f>SUM(OSRRefP22_1x_0)</f>
        <v>895037.81999999983</v>
      </c>
      <c r="Q126" s="1"/>
      <c r="R126" s="5">
        <f t="shared" ref="R126:R136" si="27">IF(P$12=0,0,P126/P$12)</f>
        <v>0.23083224798834262</v>
      </c>
      <c r="S126" s="1"/>
      <c r="T126" s="1">
        <f>SUM(OSRRefT22_1x_0)</f>
        <v>1187565.8448886157</v>
      </c>
      <c r="U126" s="1"/>
      <c r="V126" s="5">
        <f t="shared" ref="V126:V136" si="28">IF(T$12=0,0,T126/T$12)</f>
        <v>0.17880027300928275</v>
      </c>
      <c r="W126" s="1"/>
      <c r="X126" s="1">
        <f t="shared" ref="X126:X136" si="29">+P126-T126</f>
        <v>-292528.02488861582</v>
      </c>
      <c r="Y126" s="1"/>
      <c r="Z126" s="5">
        <f t="shared" ref="Z126:Z136" si="30">IF(T126=0,0,X126/T126)</f>
        <v>-0.24632573103014144</v>
      </c>
    </row>
    <row r="127" spans="1:26" s="24" customFormat="1" hidden="1" outlineLevel="2" x14ac:dyDescent="0.35">
      <c r="A127" s="29"/>
      <c r="B127" s="11" t="str">
        <f>CONCATENATE("          ", "6001", " - ", "ADMINISTRATIVE SALARIES")</f>
        <v xml:space="preserve">          6001 - ADMINISTRATIVE SALARIES</v>
      </c>
      <c r="C127" s="11"/>
      <c r="D127" s="7">
        <v>5332.74</v>
      </c>
      <c r="E127" s="2"/>
      <c r="F127" s="6">
        <f t="shared" si="23"/>
        <v>4.5237806673606743E-3</v>
      </c>
      <c r="G127" s="2"/>
      <c r="H127" s="7">
        <v>9699.6153846153902</v>
      </c>
      <c r="I127" s="2"/>
      <c r="J127" s="6">
        <f t="shared" si="24"/>
        <v>5.0247389542613496E-3</v>
      </c>
      <c r="K127" s="2"/>
      <c r="L127" s="7">
        <f t="shared" si="25"/>
        <v>-4366.8753846153904</v>
      </c>
      <c r="M127" s="2"/>
      <c r="N127" s="6">
        <f t="shared" si="26"/>
        <v>-0.45021118997581222</v>
      </c>
      <c r="O127" s="11"/>
      <c r="P127" s="7">
        <v>30215.85</v>
      </c>
      <c r="Q127" s="2"/>
      <c r="R127" s="6">
        <f t="shared" si="27"/>
        <v>7.7927350381446041E-3</v>
      </c>
      <c r="S127" s="2"/>
      <c r="T127" s="7">
        <v>60137.615384615412</v>
      </c>
      <c r="U127" s="2"/>
      <c r="V127" s="6">
        <f t="shared" si="28"/>
        <v>9.0543375722505638E-3</v>
      </c>
      <c r="W127" s="2"/>
      <c r="X127" s="7">
        <f t="shared" si="29"/>
        <v>-29921.765384615413</v>
      </c>
      <c r="Y127" s="2"/>
      <c r="Z127" s="6">
        <f t="shared" si="30"/>
        <v>-0.49755490292137672</v>
      </c>
    </row>
    <row r="128" spans="1:26" s="24" customFormat="1" hidden="1" outlineLevel="2" x14ac:dyDescent="0.35">
      <c r="A128" s="29"/>
      <c r="B128" s="11" t="str">
        <f>CONCATENATE("          ", "6002", " - ", "STAFF SALARIES")</f>
        <v xml:space="preserve">          6002 - STAFF SALARIES</v>
      </c>
      <c r="C128" s="11"/>
      <c r="D128" s="7">
        <v>79241.260000000009</v>
      </c>
      <c r="E128" s="2"/>
      <c r="F128" s="6">
        <f t="shared" si="23"/>
        <v>6.722061830228003E-2</v>
      </c>
      <c r="G128" s="2"/>
      <c r="H128" s="7">
        <v>52124.122570000072</v>
      </c>
      <c r="I128" s="2"/>
      <c r="J128" s="6">
        <f t="shared" si="24"/>
        <v>2.7002112841462721E-2</v>
      </c>
      <c r="K128" s="2"/>
      <c r="L128" s="7">
        <f t="shared" si="25"/>
        <v>27117.137429999937</v>
      </c>
      <c r="M128" s="2"/>
      <c r="N128" s="6">
        <f t="shared" si="26"/>
        <v>0.52024160969967381</v>
      </c>
      <c r="O128" s="11"/>
      <c r="P128" s="7">
        <v>414753.45</v>
      </c>
      <c r="Q128" s="2"/>
      <c r="R128" s="6">
        <f t="shared" si="27"/>
        <v>0.10696583885630741</v>
      </c>
      <c r="S128" s="2"/>
      <c r="T128" s="7">
        <v>319971.41263400024</v>
      </c>
      <c r="U128" s="2"/>
      <c r="V128" s="6">
        <f t="shared" si="28"/>
        <v>4.8174992721764447E-2</v>
      </c>
      <c r="W128" s="2"/>
      <c r="X128" s="7">
        <f t="shared" si="29"/>
        <v>94782.037365999771</v>
      </c>
      <c r="Y128" s="2"/>
      <c r="Z128" s="6">
        <f t="shared" si="30"/>
        <v>0.29622032976557294</v>
      </c>
    </row>
    <row r="129" spans="1:26" s="24" customFormat="1" hidden="1" outlineLevel="2" x14ac:dyDescent="0.35">
      <c r="A129" s="29"/>
      <c r="B129" s="11" t="str">
        <f>CONCATENATE("          ", "6003", " - ", "STAFF HOURLY-9 MONTH")</f>
        <v xml:space="preserve">          6003 - STAFF HOURLY-9 MONTH</v>
      </c>
      <c r="C129" s="11"/>
      <c r="D129" s="7"/>
      <c r="E129" s="2"/>
      <c r="F129" s="6">
        <f t="shared" si="23"/>
        <v>0</v>
      </c>
      <c r="G129" s="2"/>
      <c r="H129" s="7">
        <v>0</v>
      </c>
      <c r="I129" s="2"/>
      <c r="J129" s="6">
        <f t="shared" si="24"/>
        <v>0</v>
      </c>
      <c r="K129" s="2"/>
      <c r="L129" s="7">
        <f t="shared" si="25"/>
        <v>0</v>
      </c>
      <c r="M129" s="2"/>
      <c r="N129" s="6">
        <f t="shared" si="26"/>
        <v>0</v>
      </c>
      <c r="O129" s="11"/>
      <c r="P129" s="7"/>
      <c r="Q129" s="2"/>
      <c r="R129" s="6">
        <f t="shared" si="27"/>
        <v>0</v>
      </c>
      <c r="S129" s="2"/>
      <c r="T129" s="7">
        <v>0</v>
      </c>
      <c r="U129" s="2"/>
      <c r="V129" s="6">
        <f t="shared" si="28"/>
        <v>0</v>
      </c>
      <c r="W129" s="2"/>
      <c r="X129" s="7">
        <f t="shared" si="29"/>
        <v>0</v>
      </c>
      <c r="Y129" s="2"/>
      <c r="Z129" s="6">
        <f t="shared" si="30"/>
        <v>0</v>
      </c>
    </row>
    <row r="130" spans="1:26" s="24" customFormat="1" hidden="1" outlineLevel="2" x14ac:dyDescent="0.35">
      <c r="A130" s="29"/>
      <c r="B130" s="11" t="str">
        <f>CONCATENATE("          ", "6004", " - ", "STAFF HOURLY")</f>
        <v xml:space="preserve">          6004 - STAFF HOURLY</v>
      </c>
      <c r="C130" s="11"/>
      <c r="D130" s="7">
        <v>18984.73</v>
      </c>
      <c r="E130" s="2"/>
      <c r="F130" s="6">
        <f t="shared" si="23"/>
        <v>1.6104808137854504E-2</v>
      </c>
      <c r="G130" s="2"/>
      <c r="H130" s="7">
        <v>33119.375099999997</v>
      </c>
      <c r="I130" s="2"/>
      <c r="J130" s="6">
        <f t="shared" si="24"/>
        <v>1.715699103592468E-2</v>
      </c>
      <c r="K130" s="2"/>
      <c r="L130" s="7">
        <f t="shared" si="25"/>
        <v>-14134.645099999998</v>
      </c>
      <c r="M130" s="2"/>
      <c r="N130" s="6">
        <f t="shared" si="26"/>
        <v>-0.42677873774254876</v>
      </c>
      <c r="O130" s="11"/>
      <c r="P130" s="7">
        <v>110021.64</v>
      </c>
      <c r="Q130" s="2"/>
      <c r="R130" s="6">
        <f t="shared" si="27"/>
        <v>2.83748260923367E-2</v>
      </c>
      <c r="S130" s="2"/>
      <c r="T130" s="7">
        <v>193138.15062</v>
      </c>
      <c r="U130" s="2"/>
      <c r="V130" s="6">
        <f t="shared" si="28"/>
        <v>2.9078938408339715E-2</v>
      </c>
      <c r="W130" s="2"/>
      <c r="X130" s="7">
        <f t="shared" si="29"/>
        <v>-83116.510620000001</v>
      </c>
      <c r="Y130" s="2"/>
      <c r="Z130" s="6">
        <f t="shared" si="30"/>
        <v>-0.43034745001536251</v>
      </c>
    </row>
    <row r="131" spans="1:26" s="24" customFormat="1" hidden="1" outlineLevel="2" x14ac:dyDescent="0.35">
      <c r="A131" s="29"/>
      <c r="B131" s="11" t="str">
        <f>CONCATENATE("          ", "6005", " - ", "TEMPORARY WAGES-HOURLY")</f>
        <v xml:space="preserve">          6005 - TEMPORARY WAGES-HOURLY</v>
      </c>
      <c r="C131" s="11"/>
      <c r="D131" s="7">
        <v>12550.77</v>
      </c>
      <c r="E131" s="2"/>
      <c r="F131" s="6">
        <f t="shared" si="23"/>
        <v>1.0646858966776992E-2</v>
      </c>
      <c r="G131" s="2"/>
      <c r="H131" s="7">
        <v>7343.88</v>
      </c>
      <c r="I131" s="2"/>
      <c r="J131" s="6">
        <f t="shared" si="24"/>
        <v>3.8043858903879669E-3</v>
      </c>
      <c r="K131" s="2"/>
      <c r="L131" s="7">
        <f t="shared" si="25"/>
        <v>5206.8900000000003</v>
      </c>
      <c r="M131" s="2"/>
      <c r="N131" s="6">
        <f t="shared" si="26"/>
        <v>0.70901076814980646</v>
      </c>
      <c r="O131" s="11"/>
      <c r="P131" s="7">
        <v>110194.22</v>
      </c>
      <c r="Q131" s="2"/>
      <c r="R131" s="6">
        <f t="shared" si="27"/>
        <v>2.8419334858857684E-2</v>
      </c>
      <c r="S131" s="2"/>
      <c r="T131" s="7">
        <v>28262.880000000001</v>
      </c>
      <c r="U131" s="2"/>
      <c r="V131" s="6">
        <f t="shared" si="28"/>
        <v>4.2552677662286318E-3</v>
      </c>
      <c r="W131" s="2"/>
      <c r="X131" s="7">
        <f t="shared" si="29"/>
        <v>81931.34</v>
      </c>
      <c r="Y131" s="2"/>
      <c r="Z131" s="6">
        <f t="shared" si="30"/>
        <v>2.8989027303657657</v>
      </c>
    </row>
    <row r="132" spans="1:26" s="24" customFormat="1" hidden="1" outlineLevel="2" x14ac:dyDescent="0.35">
      <c r="A132" s="29"/>
      <c r="B132" s="11" t="str">
        <f>CONCATENATE("          ", "6006", " - ", "TEMPORARY PART TIME")</f>
        <v xml:space="preserve">          6006 - TEMPORARY PART TIME</v>
      </c>
      <c r="C132" s="11"/>
      <c r="D132" s="7"/>
      <c r="E132" s="2"/>
      <c r="F132" s="6">
        <f t="shared" si="23"/>
        <v>0</v>
      </c>
      <c r="G132" s="2"/>
      <c r="H132" s="7">
        <v>0</v>
      </c>
      <c r="I132" s="2"/>
      <c r="J132" s="6">
        <f t="shared" si="24"/>
        <v>0</v>
      </c>
      <c r="K132" s="2"/>
      <c r="L132" s="7">
        <f t="shared" si="25"/>
        <v>0</v>
      </c>
      <c r="M132" s="2"/>
      <c r="N132" s="6">
        <f t="shared" si="26"/>
        <v>0</v>
      </c>
      <c r="O132" s="11"/>
      <c r="P132" s="7">
        <v>9987.9599999999991</v>
      </c>
      <c r="Q132" s="2"/>
      <c r="R132" s="6">
        <f t="shared" si="27"/>
        <v>2.5759171379122802E-3</v>
      </c>
      <c r="S132" s="2"/>
      <c r="T132" s="7">
        <v>0</v>
      </c>
      <c r="U132" s="2"/>
      <c r="V132" s="6">
        <f t="shared" si="28"/>
        <v>0</v>
      </c>
      <c r="W132" s="2"/>
      <c r="X132" s="7">
        <f t="shared" si="29"/>
        <v>9987.9599999999991</v>
      </c>
      <c r="Y132" s="2"/>
      <c r="Z132" s="6">
        <f t="shared" si="30"/>
        <v>0</v>
      </c>
    </row>
    <row r="133" spans="1:26" s="24" customFormat="1" hidden="1" outlineLevel="2" x14ac:dyDescent="0.35">
      <c r="A133" s="29"/>
      <c r="B133" s="11" t="str">
        <f>CONCATENATE("          ", "6007", " - ", "STUDENT HOURLY")</f>
        <v xml:space="preserve">          6007 - STUDENT HOURLY</v>
      </c>
      <c r="C133" s="11"/>
      <c r="D133" s="7">
        <v>47460.94</v>
      </c>
      <c r="E133" s="2"/>
      <c r="F133" s="6">
        <f t="shared" si="23"/>
        <v>4.0261269596261015E-2</v>
      </c>
      <c r="G133" s="2"/>
      <c r="H133" s="7">
        <v>14878.362499999999</v>
      </c>
      <c r="I133" s="2"/>
      <c r="J133" s="6">
        <f t="shared" si="24"/>
        <v>7.7075105212881245E-3</v>
      </c>
      <c r="K133" s="2"/>
      <c r="L133" s="7">
        <f t="shared" si="25"/>
        <v>32582.577500000003</v>
      </c>
      <c r="M133" s="2"/>
      <c r="N133" s="6">
        <f t="shared" si="26"/>
        <v>2.1899303434769792</v>
      </c>
      <c r="O133" s="11"/>
      <c r="P133" s="7">
        <v>213689.37</v>
      </c>
      <c r="Q133" s="2"/>
      <c r="R133" s="6">
        <f t="shared" si="27"/>
        <v>5.5110964638692819E-2</v>
      </c>
      <c r="S133" s="2"/>
      <c r="T133" s="7">
        <v>151898.36249999999</v>
      </c>
      <c r="U133" s="2"/>
      <c r="V133" s="6">
        <f t="shared" si="28"/>
        <v>2.2869863428255078E-2</v>
      </c>
      <c r="W133" s="2"/>
      <c r="X133" s="7">
        <f t="shared" si="29"/>
        <v>61791.007500000007</v>
      </c>
      <c r="Y133" s="2"/>
      <c r="Z133" s="6">
        <f t="shared" si="30"/>
        <v>0.40679179474367283</v>
      </c>
    </row>
    <row r="134" spans="1:26" s="24" customFormat="1" hidden="1" outlineLevel="2" x14ac:dyDescent="0.35">
      <c r="A134" s="29"/>
      <c r="B134" s="11" t="str">
        <f>CONCATENATE("          ", "6008", " - ", "STUDENT HOURLY-FICA EXEMPT")</f>
        <v xml:space="preserve">          6008 - STUDENT HOURLY-FICA EXEMPT</v>
      </c>
      <c r="C134" s="11"/>
      <c r="D134" s="7">
        <v>1244.8800000000001</v>
      </c>
      <c r="E134" s="2"/>
      <c r="F134" s="6">
        <f t="shared" si="23"/>
        <v>1.0560357484490071E-3</v>
      </c>
      <c r="G134" s="2"/>
      <c r="H134" s="7">
        <v>132870.35375000001</v>
      </c>
      <c r="I134" s="2"/>
      <c r="J134" s="6">
        <f t="shared" si="24"/>
        <v>6.8831475876152376E-2</v>
      </c>
      <c r="K134" s="2"/>
      <c r="L134" s="7">
        <f t="shared" si="25"/>
        <v>-131625.47375</v>
      </c>
      <c r="M134" s="2"/>
      <c r="N134" s="6">
        <f t="shared" si="26"/>
        <v>-0.99063086712072512</v>
      </c>
      <c r="O134" s="11"/>
      <c r="P134" s="7">
        <v>6175.33</v>
      </c>
      <c r="Q134" s="2"/>
      <c r="R134" s="6">
        <f t="shared" si="27"/>
        <v>1.592631366091158E-3</v>
      </c>
      <c r="S134" s="2"/>
      <c r="T134" s="7">
        <v>434157.42375000002</v>
      </c>
      <c r="U134" s="2"/>
      <c r="V134" s="6">
        <f t="shared" si="28"/>
        <v>6.536687311244431E-2</v>
      </c>
      <c r="W134" s="2"/>
      <c r="X134" s="7">
        <f t="shared" si="29"/>
        <v>-427982.09375</v>
      </c>
      <c r="Y134" s="2"/>
      <c r="Z134" s="6">
        <f t="shared" si="30"/>
        <v>-0.98577628836411202</v>
      </c>
    </row>
    <row r="135" spans="1:26" s="24" customFormat="1" hidden="1" outlineLevel="2" x14ac:dyDescent="0.35">
      <c r="A135" s="29"/>
      <c r="B135" s="11" t="str">
        <f>CONCATENATE("          ", "6009", " - ", "TEMPORARY-SEASONAL")</f>
        <v xml:space="preserve">          6009 - TEMPORARY-SEASONAL</v>
      </c>
      <c r="C135" s="11"/>
      <c r="D135" s="7"/>
      <c r="E135" s="2"/>
      <c r="F135" s="6">
        <f t="shared" si="23"/>
        <v>0</v>
      </c>
      <c r="G135" s="2"/>
      <c r="H135" s="7">
        <v>0</v>
      </c>
      <c r="I135" s="2"/>
      <c r="J135" s="6">
        <f t="shared" si="24"/>
        <v>0</v>
      </c>
      <c r="K135" s="2"/>
      <c r="L135" s="7">
        <f t="shared" si="25"/>
        <v>0</v>
      </c>
      <c r="M135" s="2"/>
      <c r="N135" s="6">
        <f t="shared" si="26"/>
        <v>0</v>
      </c>
      <c r="O135" s="11"/>
      <c r="P135" s="7"/>
      <c r="Q135" s="2"/>
      <c r="R135" s="6">
        <f t="shared" si="27"/>
        <v>0</v>
      </c>
      <c r="S135" s="2"/>
      <c r="T135" s="7">
        <v>0</v>
      </c>
      <c r="U135" s="2"/>
      <c r="V135" s="6">
        <f t="shared" si="28"/>
        <v>0</v>
      </c>
      <c r="W135" s="2"/>
      <c r="X135" s="7">
        <f t="shared" si="29"/>
        <v>0</v>
      </c>
      <c r="Y135" s="2"/>
      <c r="Z135" s="6">
        <f t="shared" si="30"/>
        <v>0</v>
      </c>
    </row>
    <row r="136" spans="1:26" s="24" customFormat="1" hidden="1" outlineLevel="2" x14ac:dyDescent="0.35">
      <c r="A136" s="29"/>
      <c r="B136" s="11" t="str">
        <f>CONCATENATE("          ", "6010", " - ", "GRATUITY")</f>
        <v xml:space="preserve">          6010 - GRATUITY</v>
      </c>
      <c r="C136" s="11"/>
      <c r="D136" s="7"/>
      <c r="E136" s="2"/>
      <c r="F136" s="6">
        <f t="shared" si="23"/>
        <v>0</v>
      </c>
      <c r="G136" s="2"/>
      <c r="H136" s="7">
        <v>0</v>
      </c>
      <c r="I136" s="2"/>
      <c r="J136" s="6">
        <f t="shared" si="24"/>
        <v>0</v>
      </c>
      <c r="K136" s="2"/>
      <c r="L136" s="7">
        <f t="shared" si="25"/>
        <v>0</v>
      </c>
      <c r="M136" s="2"/>
      <c r="N136" s="6">
        <f t="shared" si="26"/>
        <v>0</v>
      </c>
      <c r="O136" s="11"/>
      <c r="P136" s="7"/>
      <c r="Q136" s="2"/>
      <c r="R136" s="6">
        <f t="shared" si="27"/>
        <v>0</v>
      </c>
      <c r="S136" s="2"/>
      <c r="T136" s="7">
        <v>0</v>
      </c>
      <c r="U136" s="2"/>
      <c r="V136" s="6">
        <f t="shared" si="28"/>
        <v>0</v>
      </c>
      <c r="W136" s="2"/>
      <c r="X136" s="7">
        <f t="shared" si="29"/>
        <v>0</v>
      </c>
      <c r="Y136" s="2"/>
      <c r="Z136" s="6">
        <f t="shared" si="30"/>
        <v>0</v>
      </c>
    </row>
    <row r="137" spans="1:26" s="28" customFormat="1" outlineLevel="1" collapsed="1" x14ac:dyDescent="0.35">
      <c r="A137" s="27"/>
      <c r="B137" s="14" t="str">
        <f>CONCATENATE("     ","Advertising/Promo                                 ")</f>
        <v xml:space="preserve">     Advertising/Promo                                 </v>
      </c>
      <c r="C137" s="14"/>
      <c r="D137" s="1">
        <f>SUM(OSRRefD22_2x_0)</f>
        <v>1331.63</v>
      </c>
      <c r="E137" s="1"/>
      <c r="F137" s="5">
        <f t="shared" ref="F137:F141" si="31">IF(D$12=0,0,D137/D$12)</f>
        <v>1.1296260552881813E-3</v>
      </c>
      <c r="G137" s="1"/>
      <c r="H137" s="1">
        <f>SUM(OSRRefH22_2x_0)</f>
        <v>1530</v>
      </c>
      <c r="I137" s="1"/>
      <c r="J137" s="5">
        <f t="shared" ref="J137:J141" si="32">IF(H$12=0,0,H137/H$12)</f>
        <v>7.9259334470247183E-4</v>
      </c>
      <c r="K137" s="1"/>
      <c r="L137" s="1">
        <f t="shared" ref="L137:L141" si="33">+D137-H137</f>
        <v>-198.36999999999989</v>
      </c>
      <c r="M137" s="1"/>
      <c r="N137" s="5">
        <f t="shared" ref="N137:N141" si="34">IF(H137=0,0,L137/H137)</f>
        <v>-0.12965359477124175</v>
      </c>
      <c r="O137" s="14"/>
      <c r="P137" s="1">
        <f>SUM(OSRRefP22_2x_0)</f>
        <v>16034.14</v>
      </c>
      <c r="Q137" s="1"/>
      <c r="R137" s="5">
        <f t="shared" ref="R137:R141" si="35">IF(P$12=0,0,P137/P$12)</f>
        <v>4.1352404312477034E-3</v>
      </c>
      <c r="S137" s="1"/>
      <c r="T137" s="1">
        <f>SUM(OSRRefT22_2x_0)</f>
        <v>8460</v>
      </c>
      <c r="U137" s="1"/>
      <c r="V137" s="5">
        <f t="shared" ref="V137:V141" si="36">IF(T$12=0,0,T137/T$12)</f>
        <v>1.2737401603196215E-3</v>
      </c>
      <c r="W137" s="1"/>
      <c r="X137" s="1">
        <f t="shared" ref="X137:X141" si="37">+P137-T137</f>
        <v>7574.1399999999994</v>
      </c>
      <c r="Y137" s="1"/>
      <c r="Z137" s="5">
        <f t="shared" ref="Z137:Z141" si="38">IF(T137=0,0,X137/T137)</f>
        <v>0.89528841607565002</v>
      </c>
    </row>
    <row r="138" spans="1:26" s="24" customFormat="1" hidden="1" outlineLevel="2" x14ac:dyDescent="0.35">
      <c r="A138" s="29"/>
      <c r="B138" s="11" t="str">
        <f>CONCATENATE("          ", "6362", " - ", "ADVERTISING EXPENSE")</f>
        <v xml:space="preserve">          6362 - ADVERTISING EXPENSE</v>
      </c>
      <c r="C138" s="11"/>
      <c r="D138" s="7">
        <v>1331.63</v>
      </c>
      <c r="E138" s="2"/>
      <c r="F138" s="6">
        <f t="shared" si="31"/>
        <v>1.1296260552881813E-3</v>
      </c>
      <c r="G138" s="2"/>
      <c r="H138" s="7">
        <v>1530</v>
      </c>
      <c r="I138" s="2"/>
      <c r="J138" s="6">
        <f t="shared" si="32"/>
        <v>7.9259334470247183E-4</v>
      </c>
      <c r="K138" s="2"/>
      <c r="L138" s="7">
        <f t="shared" si="33"/>
        <v>-198.36999999999989</v>
      </c>
      <c r="M138" s="2"/>
      <c r="N138" s="6">
        <f t="shared" si="34"/>
        <v>-0.12965359477124175</v>
      </c>
      <c r="O138" s="11"/>
      <c r="P138" s="7">
        <v>16034.14</v>
      </c>
      <c r="Q138" s="2"/>
      <c r="R138" s="6">
        <f t="shared" si="35"/>
        <v>4.1352404312477034E-3</v>
      </c>
      <c r="S138" s="2"/>
      <c r="T138" s="7">
        <v>8460</v>
      </c>
      <c r="U138" s="2"/>
      <c r="V138" s="6">
        <f t="shared" si="36"/>
        <v>1.2737401603196215E-3</v>
      </c>
      <c r="W138" s="2"/>
      <c r="X138" s="7">
        <f t="shared" si="37"/>
        <v>7574.1399999999994</v>
      </c>
      <c r="Y138" s="2"/>
      <c r="Z138" s="6">
        <f t="shared" si="38"/>
        <v>0.89528841607565002</v>
      </c>
    </row>
    <row r="139" spans="1:26" s="28" customFormat="1" outlineLevel="1" collapsed="1" x14ac:dyDescent="0.35">
      <c r="A139" s="27"/>
      <c r="B139" s="14" t="str">
        <f>CONCATENATE("     ","Bad Debts/Over/Short                              ")</f>
        <v xml:space="preserve">     Bad Debts/Over/Short                              </v>
      </c>
      <c r="C139" s="14"/>
      <c r="D139" s="1">
        <f>SUM(OSRRefD22_3x_0)</f>
        <v>1872.1</v>
      </c>
      <c r="E139" s="1"/>
      <c r="F139" s="5">
        <f t="shared" si="31"/>
        <v>1.5881085122030924E-3</v>
      </c>
      <c r="G139" s="1"/>
      <c r="H139" s="1">
        <f>SUM(OSRRefH22_3x_0)</f>
        <v>110</v>
      </c>
      <c r="I139" s="1"/>
      <c r="J139" s="5">
        <f t="shared" si="32"/>
        <v>5.6983835240046993E-5</v>
      </c>
      <c r="K139" s="1"/>
      <c r="L139" s="1">
        <f t="shared" si="33"/>
        <v>1762.1</v>
      </c>
      <c r="M139" s="1"/>
      <c r="N139" s="5">
        <f t="shared" si="34"/>
        <v>16.019090909090909</v>
      </c>
      <c r="O139" s="14"/>
      <c r="P139" s="1">
        <f>SUM(OSRRefP22_3x_0)</f>
        <v>1918.06</v>
      </c>
      <c r="Q139" s="1"/>
      <c r="R139" s="5">
        <f t="shared" si="35"/>
        <v>4.9467194757928828E-4</v>
      </c>
      <c r="S139" s="1"/>
      <c r="T139" s="1">
        <f>SUM(OSRRefT22_3x_0)</f>
        <v>770</v>
      </c>
      <c r="U139" s="1"/>
      <c r="V139" s="5">
        <f t="shared" si="36"/>
        <v>1.159314330314549E-4</v>
      </c>
      <c r="W139" s="1"/>
      <c r="X139" s="1">
        <f t="shared" si="37"/>
        <v>1148.06</v>
      </c>
      <c r="Y139" s="1"/>
      <c r="Z139" s="5">
        <f t="shared" si="38"/>
        <v>1.4909870129870129</v>
      </c>
    </row>
    <row r="140" spans="1:26" s="24" customFormat="1" hidden="1" outlineLevel="2" x14ac:dyDescent="0.35">
      <c r="A140" s="29"/>
      <c r="B140" s="11" t="str">
        <f>CONCATENATE("          ", "6272", " - ", "CASH (OVER/SHORT)")</f>
        <v xml:space="preserve">          6272 - CASH (OVER/SHORT)</v>
      </c>
      <c r="C140" s="11"/>
      <c r="D140" s="7">
        <v>-124.68</v>
      </c>
      <c r="E140" s="2"/>
      <c r="F140" s="6">
        <f t="shared" si="31"/>
        <v>-1.0576644906868308E-4</v>
      </c>
      <c r="G140" s="2"/>
      <c r="H140" s="7">
        <v>60</v>
      </c>
      <c r="I140" s="2"/>
      <c r="J140" s="6">
        <f t="shared" si="32"/>
        <v>3.1082091949116545E-5</v>
      </c>
      <c r="K140" s="2"/>
      <c r="L140" s="7">
        <f t="shared" si="33"/>
        <v>-184.68</v>
      </c>
      <c r="M140" s="2"/>
      <c r="N140" s="6">
        <f t="shared" si="34"/>
        <v>-3.0780000000000003</v>
      </c>
      <c r="O140" s="11"/>
      <c r="P140" s="7">
        <v>-78.72</v>
      </c>
      <c r="Q140" s="2"/>
      <c r="R140" s="6">
        <f t="shared" si="35"/>
        <v>-2.0302063393971814E-5</v>
      </c>
      <c r="S140" s="2"/>
      <c r="T140" s="7">
        <v>420</v>
      </c>
      <c r="U140" s="2"/>
      <c r="V140" s="6">
        <f t="shared" si="36"/>
        <v>6.3235327108066315E-5</v>
      </c>
      <c r="W140" s="2"/>
      <c r="X140" s="7">
        <f t="shared" si="37"/>
        <v>-498.72</v>
      </c>
      <c r="Y140" s="2"/>
      <c r="Z140" s="6">
        <f t="shared" si="38"/>
        <v>-1.1874285714285715</v>
      </c>
    </row>
    <row r="141" spans="1:26" s="24" customFormat="1" hidden="1" outlineLevel="2" x14ac:dyDescent="0.35">
      <c r="A141" s="29"/>
      <c r="B141" s="11" t="str">
        <f>CONCATENATE("          ", "6342", " - ", "BAD DEBT")</f>
        <v xml:space="preserve">          6342 - BAD DEBT</v>
      </c>
      <c r="C141" s="11"/>
      <c r="D141" s="7">
        <v>1996.78</v>
      </c>
      <c r="E141" s="2"/>
      <c r="F141" s="6">
        <f t="shared" si="31"/>
        <v>1.6938749612717754E-3</v>
      </c>
      <c r="G141" s="2"/>
      <c r="H141" s="7">
        <v>50</v>
      </c>
      <c r="I141" s="2"/>
      <c r="J141" s="6">
        <f t="shared" si="32"/>
        <v>2.5901743290930451E-5</v>
      </c>
      <c r="K141" s="2"/>
      <c r="L141" s="7">
        <f t="shared" si="33"/>
        <v>1946.78</v>
      </c>
      <c r="M141" s="2"/>
      <c r="N141" s="6">
        <f t="shared" si="34"/>
        <v>38.935600000000001</v>
      </c>
      <c r="O141" s="11"/>
      <c r="P141" s="7">
        <v>1996.78</v>
      </c>
      <c r="Q141" s="2"/>
      <c r="R141" s="6">
        <f t="shared" si="35"/>
        <v>5.1497401097326014E-4</v>
      </c>
      <c r="S141" s="2"/>
      <c r="T141" s="7">
        <v>350</v>
      </c>
      <c r="U141" s="2"/>
      <c r="V141" s="6">
        <f t="shared" si="36"/>
        <v>5.2696105923388596E-5</v>
      </c>
      <c r="W141" s="2"/>
      <c r="X141" s="7">
        <f t="shared" si="37"/>
        <v>1646.78</v>
      </c>
      <c r="Y141" s="2"/>
      <c r="Z141" s="6">
        <f t="shared" si="38"/>
        <v>4.7050857142857145</v>
      </c>
    </row>
    <row r="142" spans="1:26" s="28" customFormat="1" outlineLevel="1" collapsed="1" x14ac:dyDescent="0.35">
      <c r="A142" s="27"/>
      <c r="B142" s="14" t="str">
        <f>CONCATENATE("     ","Bank/card Fees                                    ")</f>
        <v xml:space="preserve">     Bank/card Fees                                    </v>
      </c>
      <c r="C142" s="14"/>
      <c r="D142" s="1">
        <f>SUM(OSRRefD22_4x_0)</f>
        <v>14947.88</v>
      </c>
      <c r="E142" s="1"/>
      <c r="F142" s="5">
        <f t="shared" ref="F142:F146" si="39">IF(D$12=0,0,D142/D$12)</f>
        <v>1.2680335167667518E-2</v>
      </c>
      <c r="G142" s="1"/>
      <c r="H142" s="1">
        <f>SUM(OSRRefH22_4x_0)</f>
        <v>16285</v>
      </c>
      <c r="I142" s="1"/>
      <c r="J142" s="5">
        <f t="shared" ref="J142:J146" si="40">IF(H$12=0,0,H142/H$12)</f>
        <v>8.4361977898560481E-3</v>
      </c>
      <c r="K142" s="1"/>
      <c r="L142" s="1">
        <f t="shared" ref="L142:L146" si="41">+D142-H142</f>
        <v>-1337.1200000000008</v>
      </c>
      <c r="M142" s="1"/>
      <c r="N142" s="5">
        <f t="shared" ref="N142:N146" si="42">IF(H142=0,0,L142/H142)</f>
        <v>-8.2107460853546255E-2</v>
      </c>
      <c r="O142" s="14"/>
      <c r="P142" s="1">
        <f>SUM(OSRRefP22_4x_0)</f>
        <v>61744.659999999996</v>
      </c>
      <c r="Q142" s="1"/>
      <c r="R142" s="5">
        <f t="shared" ref="R142:R146" si="43">IF(P$12=0,0,P142/P$12)</f>
        <v>1.5924085385661021E-2</v>
      </c>
      <c r="S142" s="1"/>
      <c r="T142" s="1">
        <f>SUM(OSRRefT22_4x_0)</f>
        <v>137578</v>
      </c>
      <c r="U142" s="1"/>
      <c r="V142" s="5">
        <f t="shared" ref="V142:V146" si="44">IF(T$12=0,0,T142/T$12)</f>
        <v>2.0713785316365588E-2</v>
      </c>
      <c r="W142" s="1"/>
      <c r="X142" s="1">
        <f t="shared" ref="X142:X146" si="45">+P142-T142</f>
        <v>-75833.34</v>
      </c>
      <c r="Y142" s="1"/>
      <c r="Z142" s="5">
        <f t="shared" ref="Z142:Z146" si="46">IF(T142=0,0,X142/T142)</f>
        <v>-0.55120251784442276</v>
      </c>
    </row>
    <row r="143" spans="1:26" s="24" customFormat="1" hidden="1" outlineLevel="2" x14ac:dyDescent="0.35">
      <c r="A143" s="29"/>
      <c r="B143" s="11" t="str">
        <f>CONCATENATE("          ", "6381", " - ", "BANK/CREDIT CARD FEES")</f>
        <v xml:space="preserve">          6381 - BANK/CREDIT CARD FEES</v>
      </c>
      <c r="C143" s="11"/>
      <c r="D143" s="7">
        <v>14947.88</v>
      </c>
      <c r="E143" s="2"/>
      <c r="F143" s="6">
        <f t="shared" si="39"/>
        <v>1.2680335167667518E-2</v>
      </c>
      <c r="G143" s="2"/>
      <c r="H143" s="7">
        <v>16285</v>
      </c>
      <c r="I143" s="2"/>
      <c r="J143" s="6">
        <f t="shared" si="40"/>
        <v>8.4361977898560481E-3</v>
      </c>
      <c r="K143" s="2"/>
      <c r="L143" s="7">
        <f t="shared" si="41"/>
        <v>-1337.1200000000008</v>
      </c>
      <c r="M143" s="2"/>
      <c r="N143" s="6">
        <f t="shared" si="42"/>
        <v>-8.2107460853546255E-2</v>
      </c>
      <c r="O143" s="11"/>
      <c r="P143" s="7">
        <v>61744.659999999996</v>
      </c>
      <c r="Q143" s="2"/>
      <c r="R143" s="6">
        <f t="shared" si="43"/>
        <v>1.5924085385661021E-2</v>
      </c>
      <c r="S143" s="2"/>
      <c r="T143" s="7">
        <v>137578</v>
      </c>
      <c r="U143" s="2"/>
      <c r="V143" s="6">
        <f t="shared" si="44"/>
        <v>2.0713785316365588E-2</v>
      </c>
      <c r="W143" s="2"/>
      <c r="X143" s="7">
        <f t="shared" si="45"/>
        <v>-75833.34</v>
      </c>
      <c r="Y143" s="2"/>
      <c r="Z143" s="6">
        <f t="shared" si="46"/>
        <v>-0.55120251784442276</v>
      </c>
    </row>
    <row r="144" spans="1:26" s="28" customFormat="1" outlineLevel="1" collapsed="1" x14ac:dyDescent="0.35">
      <c r="A144" s="27"/>
      <c r="B144" s="14" t="str">
        <f>CONCATENATE("     ","Depreciation                                      ")</f>
        <v xml:space="preserve">     Depreciation                                      </v>
      </c>
      <c r="C144" s="14"/>
      <c r="D144" s="1">
        <f>SUM(OSRRefD22_5x_0)</f>
        <v>30735.85</v>
      </c>
      <c r="E144" s="1"/>
      <c r="F144" s="5">
        <f t="shared" si="39"/>
        <v>2.6073321411675347E-2</v>
      </c>
      <c r="G144" s="1"/>
      <c r="H144" s="1">
        <f>SUM(OSRRefH22_5x_0)</f>
        <v>30294</v>
      </c>
      <c r="I144" s="1"/>
      <c r="J144" s="5">
        <f t="shared" si="40"/>
        <v>1.5693348225108941E-2</v>
      </c>
      <c r="K144" s="1"/>
      <c r="L144" s="1">
        <f t="shared" si="41"/>
        <v>441.84999999999854</v>
      </c>
      <c r="M144" s="1"/>
      <c r="N144" s="5">
        <f t="shared" si="42"/>
        <v>1.4585396448141498E-2</v>
      </c>
      <c r="O144" s="14"/>
      <c r="P144" s="1">
        <f>SUM(OSRRefP22_5x_0)</f>
        <v>215446.44</v>
      </c>
      <c r="Q144" s="1"/>
      <c r="R144" s="5">
        <f t="shared" si="43"/>
        <v>5.55641169065745E-2</v>
      </c>
      <c r="S144" s="1"/>
      <c r="T144" s="1">
        <f>SUM(OSRRefT22_5x_0)</f>
        <v>213066</v>
      </c>
      <c r="U144" s="1"/>
      <c r="V144" s="5">
        <f t="shared" si="44"/>
        <v>3.2079281441922042E-2</v>
      </c>
      <c r="W144" s="1"/>
      <c r="X144" s="1">
        <f t="shared" si="45"/>
        <v>2380.4400000000023</v>
      </c>
      <c r="Y144" s="1"/>
      <c r="Z144" s="5">
        <f t="shared" si="46"/>
        <v>1.117231280448313E-2</v>
      </c>
    </row>
    <row r="145" spans="1:26" s="24" customFormat="1" hidden="1" outlineLevel="2" x14ac:dyDescent="0.35">
      <c r="A145" s="29"/>
      <c r="B145" s="11" t="str">
        <f>CONCATENATE("          ", "6321", " - ", "BUILDING DEPRECIATION")</f>
        <v xml:space="preserve">          6321 - BUILDING DEPRECIATION</v>
      </c>
      <c r="C145" s="11"/>
      <c r="D145" s="7">
        <v>16396.52</v>
      </c>
      <c r="E145" s="2"/>
      <c r="F145" s="6">
        <f t="shared" si="39"/>
        <v>1.3909221186105577E-2</v>
      </c>
      <c r="G145" s="2"/>
      <c r="H145" s="7"/>
      <c r="I145" s="2"/>
      <c r="J145" s="6">
        <f t="shared" si="40"/>
        <v>0</v>
      </c>
      <c r="K145" s="2"/>
      <c r="L145" s="7">
        <f t="shared" si="41"/>
        <v>16396.52</v>
      </c>
      <c r="M145" s="2"/>
      <c r="N145" s="6">
        <f t="shared" si="42"/>
        <v>0</v>
      </c>
      <c r="O145" s="11"/>
      <c r="P145" s="7">
        <v>114775.64</v>
      </c>
      <c r="Q145" s="2"/>
      <c r="R145" s="6">
        <f t="shared" si="43"/>
        <v>2.9600893284599684E-2</v>
      </c>
      <c r="S145" s="2"/>
      <c r="T145" s="7"/>
      <c r="U145" s="2"/>
      <c r="V145" s="6">
        <f t="shared" si="44"/>
        <v>0</v>
      </c>
      <c r="W145" s="2"/>
      <c r="X145" s="7">
        <f t="shared" si="45"/>
        <v>114775.64</v>
      </c>
      <c r="Y145" s="2"/>
      <c r="Z145" s="6">
        <f t="shared" si="46"/>
        <v>0</v>
      </c>
    </row>
    <row r="146" spans="1:26" s="24" customFormat="1" hidden="1" outlineLevel="2" x14ac:dyDescent="0.35">
      <c r="A146" s="29"/>
      <c r="B146" s="11" t="str">
        <f>CONCATENATE("          ", "6322", " - ", "EQUIPMENT DEPRECIATION EXPENSE")</f>
        <v xml:space="preserve">          6322 - EQUIPMENT DEPRECIATION EXPENSE</v>
      </c>
      <c r="C146" s="11"/>
      <c r="D146" s="7">
        <v>14339.33</v>
      </c>
      <c r="E146" s="2"/>
      <c r="F146" s="6">
        <f t="shared" si="39"/>
        <v>1.2164100225569772E-2</v>
      </c>
      <c r="G146" s="2"/>
      <c r="H146" s="7">
        <v>30294</v>
      </c>
      <c r="I146" s="2"/>
      <c r="J146" s="6">
        <f t="shared" si="40"/>
        <v>1.5693348225108941E-2</v>
      </c>
      <c r="K146" s="2"/>
      <c r="L146" s="7">
        <f t="shared" si="41"/>
        <v>-15954.67</v>
      </c>
      <c r="M146" s="2"/>
      <c r="N146" s="6">
        <f t="shared" si="42"/>
        <v>-0.52666105499438831</v>
      </c>
      <c r="O146" s="11"/>
      <c r="P146" s="7">
        <v>100670.8</v>
      </c>
      <c r="Q146" s="2"/>
      <c r="R146" s="6">
        <f t="shared" si="43"/>
        <v>2.5963223621974819E-2</v>
      </c>
      <c r="S146" s="2"/>
      <c r="T146" s="7">
        <v>213066</v>
      </c>
      <c r="U146" s="2"/>
      <c r="V146" s="6">
        <f t="shared" si="44"/>
        <v>3.2079281441922042E-2</v>
      </c>
      <c r="W146" s="2"/>
      <c r="X146" s="7">
        <f t="shared" si="45"/>
        <v>-112395.2</v>
      </c>
      <c r="Y146" s="2"/>
      <c r="Z146" s="6">
        <f t="shared" si="46"/>
        <v>-0.52751354040532039</v>
      </c>
    </row>
    <row r="147" spans="1:26" s="28" customFormat="1" outlineLevel="1" collapsed="1" x14ac:dyDescent="0.35">
      <c r="A147" s="27"/>
      <c r="B147" s="14" t="str">
        <f>CONCATENATE("     ","Discounts and Markdowns                           ")</f>
        <v xml:space="preserve">     Discounts and Markdowns                           </v>
      </c>
      <c r="C147" s="14"/>
      <c r="D147" s="1">
        <f>SUM(OSRRefD22_6x_0)</f>
        <v>-42.86</v>
      </c>
      <c r="E147" s="1"/>
      <c r="F147" s="5">
        <f t="shared" ref="F147:F149" si="47">IF(D$12=0,0,D147/D$12)</f>
        <v>-3.6358277246420889E-5</v>
      </c>
      <c r="G147" s="1"/>
      <c r="H147" s="1">
        <f>SUM(OSRRefH22_6x_0)</f>
        <v>27008</v>
      </c>
      <c r="I147" s="1"/>
      <c r="J147" s="5">
        <f t="shared" ref="J147:J149" si="48">IF(H$12=0,0,H147/H$12)</f>
        <v>1.3991085656028994E-2</v>
      </c>
      <c r="K147" s="1"/>
      <c r="L147" s="1">
        <f t="shared" ref="L147:L149" si="49">+D147-H147</f>
        <v>-27050.86</v>
      </c>
      <c r="M147" s="1"/>
      <c r="N147" s="5">
        <f t="shared" ref="N147:N149" si="50">IF(H147=0,0,L147/H147)</f>
        <v>-1.0015869372037915</v>
      </c>
      <c r="O147" s="14"/>
      <c r="P147" s="1">
        <f>SUM(OSRRefP22_6x_0)</f>
        <v>-42.86</v>
      </c>
      <c r="Q147" s="1"/>
      <c r="R147" s="5">
        <f t="shared" ref="R147:R149" si="51">IF(P$12=0,0,P147/P$12)</f>
        <v>-1.1053689495244308E-5</v>
      </c>
      <c r="S147" s="1"/>
      <c r="T147" s="1">
        <f>SUM(OSRRefT22_6x_0)</f>
        <v>186831</v>
      </c>
      <c r="U147" s="1"/>
      <c r="V147" s="5">
        <f t="shared" ref="V147:V149" si="52">IF(T$12=0,0,T147/T$12)</f>
        <v>2.8129331902207469E-2</v>
      </c>
      <c r="W147" s="1"/>
      <c r="X147" s="1">
        <f t="shared" ref="X147:X149" si="53">+P147-T147</f>
        <v>-186873.86</v>
      </c>
      <c r="Y147" s="1"/>
      <c r="Z147" s="5">
        <f t="shared" ref="Z147:Z149" si="54">IF(T147=0,0,X147/T147)</f>
        <v>-1.0002294051843643</v>
      </c>
    </row>
    <row r="148" spans="1:26" s="24" customFormat="1" hidden="1" outlineLevel="2" x14ac:dyDescent="0.35">
      <c r="A148" s="29"/>
      <c r="B148" s="11" t="str">
        <f>CONCATENATE("          ", "6382", " - ", "DISCOUNTS/MARK DOWNS")</f>
        <v xml:space="preserve">          6382 - DISCOUNTS/MARK DOWNS</v>
      </c>
      <c r="C148" s="11"/>
      <c r="D148" s="7"/>
      <c r="E148" s="2"/>
      <c r="F148" s="6">
        <f t="shared" si="47"/>
        <v>0</v>
      </c>
      <c r="G148" s="2"/>
      <c r="H148" s="7">
        <v>27008</v>
      </c>
      <c r="I148" s="2"/>
      <c r="J148" s="6">
        <f t="shared" si="48"/>
        <v>1.3991085656028994E-2</v>
      </c>
      <c r="K148" s="2"/>
      <c r="L148" s="7">
        <f t="shared" si="49"/>
        <v>-27008</v>
      </c>
      <c r="M148" s="2"/>
      <c r="N148" s="6">
        <f t="shared" si="50"/>
        <v>-1</v>
      </c>
      <c r="O148" s="11"/>
      <c r="P148" s="7">
        <v>0</v>
      </c>
      <c r="Q148" s="2"/>
      <c r="R148" s="6">
        <f t="shared" si="51"/>
        <v>0</v>
      </c>
      <c r="S148" s="2"/>
      <c r="T148" s="7">
        <v>186831</v>
      </c>
      <c r="U148" s="2"/>
      <c r="V148" s="6">
        <f t="shared" si="52"/>
        <v>2.8129331902207469E-2</v>
      </c>
      <c r="W148" s="2"/>
      <c r="X148" s="7">
        <f t="shared" si="53"/>
        <v>-186831</v>
      </c>
      <c r="Y148" s="2"/>
      <c r="Z148" s="6">
        <f t="shared" si="54"/>
        <v>-1</v>
      </c>
    </row>
    <row r="149" spans="1:26" s="24" customFormat="1" hidden="1" outlineLevel="2" x14ac:dyDescent="0.35">
      <c r="A149" s="29"/>
      <c r="B149" s="11" t="str">
        <f>CONCATENATE("          ", "9175", " - ", "EARNED DISCOUNTS")</f>
        <v xml:space="preserve">          9175 - EARNED DISCOUNTS</v>
      </c>
      <c r="C149" s="11"/>
      <c r="D149" s="7">
        <v>-42.86</v>
      </c>
      <c r="E149" s="2"/>
      <c r="F149" s="6">
        <f t="shared" si="47"/>
        <v>-3.6358277246420889E-5</v>
      </c>
      <c r="G149" s="2"/>
      <c r="H149" s="7"/>
      <c r="I149" s="2"/>
      <c r="J149" s="6">
        <f t="shared" si="48"/>
        <v>0</v>
      </c>
      <c r="K149" s="2"/>
      <c r="L149" s="7">
        <f t="shared" si="49"/>
        <v>-42.86</v>
      </c>
      <c r="M149" s="2"/>
      <c r="N149" s="6">
        <f t="shared" si="50"/>
        <v>0</v>
      </c>
      <c r="O149" s="11"/>
      <c r="P149" s="7">
        <v>-42.86</v>
      </c>
      <c r="Q149" s="2"/>
      <c r="R149" s="6">
        <f t="shared" si="51"/>
        <v>-1.1053689495244308E-5</v>
      </c>
      <c r="S149" s="2"/>
      <c r="T149" s="7"/>
      <c r="U149" s="2"/>
      <c r="V149" s="6">
        <f t="shared" si="52"/>
        <v>0</v>
      </c>
      <c r="W149" s="2"/>
      <c r="X149" s="7">
        <f t="shared" si="53"/>
        <v>-42.86</v>
      </c>
      <c r="Y149" s="2"/>
      <c r="Z149" s="6">
        <f t="shared" si="54"/>
        <v>0</v>
      </c>
    </row>
    <row r="150" spans="1:26" s="28" customFormat="1" outlineLevel="1" collapsed="1" x14ac:dyDescent="0.35">
      <c r="A150" s="27"/>
      <c r="B150" s="14" t="str">
        <f>CONCATENATE("     ","Donations                                         ")</f>
        <v xml:space="preserve">     Donations                                         </v>
      </c>
      <c r="C150" s="14"/>
      <c r="D150" s="1">
        <f>SUM(OSRRefD22_7x_0)</f>
        <v>0</v>
      </c>
      <c r="E150" s="1"/>
      <c r="F150" s="5">
        <f t="shared" ref="F150:F152" si="55">IF(D$12=0,0,D150/D$12)</f>
        <v>0</v>
      </c>
      <c r="G150" s="1"/>
      <c r="H150" s="1">
        <f>SUM(OSRRefH22_7x_0)</f>
        <v>1000</v>
      </c>
      <c r="I150" s="1"/>
      <c r="J150" s="5">
        <f t="shared" ref="J150:J152" si="56">IF(H$12=0,0,H150/H$12)</f>
        <v>5.1803486581860909E-4</v>
      </c>
      <c r="K150" s="1"/>
      <c r="L150" s="1">
        <f t="shared" ref="L150:L152" si="57">+D150-H150</f>
        <v>-1000</v>
      </c>
      <c r="M150" s="1"/>
      <c r="N150" s="5">
        <f t="shared" ref="N150:N152" si="58">IF(H150=0,0,L150/H150)</f>
        <v>-1</v>
      </c>
      <c r="O150" s="14"/>
      <c r="P150" s="1">
        <f>SUM(OSRRefP22_7x_0)</f>
        <v>0</v>
      </c>
      <c r="Q150" s="1"/>
      <c r="R150" s="5">
        <f t="shared" ref="R150:R152" si="59">IF(P$12=0,0,P150/P$12)</f>
        <v>0</v>
      </c>
      <c r="S150" s="1"/>
      <c r="T150" s="1">
        <f>SUM(OSRRefT22_7x_0)</f>
        <v>7000</v>
      </c>
      <c r="U150" s="1"/>
      <c r="V150" s="5">
        <f t="shared" ref="V150:V152" si="60">IF(T$12=0,0,T150/T$12)</f>
        <v>1.0539221184677719E-3</v>
      </c>
      <c r="W150" s="1"/>
      <c r="X150" s="1">
        <f t="shared" ref="X150:X152" si="61">+P150-T150</f>
        <v>-7000</v>
      </c>
      <c r="Y150" s="1"/>
      <c r="Z150" s="5">
        <f t="shared" ref="Z150:Z152" si="62">IF(T150=0,0,X150/T150)</f>
        <v>-1</v>
      </c>
    </row>
    <row r="151" spans="1:26" s="24" customFormat="1" hidden="1" outlineLevel="2" x14ac:dyDescent="0.35">
      <c r="A151" s="29"/>
      <c r="B151" s="11" t="str">
        <f>CONCATENATE("          ", "6395", " - ", "DONATION-OFF CAMPUS")</f>
        <v xml:space="preserve">          6395 - DONATION-OFF CAMPUS</v>
      </c>
      <c r="C151" s="11"/>
      <c r="D151" s="7"/>
      <c r="E151" s="2"/>
      <c r="F151" s="6">
        <f t="shared" si="55"/>
        <v>0</v>
      </c>
      <c r="G151" s="2"/>
      <c r="H151" s="7"/>
      <c r="I151" s="2"/>
      <c r="J151" s="6">
        <f t="shared" si="56"/>
        <v>0</v>
      </c>
      <c r="K151" s="2"/>
      <c r="L151" s="7">
        <f t="shared" si="57"/>
        <v>0</v>
      </c>
      <c r="M151" s="2"/>
      <c r="N151" s="6">
        <f t="shared" si="58"/>
        <v>0</v>
      </c>
      <c r="O151" s="11"/>
      <c r="P151" s="7"/>
      <c r="Q151" s="2"/>
      <c r="R151" s="6">
        <f t="shared" si="59"/>
        <v>0</v>
      </c>
      <c r="S151" s="2"/>
      <c r="T151" s="7">
        <v>0</v>
      </c>
      <c r="U151" s="2"/>
      <c r="V151" s="6">
        <f t="shared" si="60"/>
        <v>0</v>
      </c>
      <c r="W151" s="2"/>
      <c r="X151" s="7">
        <f t="shared" si="61"/>
        <v>0</v>
      </c>
      <c r="Y151" s="2"/>
      <c r="Z151" s="6">
        <f t="shared" si="62"/>
        <v>0</v>
      </c>
    </row>
    <row r="152" spans="1:26" s="24" customFormat="1" hidden="1" outlineLevel="2" x14ac:dyDescent="0.35">
      <c r="A152" s="29"/>
      <c r="B152" s="11" t="str">
        <f>CONCATENATE("          ", "6399", " - ", "DONATION-ON CAMPUS")</f>
        <v xml:space="preserve">          6399 - DONATION-ON CAMPUS</v>
      </c>
      <c r="C152" s="11"/>
      <c r="D152" s="7"/>
      <c r="E152" s="2"/>
      <c r="F152" s="6">
        <f t="shared" si="55"/>
        <v>0</v>
      </c>
      <c r="G152" s="2"/>
      <c r="H152" s="7">
        <v>1000</v>
      </c>
      <c r="I152" s="2"/>
      <c r="J152" s="6">
        <f t="shared" si="56"/>
        <v>5.1803486581860909E-4</v>
      </c>
      <c r="K152" s="2"/>
      <c r="L152" s="7">
        <f t="shared" si="57"/>
        <v>-1000</v>
      </c>
      <c r="M152" s="2"/>
      <c r="N152" s="6">
        <f t="shared" si="58"/>
        <v>-1</v>
      </c>
      <c r="O152" s="11"/>
      <c r="P152" s="7"/>
      <c r="Q152" s="2"/>
      <c r="R152" s="6">
        <f t="shared" si="59"/>
        <v>0</v>
      </c>
      <c r="S152" s="2"/>
      <c r="T152" s="7">
        <v>7000</v>
      </c>
      <c r="U152" s="2"/>
      <c r="V152" s="6">
        <f t="shared" si="60"/>
        <v>1.0539221184677719E-3</v>
      </c>
      <c r="W152" s="2"/>
      <c r="X152" s="7">
        <f t="shared" si="61"/>
        <v>-7000</v>
      </c>
      <c r="Y152" s="2"/>
      <c r="Z152" s="6">
        <f t="shared" si="62"/>
        <v>-1</v>
      </c>
    </row>
    <row r="153" spans="1:26" s="28" customFormat="1" outlineLevel="1" collapsed="1" x14ac:dyDescent="0.35">
      <c r="A153" s="27"/>
      <c r="B153" s="14" t="str">
        <f>CONCATENATE("     ","Employees' Appreciation                           ")</f>
        <v xml:space="preserve">     Employees' Appreciation                           </v>
      </c>
      <c r="C153" s="14"/>
      <c r="D153" s="1">
        <f>SUM(OSRRefD22_8x_0)</f>
        <v>78.33</v>
      </c>
      <c r="E153" s="1"/>
      <c r="F153" s="5">
        <f t="shared" ref="F153:F159" si="63">IF(D$12=0,0,D153/D$12)</f>
        <v>6.6447593483717882E-5</v>
      </c>
      <c r="G153" s="1"/>
      <c r="H153" s="1">
        <f>SUM(OSRRefH22_8x_0)</f>
        <v>425</v>
      </c>
      <c r="I153" s="1"/>
      <c r="J153" s="5">
        <f t="shared" ref="J153:J159" si="64">IF(H$12=0,0,H153/H$12)</f>
        <v>2.2016481797290885E-4</v>
      </c>
      <c r="K153" s="1"/>
      <c r="L153" s="1">
        <f t="shared" ref="L153:L159" si="65">+D153-H153</f>
        <v>-346.67</v>
      </c>
      <c r="M153" s="1"/>
      <c r="N153" s="5">
        <f t="shared" ref="N153:N159" si="66">IF(H153=0,0,L153/H153)</f>
        <v>-0.8156941176470589</v>
      </c>
      <c r="O153" s="14"/>
      <c r="P153" s="1">
        <f>SUM(OSRRefP22_8x_0)</f>
        <v>186.03</v>
      </c>
      <c r="Q153" s="1"/>
      <c r="R153" s="5">
        <f t="shared" ref="R153:R159" si="67">IF(P$12=0,0,P153/P$12)</f>
        <v>4.7977551488574396E-5</v>
      </c>
      <c r="S153" s="1"/>
      <c r="T153" s="1">
        <f>SUM(OSRRefT22_8x_0)</f>
        <v>2875</v>
      </c>
      <c r="U153" s="1"/>
      <c r="V153" s="5">
        <f t="shared" ref="V153:V159" si="68">IF(T$12=0,0,T153/T$12)</f>
        <v>4.3286087008497773E-4</v>
      </c>
      <c r="W153" s="1"/>
      <c r="X153" s="1">
        <f t="shared" ref="X153:X159" si="69">+P153-T153</f>
        <v>-2688.97</v>
      </c>
      <c r="Y153" s="1"/>
      <c r="Z153" s="5">
        <f t="shared" ref="Z153:Z159" si="70">IF(T153=0,0,X153/T153)</f>
        <v>-0.9352939130434782</v>
      </c>
    </row>
    <row r="154" spans="1:26" s="24" customFormat="1" hidden="1" outlineLevel="2" x14ac:dyDescent="0.35">
      <c r="A154" s="29"/>
      <c r="B154" s="11" t="str">
        <f>CONCATENATE("          ", "6277", " - ", "EMPLOYEE APPRECIATION")</f>
        <v xml:space="preserve">          6277 - EMPLOYEE APPRECIATION</v>
      </c>
      <c r="C154" s="11"/>
      <c r="D154" s="7">
        <v>78.33</v>
      </c>
      <c r="E154" s="2"/>
      <c r="F154" s="6">
        <f t="shared" si="63"/>
        <v>6.6447593483717882E-5</v>
      </c>
      <c r="G154" s="2"/>
      <c r="H154" s="7">
        <v>425</v>
      </c>
      <c r="I154" s="2"/>
      <c r="J154" s="6">
        <f t="shared" si="64"/>
        <v>2.2016481797290885E-4</v>
      </c>
      <c r="K154" s="2"/>
      <c r="L154" s="7">
        <f t="shared" si="65"/>
        <v>-346.67</v>
      </c>
      <c r="M154" s="2"/>
      <c r="N154" s="6">
        <f t="shared" si="66"/>
        <v>-0.8156941176470589</v>
      </c>
      <c r="O154" s="11"/>
      <c r="P154" s="7">
        <v>186.03</v>
      </c>
      <c r="Q154" s="2"/>
      <c r="R154" s="6">
        <f t="shared" si="67"/>
        <v>4.7977551488574396E-5</v>
      </c>
      <c r="S154" s="2"/>
      <c r="T154" s="7">
        <v>2875</v>
      </c>
      <c r="U154" s="2"/>
      <c r="V154" s="6">
        <f t="shared" si="68"/>
        <v>4.3286087008497773E-4</v>
      </c>
      <c r="W154" s="2"/>
      <c r="X154" s="7">
        <f t="shared" si="69"/>
        <v>-2688.97</v>
      </c>
      <c r="Y154" s="2"/>
      <c r="Z154" s="6">
        <f t="shared" si="70"/>
        <v>-0.9352939130434782</v>
      </c>
    </row>
    <row r="155" spans="1:26" s="28" customFormat="1" outlineLevel="1" collapsed="1" x14ac:dyDescent="0.35">
      <c r="A155" s="27"/>
      <c r="B155" s="14" t="str">
        <f>CONCATENATE("     ","Equipment Rental                                  ")</f>
        <v xml:space="preserve">     Equipment Rental                                  </v>
      </c>
      <c r="C155" s="14"/>
      <c r="D155" s="1">
        <f>SUM(OSRRefD22_9x_0)</f>
        <v>1388.16</v>
      </c>
      <c r="E155" s="1"/>
      <c r="F155" s="5">
        <f t="shared" si="63"/>
        <v>1.1775806379466082E-3</v>
      </c>
      <c r="G155" s="1"/>
      <c r="H155" s="1">
        <f>SUM(OSRRefH22_9x_0)</f>
        <v>3006</v>
      </c>
      <c r="I155" s="1"/>
      <c r="J155" s="5">
        <f t="shared" si="64"/>
        <v>1.5572128066507389E-3</v>
      </c>
      <c r="K155" s="1"/>
      <c r="L155" s="1">
        <f t="shared" si="65"/>
        <v>-1617.84</v>
      </c>
      <c r="M155" s="1"/>
      <c r="N155" s="5">
        <f t="shared" si="66"/>
        <v>-0.53820359281437125</v>
      </c>
      <c r="O155" s="14"/>
      <c r="P155" s="1">
        <f>SUM(OSRRefP22_9x_0)</f>
        <v>10364.9</v>
      </c>
      <c r="Q155" s="1"/>
      <c r="R155" s="5">
        <f t="shared" si="67"/>
        <v>2.6731308037624296E-3</v>
      </c>
      <c r="S155" s="1"/>
      <c r="T155" s="1">
        <f>SUM(OSRRefT22_9x_0)</f>
        <v>21042</v>
      </c>
      <c r="U155" s="1"/>
      <c r="V155" s="5">
        <f t="shared" si="68"/>
        <v>3.1680898881141224E-3</v>
      </c>
      <c r="W155" s="1"/>
      <c r="X155" s="1">
        <f t="shared" si="69"/>
        <v>-10677.1</v>
      </c>
      <c r="Y155" s="1"/>
      <c r="Z155" s="5">
        <f t="shared" si="70"/>
        <v>-0.50741849634065206</v>
      </c>
    </row>
    <row r="156" spans="1:26" s="24" customFormat="1" hidden="1" outlineLevel="2" x14ac:dyDescent="0.35">
      <c r="A156" s="29"/>
      <c r="B156" s="11" t="str">
        <f>CONCATENATE("          ", "6351", " - ", "EQUIPMENT RENTAL")</f>
        <v xml:space="preserve">          6351 - EQUIPMENT RENTAL</v>
      </c>
      <c r="C156" s="11"/>
      <c r="D156" s="7">
        <v>1388.16</v>
      </c>
      <c r="E156" s="2"/>
      <c r="F156" s="6">
        <f t="shared" si="63"/>
        <v>1.1775806379466082E-3</v>
      </c>
      <c r="G156" s="2"/>
      <c r="H156" s="7">
        <v>3006</v>
      </c>
      <c r="I156" s="2"/>
      <c r="J156" s="6">
        <f t="shared" si="64"/>
        <v>1.5572128066507389E-3</v>
      </c>
      <c r="K156" s="2"/>
      <c r="L156" s="7">
        <f t="shared" si="65"/>
        <v>-1617.84</v>
      </c>
      <c r="M156" s="2"/>
      <c r="N156" s="6">
        <f t="shared" si="66"/>
        <v>-0.53820359281437125</v>
      </c>
      <c r="O156" s="11"/>
      <c r="P156" s="7">
        <v>10364.9</v>
      </c>
      <c r="Q156" s="2"/>
      <c r="R156" s="6">
        <f t="shared" si="67"/>
        <v>2.6731308037624296E-3</v>
      </c>
      <c r="S156" s="2"/>
      <c r="T156" s="7">
        <v>21042</v>
      </c>
      <c r="U156" s="2"/>
      <c r="V156" s="6">
        <f t="shared" si="68"/>
        <v>3.1680898881141224E-3</v>
      </c>
      <c r="W156" s="2"/>
      <c r="X156" s="7">
        <f t="shared" si="69"/>
        <v>-10677.1</v>
      </c>
      <c r="Y156" s="2"/>
      <c r="Z156" s="6">
        <f t="shared" si="70"/>
        <v>-0.50741849634065206</v>
      </c>
    </row>
    <row r="157" spans="1:26" s="28" customFormat="1" outlineLevel="1" collapsed="1" x14ac:dyDescent="0.35">
      <c r="A157" s="27"/>
      <c r="B157" s="14" t="str">
        <f>CONCATENATE("     ","Freight out/Postage                               ")</f>
        <v xml:space="preserve">     Freight out/Postage                               </v>
      </c>
      <c r="C157" s="14"/>
      <c r="D157" s="1">
        <f>SUM(OSRRefD22_10x_0)</f>
        <v>-21770.530000000002</v>
      </c>
      <c r="E157" s="1"/>
      <c r="F157" s="5">
        <f t="shared" si="63"/>
        <v>-1.8468011328546977E-2</v>
      </c>
      <c r="G157" s="1"/>
      <c r="H157" s="1">
        <f>SUM(OSRRefH22_10x_0)</f>
        <v>-11310</v>
      </c>
      <c r="I157" s="1"/>
      <c r="J157" s="5">
        <f t="shared" si="64"/>
        <v>-5.8589743324084682E-3</v>
      </c>
      <c r="K157" s="1"/>
      <c r="L157" s="1">
        <f t="shared" si="65"/>
        <v>-10460.530000000002</v>
      </c>
      <c r="M157" s="1"/>
      <c r="N157" s="5">
        <f t="shared" si="66"/>
        <v>0.92489213085764832</v>
      </c>
      <c r="O157" s="14"/>
      <c r="P157" s="1">
        <f>SUM(OSRRefP22_10x_0)</f>
        <v>-36819.389999999985</v>
      </c>
      <c r="Q157" s="1"/>
      <c r="R157" s="5">
        <f t="shared" si="67"/>
        <v>-9.495802717319252E-3</v>
      </c>
      <c r="S157" s="1"/>
      <c r="T157" s="1">
        <f>SUM(OSRRefT22_10x_0)</f>
        <v>40765</v>
      </c>
      <c r="U157" s="1"/>
      <c r="V157" s="5">
        <f t="shared" si="68"/>
        <v>6.1375907370483885E-3</v>
      </c>
      <c r="W157" s="1"/>
      <c r="X157" s="1">
        <f t="shared" si="69"/>
        <v>-77584.389999999985</v>
      </c>
      <c r="Y157" s="1"/>
      <c r="Z157" s="5">
        <f t="shared" si="70"/>
        <v>-1.9032108426346126</v>
      </c>
    </row>
    <row r="158" spans="1:26" s="24" customFormat="1" hidden="1" outlineLevel="2" x14ac:dyDescent="0.35">
      <c r="A158" s="29"/>
      <c r="B158" s="11" t="str">
        <f>CONCATENATE("          ", "6305", " - ", "FREIGHT OUT")</f>
        <v xml:space="preserve">          6305 - FREIGHT OUT</v>
      </c>
      <c r="C158" s="11"/>
      <c r="D158" s="7">
        <v>18715.689999999999</v>
      </c>
      <c r="E158" s="2"/>
      <c r="F158" s="6">
        <f t="shared" si="63"/>
        <v>1.5876580631779443E-2</v>
      </c>
      <c r="G158" s="2"/>
      <c r="H158" s="7">
        <v>4670</v>
      </c>
      <c r="I158" s="2"/>
      <c r="J158" s="6">
        <f t="shared" si="64"/>
        <v>2.4192228233729041E-3</v>
      </c>
      <c r="K158" s="2"/>
      <c r="L158" s="7">
        <f t="shared" si="65"/>
        <v>14045.689999999999</v>
      </c>
      <c r="M158" s="2"/>
      <c r="N158" s="6">
        <f t="shared" si="66"/>
        <v>3.0076423982869378</v>
      </c>
      <c r="O158" s="11"/>
      <c r="P158" s="7">
        <v>135489.20000000001</v>
      </c>
      <c r="Q158" s="2"/>
      <c r="R158" s="6">
        <f t="shared" si="67"/>
        <v>3.4942966559940628E-2</v>
      </c>
      <c r="S158" s="2"/>
      <c r="T158" s="7">
        <v>37375</v>
      </c>
      <c r="U158" s="2"/>
      <c r="V158" s="6">
        <f t="shared" si="68"/>
        <v>5.6271913111047107E-3</v>
      </c>
      <c r="W158" s="2"/>
      <c r="X158" s="7">
        <f t="shared" si="69"/>
        <v>98114.200000000012</v>
      </c>
      <c r="Y158" s="2"/>
      <c r="Z158" s="6">
        <f t="shared" si="70"/>
        <v>2.625129096989967</v>
      </c>
    </row>
    <row r="159" spans="1:26" s="24" customFormat="1" hidden="1" outlineLevel="2" x14ac:dyDescent="0.35">
      <c r="A159" s="29"/>
      <c r="B159" s="11" t="str">
        <f>CONCATENATE("          ", "6307", " - ", "POSTAGE")</f>
        <v xml:space="preserve">          6307 - POSTAGE</v>
      </c>
      <c r="C159" s="11"/>
      <c r="D159" s="7">
        <v>-40486.22</v>
      </c>
      <c r="E159" s="2"/>
      <c r="F159" s="6">
        <f t="shared" si="63"/>
        <v>-3.4344591960326416E-2</v>
      </c>
      <c r="G159" s="2"/>
      <c r="H159" s="7">
        <v>-15980</v>
      </c>
      <c r="I159" s="2"/>
      <c r="J159" s="6">
        <f t="shared" si="64"/>
        <v>-8.2781971557813732E-3</v>
      </c>
      <c r="K159" s="2"/>
      <c r="L159" s="7">
        <f t="shared" si="65"/>
        <v>-24506.22</v>
      </c>
      <c r="M159" s="2"/>
      <c r="N159" s="6">
        <f t="shared" si="66"/>
        <v>1.5335556946182729</v>
      </c>
      <c r="O159" s="11"/>
      <c r="P159" s="7">
        <v>-172308.59</v>
      </c>
      <c r="Q159" s="2"/>
      <c r="R159" s="6">
        <f t="shared" si="67"/>
        <v>-4.4438769277259878E-2</v>
      </c>
      <c r="S159" s="2"/>
      <c r="T159" s="7">
        <v>3390</v>
      </c>
      <c r="U159" s="2"/>
      <c r="V159" s="6">
        <f t="shared" si="68"/>
        <v>5.1039942594367815E-4</v>
      </c>
      <c r="W159" s="2"/>
      <c r="X159" s="7">
        <f t="shared" si="69"/>
        <v>-175698.59</v>
      </c>
      <c r="Y159" s="2"/>
      <c r="Z159" s="6">
        <f t="shared" si="70"/>
        <v>-51.828492625368732</v>
      </c>
    </row>
    <row r="160" spans="1:26" s="28" customFormat="1" outlineLevel="1" collapsed="1" x14ac:dyDescent="0.35">
      <c r="A160" s="27"/>
      <c r="B160" s="14" t="str">
        <f>CONCATENATE("     ","General                                           ")</f>
        <v xml:space="preserve">     General                                           </v>
      </c>
      <c r="C160" s="14"/>
      <c r="D160" s="1">
        <f>SUM(OSRRefD22_11x_0)</f>
        <v>223.63</v>
      </c>
      <c r="E160" s="1"/>
      <c r="F160" s="5">
        <f t="shared" ref="F160:F163" si="71">IF(D$12=0,0,D160/D$12)</f>
        <v>1.8970605554402946E-4</v>
      </c>
      <c r="G160" s="1"/>
      <c r="H160" s="1">
        <f>SUM(OSRRefH22_11x_0)</f>
        <v>1000</v>
      </c>
      <c r="I160" s="1"/>
      <c r="J160" s="5">
        <f t="shared" ref="J160:J163" si="72">IF(H$12=0,0,H160/H$12)</f>
        <v>5.1803486581860909E-4</v>
      </c>
      <c r="K160" s="1"/>
      <c r="L160" s="1">
        <f t="shared" ref="L160:L163" si="73">+D160-H160</f>
        <v>-776.37</v>
      </c>
      <c r="M160" s="1"/>
      <c r="N160" s="5">
        <f t="shared" ref="N160:N163" si="74">IF(H160=0,0,L160/H160)</f>
        <v>-0.77637</v>
      </c>
      <c r="O160" s="14"/>
      <c r="P160" s="1">
        <f>SUM(OSRRefP22_11x_0)</f>
        <v>2514</v>
      </c>
      <c r="Q160" s="1"/>
      <c r="R160" s="5">
        <f t="shared" ref="R160:R163" si="75">IF(P$12=0,0,P160/P$12)</f>
        <v>6.4836620137760593E-4</v>
      </c>
      <c r="S160" s="1"/>
      <c r="T160" s="1">
        <f>SUM(OSRRefT22_11x_0)</f>
        <v>8075</v>
      </c>
      <c r="U160" s="1"/>
      <c r="V160" s="5">
        <f t="shared" ref="V160:V163" si="76">IF(T$12=0,0,T160/T$12)</f>
        <v>1.215774443803894E-3</v>
      </c>
      <c r="W160" s="1"/>
      <c r="X160" s="1">
        <f t="shared" ref="X160:X163" si="77">+P160-T160</f>
        <v>-5561</v>
      </c>
      <c r="Y160" s="1"/>
      <c r="Z160" s="5">
        <f t="shared" ref="Z160:Z163" si="78">IF(T160=0,0,X160/T160)</f>
        <v>-0.68866873065015477</v>
      </c>
    </row>
    <row r="161" spans="1:26" s="24" customFormat="1" hidden="1" outlineLevel="2" x14ac:dyDescent="0.35">
      <c r="A161" s="29"/>
      <c r="B161" s="11" t="str">
        <f>CONCATENATE("          ", "6269", " - ", "ENTERTAINMENT")</f>
        <v xml:space="preserve">          6269 - ENTERTAINMENT</v>
      </c>
      <c r="C161" s="11"/>
      <c r="D161" s="7"/>
      <c r="E161" s="2"/>
      <c r="F161" s="6">
        <f t="shared" si="71"/>
        <v>0</v>
      </c>
      <c r="G161" s="2"/>
      <c r="H161" s="7"/>
      <c r="I161" s="2"/>
      <c r="J161" s="6">
        <f t="shared" si="72"/>
        <v>0</v>
      </c>
      <c r="K161" s="2"/>
      <c r="L161" s="7">
        <f t="shared" si="73"/>
        <v>0</v>
      </c>
      <c r="M161" s="2"/>
      <c r="N161" s="6">
        <f t="shared" si="74"/>
        <v>0</v>
      </c>
      <c r="O161" s="11"/>
      <c r="P161" s="7"/>
      <c r="Q161" s="2"/>
      <c r="R161" s="6">
        <f t="shared" si="75"/>
        <v>0</v>
      </c>
      <c r="S161" s="2"/>
      <c r="T161" s="7">
        <v>1375</v>
      </c>
      <c r="U161" s="2"/>
      <c r="V161" s="6">
        <f t="shared" si="76"/>
        <v>2.0702041612759804E-4</v>
      </c>
      <c r="W161" s="2"/>
      <c r="X161" s="7">
        <f t="shared" si="77"/>
        <v>-1375</v>
      </c>
      <c r="Y161" s="2"/>
      <c r="Z161" s="6">
        <f t="shared" si="78"/>
        <v>-1</v>
      </c>
    </row>
    <row r="162" spans="1:26" s="24" customFormat="1" hidden="1" outlineLevel="2" x14ac:dyDescent="0.35">
      <c r="A162" s="29"/>
      <c r="B162" s="11" t="str">
        <f>CONCATENATE("          ", "6276", " - ", "PROPERTY TAX")</f>
        <v xml:space="preserve">          6276 - PROPERTY TAX</v>
      </c>
      <c r="C162" s="11"/>
      <c r="D162" s="7"/>
      <c r="E162" s="2"/>
      <c r="F162" s="6">
        <f t="shared" si="71"/>
        <v>0</v>
      </c>
      <c r="G162" s="2"/>
      <c r="H162" s="7"/>
      <c r="I162" s="2"/>
      <c r="J162" s="6">
        <f t="shared" si="72"/>
        <v>0</v>
      </c>
      <c r="K162" s="2"/>
      <c r="L162" s="7">
        <f t="shared" si="73"/>
        <v>0</v>
      </c>
      <c r="M162" s="2"/>
      <c r="N162" s="6">
        <f t="shared" si="74"/>
        <v>0</v>
      </c>
      <c r="O162" s="11"/>
      <c r="P162" s="7"/>
      <c r="Q162" s="2"/>
      <c r="R162" s="6">
        <f t="shared" si="75"/>
        <v>0</v>
      </c>
      <c r="S162" s="2"/>
      <c r="T162" s="7">
        <v>150</v>
      </c>
      <c r="U162" s="2"/>
      <c r="V162" s="6">
        <f t="shared" si="76"/>
        <v>2.258404539573797E-5</v>
      </c>
      <c r="W162" s="2"/>
      <c r="X162" s="7">
        <f t="shared" si="77"/>
        <v>-150</v>
      </c>
      <c r="Y162" s="2"/>
      <c r="Z162" s="6">
        <f t="shared" si="78"/>
        <v>-1</v>
      </c>
    </row>
    <row r="163" spans="1:26" s="24" customFormat="1" hidden="1" outlineLevel="2" x14ac:dyDescent="0.35">
      <c r="A163" s="29"/>
      <c r="B163" s="11" t="str">
        <f>CONCATENATE("          ", "6279", " - ", "GENERAL EXPENSE")</f>
        <v xml:space="preserve">          6279 - GENERAL EXPENSE</v>
      </c>
      <c r="C163" s="11"/>
      <c r="D163" s="7">
        <v>223.63</v>
      </c>
      <c r="E163" s="2"/>
      <c r="F163" s="6">
        <f t="shared" si="71"/>
        <v>1.8970605554402946E-4</v>
      </c>
      <c r="G163" s="2"/>
      <c r="H163" s="7">
        <v>1000</v>
      </c>
      <c r="I163" s="2"/>
      <c r="J163" s="6">
        <f t="shared" si="72"/>
        <v>5.1803486581860909E-4</v>
      </c>
      <c r="K163" s="2"/>
      <c r="L163" s="7">
        <f t="shared" si="73"/>
        <v>-776.37</v>
      </c>
      <c r="M163" s="2"/>
      <c r="N163" s="6">
        <f t="shared" si="74"/>
        <v>-0.77637</v>
      </c>
      <c r="O163" s="11"/>
      <c r="P163" s="7">
        <v>2514</v>
      </c>
      <c r="Q163" s="2"/>
      <c r="R163" s="6">
        <f t="shared" si="75"/>
        <v>6.4836620137760593E-4</v>
      </c>
      <c r="S163" s="2"/>
      <c r="T163" s="7">
        <v>6550</v>
      </c>
      <c r="U163" s="2"/>
      <c r="V163" s="6">
        <f t="shared" si="76"/>
        <v>9.8616998228055796E-4</v>
      </c>
      <c r="W163" s="2"/>
      <c r="X163" s="7">
        <f t="shared" si="77"/>
        <v>-4036</v>
      </c>
      <c r="Y163" s="2"/>
      <c r="Z163" s="6">
        <f t="shared" si="78"/>
        <v>-0.61618320610687027</v>
      </c>
    </row>
    <row r="164" spans="1:26" s="28" customFormat="1" outlineLevel="1" collapsed="1" x14ac:dyDescent="0.35">
      <c r="A164" s="27"/>
      <c r="B164" s="14" t="str">
        <f>CONCATENATE("     ","Insurance                                         ")</f>
        <v xml:space="preserve">     Insurance                                         </v>
      </c>
      <c r="C164" s="14"/>
      <c r="D164" s="1">
        <f>SUM(OSRRefD22_12x_0)</f>
        <v>4044.74</v>
      </c>
      <c r="E164" s="1"/>
      <c r="F164" s="5">
        <f t="shared" ref="F164:F176" si="79">IF(D$12=0,0,D164/D$12)</f>
        <v>3.4311660828205415E-3</v>
      </c>
      <c r="G164" s="1"/>
      <c r="H164" s="1">
        <f>SUM(OSRRefH22_12x_0)</f>
        <v>4446</v>
      </c>
      <c r="I164" s="1"/>
      <c r="J164" s="5">
        <f t="shared" ref="J164:J176" si="80">IF(H$12=0,0,H164/H$12)</f>
        <v>2.303183013429536E-3</v>
      </c>
      <c r="K164" s="1"/>
      <c r="L164" s="1">
        <f t="shared" ref="L164:L176" si="81">+D164-H164</f>
        <v>-401.26000000000022</v>
      </c>
      <c r="M164" s="1"/>
      <c r="N164" s="5">
        <f t="shared" ref="N164:N176" si="82">IF(H164=0,0,L164/H164)</f>
        <v>-9.0251911830859247E-2</v>
      </c>
      <c r="O164" s="14"/>
      <c r="P164" s="1">
        <f>SUM(OSRRefP22_12x_0)</f>
        <v>28313.18</v>
      </c>
      <c r="Q164" s="1"/>
      <c r="R164" s="5">
        <f t="shared" ref="R164:R176" si="83">IF(P$12=0,0,P164/P$12)</f>
        <v>7.3020322058553718E-3</v>
      </c>
      <c r="S164" s="1"/>
      <c r="T164" s="1">
        <f>SUM(OSRRefT22_12x_0)</f>
        <v>31122</v>
      </c>
      <c r="U164" s="1"/>
      <c r="V164" s="5">
        <f t="shared" ref="V164:V176" si="84">IF(T$12=0,0,T164/T$12)</f>
        <v>4.6857377387077136E-3</v>
      </c>
      <c r="W164" s="1"/>
      <c r="X164" s="1">
        <f t="shared" ref="X164:X176" si="85">+P164-T164</f>
        <v>-2808.8199999999997</v>
      </c>
      <c r="Y164" s="1"/>
      <c r="Z164" s="5">
        <f t="shared" ref="Z164:Z176" si="86">IF(T164=0,0,X164/T164)</f>
        <v>-9.0251911830859191E-2</v>
      </c>
    </row>
    <row r="165" spans="1:26" s="24" customFormat="1" hidden="1" outlineLevel="2" x14ac:dyDescent="0.35">
      <c r="A165" s="29"/>
      <c r="B165" s="11" t="str">
        <f>CONCATENATE("          ", "6314", " - ", "LIABILITY INSURANCE")</f>
        <v xml:space="preserve">          6314 - LIABILITY INSURANCE</v>
      </c>
      <c r="C165" s="11"/>
      <c r="D165" s="7">
        <v>4044.74</v>
      </c>
      <c r="E165" s="2"/>
      <c r="F165" s="6">
        <f t="shared" si="79"/>
        <v>3.4311660828205415E-3</v>
      </c>
      <c r="G165" s="2"/>
      <c r="H165" s="7">
        <v>4446</v>
      </c>
      <c r="I165" s="2"/>
      <c r="J165" s="6">
        <f t="shared" si="80"/>
        <v>2.303183013429536E-3</v>
      </c>
      <c r="K165" s="2"/>
      <c r="L165" s="7">
        <f t="shared" si="81"/>
        <v>-401.26000000000022</v>
      </c>
      <c r="M165" s="2"/>
      <c r="N165" s="6">
        <f t="shared" si="82"/>
        <v>-9.0251911830859247E-2</v>
      </c>
      <c r="O165" s="11"/>
      <c r="P165" s="7">
        <v>28313.18</v>
      </c>
      <c r="Q165" s="2"/>
      <c r="R165" s="6">
        <f t="shared" si="83"/>
        <v>7.3020322058553718E-3</v>
      </c>
      <c r="S165" s="2"/>
      <c r="T165" s="7">
        <v>31122</v>
      </c>
      <c r="U165" s="2"/>
      <c r="V165" s="6">
        <f t="shared" si="84"/>
        <v>4.6857377387077136E-3</v>
      </c>
      <c r="W165" s="2"/>
      <c r="X165" s="7">
        <f t="shared" si="85"/>
        <v>-2808.8199999999997</v>
      </c>
      <c r="Y165" s="2"/>
      <c r="Z165" s="6">
        <f t="shared" si="86"/>
        <v>-9.0251911830859191E-2</v>
      </c>
    </row>
    <row r="166" spans="1:26" s="28" customFormat="1" outlineLevel="1" collapsed="1" x14ac:dyDescent="0.35">
      <c r="A166" s="27"/>
      <c r="B166" s="14" t="str">
        <f>CONCATENATE("     ","Inventory Adjustment                              ")</f>
        <v xml:space="preserve">     Inventory Adjustment                              </v>
      </c>
      <c r="C166" s="14"/>
      <c r="D166" s="1">
        <f>SUM(OSRRefD22_13x_0)</f>
        <v>2100</v>
      </c>
      <c r="E166" s="1"/>
      <c r="F166" s="5">
        <f t="shared" si="79"/>
        <v>1.7814368226197821E-3</v>
      </c>
      <c r="G166" s="1"/>
      <c r="H166" s="1">
        <f>SUM(OSRRefH22_13x_0)</f>
        <v>3100</v>
      </c>
      <c r="I166" s="1"/>
      <c r="J166" s="5">
        <f t="shared" si="80"/>
        <v>1.6059080840376881E-3</v>
      </c>
      <c r="K166" s="1"/>
      <c r="L166" s="1">
        <f t="shared" si="81"/>
        <v>-1000</v>
      </c>
      <c r="M166" s="1"/>
      <c r="N166" s="5">
        <f t="shared" si="82"/>
        <v>-0.32258064516129031</v>
      </c>
      <c r="O166" s="14"/>
      <c r="P166" s="1">
        <f>SUM(OSRRefP22_13x_0)</f>
        <v>19700</v>
      </c>
      <c r="Q166" s="1"/>
      <c r="R166" s="5">
        <f t="shared" si="83"/>
        <v>5.0806738930544298E-3</v>
      </c>
      <c r="S166" s="1"/>
      <c r="T166" s="1">
        <f>SUM(OSRRefT22_13x_0)</f>
        <v>26700</v>
      </c>
      <c r="U166" s="1"/>
      <c r="V166" s="5">
        <f t="shared" si="84"/>
        <v>4.0199600804413588E-3</v>
      </c>
      <c r="W166" s="1"/>
      <c r="X166" s="1">
        <f t="shared" si="85"/>
        <v>-7000</v>
      </c>
      <c r="Y166" s="1"/>
      <c r="Z166" s="5">
        <f t="shared" si="86"/>
        <v>-0.26217228464419473</v>
      </c>
    </row>
    <row r="167" spans="1:26" s="24" customFormat="1" hidden="1" outlineLevel="2" x14ac:dyDescent="0.35">
      <c r="A167" s="29"/>
      <c r="B167" s="11" t="str">
        <f>CONCATENATE("          ", "6408", " - ", "INVENTORY ADJUSTMENT")</f>
        <v xml:space="preserve">          6408 - INVENTORY ADJUSTMENT</v>
      </c>
      <c r="C167" s="11"/>
      <c r="D167" s="7">
        <v>2100</v>
      </c>
      <c r="E167" s="2"/>
      <c r="F167" s="6">
        <f t="shared" si="79"/>
        <v>1.7814368226197821E-3</v>
      </c>
      <c r="G167" s="2"/>
      <c r="H167" s="7">
        <v>3100</v>
      </c>
      <c r="I167" s="2"/>
      <c r="J167" s="6">
        <f t="shared" si="80"/>
        <v>1.6059080840376881E-3</v>
      </c>
      <c r="K167" s="2"/>
      <c r="L167" s="7">
        <f t="shared" si="81"/>
        <v>-1000</v>
      </c>
      <c r="M167" s="2"/>
      <c r="N167" s="6">
        <f t="shared" si="82"/>
        <v>-0.32258064516129031</v>
      </c>
      <c r="O167" s="11"/>
      <c r="P167" s="7">
        <v>19700</v>
      </c>
      <c r="Q167" s="2"/>
      <c r="R167" s="6">
        <f t="shared" si="83"/>
        <v>5.0806738930544298E-3</v>
      </c>
      <c r="S167" s="2"/>
      <c r="T167" s="7">
        <v>26700</v>
      </c>
      <c r="U167" s="2"/>
      <c r="V167" s="6">
        <f t="shared" si="84"/>
        <v>4.0199600804413588E-3</v>
      </c>
      <c r="W167" s="2"/>
      <c r="X167" s="7">
        <f t="shared" si="85"/>
        <v>-7000</v>
      </c>
      <c r="Y167" s="2"/>
      <c r="Z167" s="6">
        <f t="shared" si="86"/>
        <v>-0.26217228464419473</v>
      </c>
    </row>
    <row r="168" spans="1:26" s="28" customFormat="1" outlineLevel="1" collapsed="1" x14ac:dyDescent="0.35">
      <c r="A168" s="27"/>
      <c r="B168" s="14" t="str">
        <f>CONCATENATE("     ","Professional Services                             ")</f>
        <v xml:space="preserve">     Professional Services                             </v>
      </c>
      <c r="C168" s="14"/>
      <c r="D168" s="1">
        <f>SUM(OSRRefD22_14x_0)</f>
        <v>0</v>
      </c>
      <c r="E168" s="1"/>
      <c r="F168" s="5">
        <f t="shared" si="79"/>
        <v>0</v>
      </c>
      <c r="G168" s="1"/>
      <c r="H168" s="1">
        <f>SUM(OSRRefH22_14x_0)</f>
        <v>250</v>
      </c>
      <c r="I168" s="1"/>
      <c r="J168" s="5">
        <f t="shared" si="80"/>
        <v>1.2950871645465227E-4</v>
      </c>
      <c r="K168" s="1"/>
      <c r="L168" s="1">
        <f t="shared" si="81"/>
        <v>-250</v>
      </c>
      <c r="M168" s="1"/>
      <c r="N168" s="5">
        <f t="shared" si="82"/>
        <v>-1</v>
      </c>
      <c r="O168" s="14"/>
      <c r="P168" s="1">
        <f>SUM(OSRRefP22_14x_0)</f>
        <v>0</v>
      </c>
      <c r="Q168" s="1"/>
      <c r="R168" s="5">
        <f t="shared" si="83"/>
        <v>0</v>
      </c>
      <c r="S168" s="1"/>
      <c r="T168" s="1">
        <f>SUM(OSRRefT22_14x_0)</f>
        <v>7050</v>
      </c>
      <c r="U168" s="1"/>
      <c r="V168" s="5">
        <f t="shared" si="84"/>
        <v>1.0614501335996845E-3</v>
      </c>
      <c r="W168" s="1"/>
      <c r="X168" s="1">
        <f t="shared" si="85"/>
        <v>-7050</v>
      </c>
      <c r="Y168" s="1"/>
      <c r="Z168" s="5">
        <f t="shared" si="86"/>
        <v>-1</v>
      </c>
    </row>
    <row r="169" spans="1:26" s="24" customFormat="1" hidden="1" outlineLevel="2" x14ac:dyDescent="0.35">
      <c r="A169" s="29"/>
      <c r="B169" s="11" t="str">
        <f>CONCATENATE("          ", "6336", " - ", "PROFESSIONAL SERVICES")</f>
        <v xml:space="preserve">          6336 - PROFESSIONAL SERVICES</v>
      </c>
      <c r="C169" s="11"/>
      <c r="D169" s="7"/>
      <c r="E169" s="2"/>
      <c r="F169" s="6">
        <f t="shared" si="79"/>
        <v>0</v>
      </c>
      <c r="G169" s="2"/>
      <c r="H169" s="7">
        <v>250</v>
      </c>
      <c r="I169" s="2"/>
      <c r="J169" s="6">
        <f t="shared" si="80"/>
        <v>1.2950871645465227E-4</v>
      </c>
      <c r="K169" s="2"/>
      <c r="L169" s="7">
        <f t="shared" si="81"/>
        <v>-250</v>
      </c>
      <c r="M169" s="2"/>
      <c r="N169" s="6">
        <f t="shared" si="82"/>
        <v>-1</v>
      </c>
      <c r="O169" s="11"/>
      <c r="P169" s="7"/>
      <c r="Q169" s="2"/>
      <c r="R169" s="6">
        <f t="shared" si="83"/>
        <v>0</v>
      </c>
      <c r="S169" s="2"/>
      <c r="T169" s="7">
        <v>7050</v>
      </c>
      <c r="U169" s="2"/>
      <c r="V169" s="6">
        <f t="shared" si="84"/>
        <v>1.0614501335996845E-3</v>
      </c>
      <c r="W169" s="2"/>
      <c r="X169" s="7">
        <f t="shared" si="85"/>
        <v>-7050</v>
      </c>
      <c r="Y169" s="2"/>
      <c r="Z169" s="6">
        <f t="shared" si="86"/>
        <v>-1</v>
      </c>
    </row>
    <row r="170" spans="1:26" s="28" customFormat="1" outlineLevel="1" collapsed="1" x14ac:dyDescent="0.35">
      <c r="A170" s="27"/>
      <c r="B170" s="14" t="str">
        <f>CONCATENATE("     ","Rent                                              ")</f>
        <v xml:space="preserve">     Rent                                              </v>
      </c>
      <c r="C170" s="14"/>
      <c r="D170" s="1">
        <f>SUM(OSRRefD22_15x_0)</f>
        <v>6100</v>
      </c>
      <c r="E170" s="1"/>
      <c r="F170" s="5">
        <f t="shared" si="79"/>
        <v>5.1746498180860337E-3</v>
      </c>
      <c r="G170" s="1"/>
      <c r="H170" s="1">
        <f>SUM(OSRRefH22_15x_0)</f>
        <v>6100</v>
      </c>
      <c r="I170" s="1"/>
      <c r="J170" s="5">
        <f t="shared" si="80"/>
        <v>3.1600126814935151E-3</v>
      </c>
      <c r="K170" s="1"/>
      <c r="L170" s="1">
        <f t="shared" si="81"/>
        <v>0</v>
      </c>
      <c r="M170" s="1"/>
      <c r="N170" s="5">
        <f t="shared" si="82"/>
        <v>0</v>
      </c>
      <c r="O170" s="14"/>
      <c r="P170" s="1">
        <f>SUM(OSRRefP22_15x_0)</f>
        <v>42700</v>
      </c>
      <c r="Q170" s="1"/>
      <c r="R170" s="5">
        <f t="shared" si="83"/>
        <v>1.1012425138752495E-2</v>
      </c>
      <c r="S170" s="1"/>
      <c r="T170" s="1">
        <f>SUM(OSRRefT22_15x_0)</f>
        <v>42701</v>
      </c>
      <c r="U170" s="1"/>
      <c r="V170" s="5">
        <f t="shared" si="84"/>
        <v>6.4290754829560469E-3</v>
      </c>
      <c r="W170" s="1"/>
      <c r="X170" s="1">
        <f t="shared" si="85"/>
        <v>-1</v>
      </c>
      <c r="Y170" s="1"/>
      <c r="Z170" s="5">
        <f t="shared" si="86"/>
        <v>-2.3418655300812628E-5</v>
      </c>
    </row>
    <row r="171" spans="1:26" s="24" customFormat="1" hidden="1" outlineLevel="2" x14ac:dyDescent="0.35">
      <c r="A171" s="29"/>
      <c r="B171" s="11" t="str">
        <f>CONCATENATE("          ", "6273", " - ", "RENT")</f>
        <v xml:space="preserve">          6273 - RENT</v>
      </c>
      <c r="C171" s="11"/>
      <c r="D171" s="7">
        <v>6100</v>
      </c>
      <c r="E171" s="2"/>
      <c r="F171" s="6">
        <f t="shared" si="79"/>
        <v>5.1746498180860337E-3</v>
      </c>
      <c r="G171" s="2"/>
      <c r="H171" s="7">
        <v>6100</v>
      </c>
      <c r="I171" s="2"/>
      <c r="J171" s="6">
        <f t="shared" si="80"/>
        <v>3.1600126814935151E-3</v>
      </c>
      <c r="K171" s="2"/>
      <c r="L171" s="7">
        <f t="shared" si="81"/>
        <v>0</v>
      </c>
      <c r="M171" s="2"/>
      <c r="N171" s="6">
        <f t="shared" si="82"/>
        <v>0</v>
      </c>
      <c r="O171" s="11"/>
      <c r="P171" s="7">
        <v>42700</v>
      </c>
      <c r="Q171" s="2"/>
      <c r="R171" s="6">
        <f t="shared" si="83"/>
        <v>1.1012425138752495E-2</v>
      </c>
      <c r="S171" s="2"/>
      <c r="T171" s="7">
        <v>42701</v>
      </c>
      <c r="U171" s="2"/>
      <c r="V171" s="6">
        <f t="shared" si="84"/>
        <v>6.4290754829560469E-3</v>
      </c>
      <c r="W171" s="2"/>
      <c r="X171" s="7">
        <f t="shared" si="85"/>
        <v>-1</v>
      </c>
      <c r="Y171" s="2"/>
      <c r="Z171" s="6">
        <f t="shared" si="86"/>
        <v>-2.3418655300812628E-5</v>
      </c>
    </row>
    <row r="172" spans="1:26" s="28" customFormat="1" outlineLevel="1" collapsed="1" x14ac:dyDescent="0.35">
      <c r="A172" s="27"/>
      <c r="B172" s="14" t="str">
        <f>CONCATENATE("     ","Repair and Maintenance                            ")</f>
        <v xml:space="preserve">     Repair and Maintenance                            </v>
      </c>
      <c r="C172" s="14"/>
      <c r="D172" s="1">
        <f>SUM(OSRRefD22_16x_0)</f>
        <v>3697</v>
      </c>
      <c r="E172" s="1"/>
      <c r="F172" s="5">
        <f t="shared" si="79"/>
        <v>3.1361771110596831E-3</v>
      </c>
      <c r="G172" s="1"/>
      <c r="H172" s="1">
        <f>SUM(OSRRefH22_16x_0)</f>
        <v>18090</v>
      </c>
      <c r="I172" s="1"/>
      <c r="J172" s="5">
        <f t="shared" si="80"/>
        <v>9.3712507226586372E-3</v>
      </c>
      <c r="K172" s="1"/>
      <c r="L172" s="1">
        <f t="shared" si="81"/>
        <v>-14393</v>
      </c>
      <c r="M172" s="1"/>
      <c r="N172" s="5">
        <f t="shared" si="82"/>
        <v>-0.795632946379215</v>
      </c>
      <c r="O172" s="14"/>
      <c r="P172" s="1">
        <f>SUM(OSRRefP22_16x_0)</f>
        <v>112827.31999999999</v>
      </c>
      <c r="Q172" s="1"/>
      <c r="R172" s="5">
        <f t="shared" si="83"/>
        <v>2.909841721559888E-2</v>
      </c>
      <c r="S172" s="1"/>
      <c r="T172" s="1">
        <f>SUM(OSRRefT22_16x_0)</f>
        <v>146630</v>
      </c>
      <c r="U172" s="1"/>
      <c r="V172" s="5">
        <f t="shared" si="84"/>
        <v>2.2076657175847055E-2</v>
      </c>
      <c r="W172" s="1"/>
      <c r="X172" s="1">
        <f t="shared" si="85"/>
        <v>-33802.680000000008</v>
      </c>
      <c r="Y172" s="1"/>
      <c r="Z172" s="5">
        <f t="shared" si="86"/>
        <v>-0.23053045079451687</v>
      </c>
    </row>
    <row r="173" spans="1:26" s="24" customFormat="1" hidden="1" outlineLevel="2" x14ac:dyDescent="0.35">
      <c r="A173" s="29"/>
      <c r="B173" s="11" t="str">
        <f>CONCATENATE("          ", "6371", " - ", "COMPUTER SOFTWARE MAINTENANCE")</f>
        <v xml:space="preserve">          6371 - COMPUTER SOFTWARE MAINTENANCE</v>
      </c>
      <c r="C173" s="11"/>
      <c r="D173" s="7"/>
      <c r="E173" s="2"/>
      <c r="F173" s="6">
        <f t="shared" si="79"/>
        <v>0</v>
      </c>
      <c r="G173" s="2"/>
      <c r="H173" s="7"/>
      <c r="I173" s="2"/>
      <c r="J173" s="6">
        <f t="shared" si="80"/>
        <v>0</v>
      </c>
      <c r="K173" s="2"/>
      <c r="L173" s="7">
        <f t="shared" si="81"/>
        <v>0</v>
      </c>
      <c r="M173" s="2"/>
      <c r="N173" s="6">
        <f t="shared" si="82"/>
        <v>0</v>
      </c>
      <c r="O173" s="11"/>
      <c r="P173" s="7">
        <v>58436.47</v>
      </c>
      <c r="Q173" s="2"/>
      <c r="R173" s="6">
        <f t="shared" si="83"/>
        <v>1.5070895813769462E-2</v>
      </c>
      <c r="S173" s="2"/>
      <c r="T173" s="7">
        <v>45000</v>
      </c>
      <c r="U173" s="2"/>
      <c r="V173" s="6">
        <f t="shared" si="84"/>
        <v>6.7752136187213905E-3</v>
      </c>
      <c r="W173" s="2"/>
      <c r="X173" s="7">
        <f t="shared" si="85"/>
        <v>13436.470000000001</v>
      </c>
      <c r="Y173" s="2"/>
      <c r="Z173" s="6">
        <f t="shared" si="86"/>
        <v>0.29858822222222225</v>
      </c>
    </row>
    <row r="174" spans="1:26" s="24" customFormat="1" hidden="1" outlineLevel="2" x14ac:dyDescent="0.35">
      <c r="A174" s="29"/>
      <c r="B174" s="11" t="str">
        <f>CONCATENATE("          ", "6372", " - ", "COMPUTER HARDWARE MAINTENANCE")</f>
        <v xml:space="preserve">          6372 - COMPUTER HARDWARE MAINTENANCE</v>
      </c>
      <c r="C174" s="11"/>
      <c r="D174" s="7"/>
      <c r="E174" s="2"/>
      <c r="F174" s="6">
        <f t="shared" si="79"/>
        <v>0</v>
      </c>
      <c r="G174" s="2"/>
      <c r="H174" s="7"/>
      <c r="I174" s="2"/>
      <c r="J174" s="6">
        <f t="shared" si="80"/>
        <v>0</v>
      </c>
      <c r="K174" s="2"/>
      <c r="L174" s="7">
        <f t="shared" si="81"/>
        <v>0</v>
      </c>
      <c r="M174" s="2"/>
      <c r="N174" s="6">
        <f t="shared" si="82"/>
        <v>0</v>
      </c>
      <c r="O174" s="11"/>
      <c r="P174" s="7">
        <v>0</v>
      </c>
      <c r="Q174" s="2"/>
      <c r="R174" s="6">
        <f t="shared" si="83"/>
        <v>0</v>
      </c>
      <c r="S174" s="2"/>
      <c r="T174" s="7"/>
      <c r="U174" s="2"/>
      <c r="V174" s="6">
        <f t="shared" si="84"/>
        <v>0</v>
      </c>
      <c r="W174" s="2"/>
      <c r="X174" s="7">
        <f t="shared" si="85"/>
        <v>0</v>
      </c>
      <c r="Y174" s="2"/>
      <c r="Z174" s="6">
        <f t="shared" si="86"/>
        <v>0</v>
      </c>
    </row>
    <row r="175" spans="1:26" s="24" customFormat="1" hidden="1" outlineLevel="2" x14ac:dyDescent="0.35">
      <c r="A175" s="29"/>
      <c r="B175" s="11" t="str">
        <f>CONCATENATE("          ", "6373", " - ", "MAINTENANCE CONTRACTS")</f>
        <v xml:space="preserve">          6373 - MAINTENANCE CONTRACTS</v>
      </c>
      <c r="C175" s="11"/>
      <c r="D175" s="7">
        <v>1122</v>
      </c>
      <c r="E175" s="2"/>
      <c r="F175" s="6">
        <f t="shared" si="79"/>
        <v>9.5179624522828362E-4</v>
      </c>
      <c r="G175" s="2"/>
      <c r="H175" s="7">
        <v>9740</v>
      </c>
      <c r="I175" s="2"/>
      <c r="J175" s="6">
        <f t="shared" si="80"/>
        <v>5.045659593073252E-3</v>
      </c>
      <c r="K175" s="2"/>
      <c r="L175" s="7">
        <f t="shared" si="81"/>
        <v>-8618</v>
      </c>
      <c r="M175" s="2"/>
      <c r="N175" s="6">
        <f t="shared" si="82"/>
        <v>-0.88480492813141687</v>
      </c>
      <c r="O175" s="11"/>
      <c r="P175" s="7">
        <v>40054.18</v>
      </c>
      <c r="Q175" s="2"/>
      <c r="R175" s="6">
        <f t="shared" si="83"/>
        <v>1.0330062265670197E-2</v>
      </c>
      <c r="S175" s="2"/>
      <c r="T175" s="7">
        <v>42680</v>
      </c>
      <c r="U175" s="2"/>
      <c r="V175" s="6">
        <f t="shared" si="84"/>
        <v>6.4259137166006435E-3</v>
      </c>
      <c r="W175" s="2"/>
      <c r="X175" s="7">
        <f t="shared" si="85"/>
        <v>-2625.8199999999997</v>
      </c>
      <c r="Y175" s="2"/>
      <c r="Z175" s="6">
        <f t="shared" si="86"/>
        <v>-6.1523430178069348E-2</v>
      </c>
    </row>
    <row r="176" spans="1:26" s="24" customFormat="1" hidden="1" outlineLevel="2" x14ac:dyDescent="0.35">
      <c r="A176" s="29"/>
      <c r="B176" s="11" t="str">
        <f>CONCATENATE("          ", "6375", " - ", "OUTSIDE REPAIRS &amp; MAINTENANCE")</f>
        <v xml:space="preserve">          6375 - OUTSIDE REPAIRS &amp; MAINTENANCE</v>
      </c>
      <c r="C176" s="11"/>
      <c r="D176" s="7">
        <v>2575</v>
      </c>
      <c r="E176" s="2"/>
      <c r="F176" s="6">
        <f t="shared" si="79"/>
        <v>2.1843808658313997E-3</v>
      </c>
      <c r="G176" s="2"/>
      <c r="H176" s="7">
        <v>8350</v>
      </c>
      <c r="I176" s="2"/>
      <c r="J176" s="6">
        <f t="shared" si="80"/>
        <v>4.325591129585386E-3</v>
      </c>
      <c r="K176" s="2"/>
      <c r="L176" s="7">
        <f t="shared" si="81"/>
        <v>-5775</v>
      </c>
      <c r="M176" s="2"/>
      <c r="N176" s="6">
        <f t="shared" si="82"/>
        <v>-0.69161676646706582</v>
      </c>
      <c r="O176" s="11"/>
      <c r="P176" s="7">
        <v>14336.67</v>
      </c>
      <c r="Q176" s="2"/>
      <c r="R176" s="6">
        <f t="shared" si="83"/>
        <v>3.6974591361592212E-3</v>
      </c>
      <c r="S176" s="2"/>
      <c r="T176" s="7">
        <v>58950</v>
      </c>
      <c r="U176" s="2"/>
      <c r="V176" s="6">
        <f t="shared" si="84"/>
        <v>8.8755298405250212E-3</v>
      </c>
      <c r="W176" s="2"/>
      <c r="X176" s="7">
        <f t="shared" si="85"/>
        <v>-44613.33</v>
      </c>
      <c r="Y176" s="2"/>
      <c r="Z176" s="6">
        <f t="shared" si="86"/>
        <v>-0.75679949109414757</v>
      </c>
    </row>
    <row r="177" spans="1:26" s="28" customFormat="1" outlineLevel="1" collapsed="1" x14ac:dyDescent="0.35">
      <c r="A177" s="27"/>
      <c r="B177" s="14" t="str">
        <f>CONCATENATE("     ","Royalty &amp; Commissions                             ")</f>
        <v xml:space="preserve">     Royalty &amp; Commissions                             </v>
      </c>
      <c r="C177" s="14"/>
      <c r="D177" s="1">
        <f>SUM(OSRRefD22_17x_0)</f>
        <v>7789.59</v>
      </c>
      <c r="E177" s="1"/>
      <c r="F177" s="5">
        <f t="shared" ref="F177:F181" si="87">IF(D$12=0,0,D177/D$12)</f>
        <v>6.6079345043384904E-3</v>
      </c>
      <c r="G177" s="1"/>
      <c r="H177" s="1">
        <f>SUM(OSRRefH22_17x_0)</f>
        <v>11971</v>
      </c>
      <c r="I177" s="1"/>
      <c r="J177" s="5">
        <f t="shared" ref="J177:J181" si="88">IF(H$12=0,0,H177/H$12)</f>
        <v>6.2013953787145694E-3</v>
      </c>
      <c r="K177" s="1"/>
      <c r="L177" s="1">
        <f t="shared" ref="L177:L181" si="89">+D177-H177</f>
        <v>-4181.41</v>
      </c>
      <c r="M177" s="1"/>
      <c r="N177" s="5">
        <f t="shared" ref="N177:N181" si="90">IF(H177=0,0,L177/H177)</f>
        <v>-0.34929496282683148</v>
      </c>
      <c r="O177" s="14"/>
      <c r="P177" s="1">
        <f>SUM(OSRRefP22_17x_0)</f>
        <v>36365.65</v>
      </c>
      <c r="Q177" s="1"/>
      <c r="R177" s="5">
        <f t="shared" ref="R177:R181" si="91">IF(P$12=0,0,P177/P$12)</f>
        <v>9.3787821603530386E-3</v>
      </c>
      <c r="S177" s="1"/>
      <c r="T177" s="1">
        <f>SUM(OSRRefT22_17x_0)</f>
        <v>53947</v>
      </c>
      <c r="U177" s="1"/>
      <c r="V177" s="5">
        <f t="shared" ref="V177:V181" si="92">IF(T$12=0,0,T177/T$12)</f>
        <v>8.1222766464258411E-3</v>
      </c>
      <c r="W177" s="1"/>
      <c r="X177" s="1">
        <f t="shared" ref="X177:X181" si="93">+P177-T177</f>
        <v>-17581.349999999999</v>
      </c>
      <c r="Y177" s="1"/>
      <c r="Z177" s="5">
        <f t="shared" ref="Z177:Z181" si="94">IF(T177=0,0,X177/T177)</f>
        <v>-0.3259004207833614</v>
      </c>
    </row>
    <row r="178" spans="1:26" s="24" customFormat="1" hidden="1" outlineLevel="2" x14ac:dyDescent="0.35">
      <c r="A178" s="29"/>
      <c r="B178" s="11" t="str">
        <f>CONCATENATE("          ", "6252", " - ", "ROYALTY DUE CSTV")</f>
        <v xml:space="preserve">          6252 - ROYALTY DUE CSTV</v>
      </c>
      <c r="C178" s="11"/>
      <c r="D178" s="7"/>
      <c r="E178" s="2"/>
      <c r="F178" s="6">
        <f t="shared" si="87"/>
        <v>0</v>
      </c>
      <c r="G178" s="2"/>
      <c r="H178" s="7">
        <v>1085</v>
      </c>
      <c r="I178" s="2"/>
      <c r="J178" s="6">
        <f t="shared" si="88"/>
        <v>5.6206782941319088E-4</v>
      </c>
      <c r="K178" s="2"/>
      <c r="L178" s="7">
        <f t="shared" si="89"/>
        <v>-1085</v>
      </c>
      <c r="M178" s="2"/>
      <c r="N178" s="6">
        <f t="shared" si="90"/>
        <v>-1</v>
      </c>
      <c r="O178" s="11"/>
      <c r="P178" s="7"/>
      <c r="Q178" s="2"/>
      <c r="R178" s="6">
        <f t="shared" si="91"/>
        <v>0</v>
      </c>
      <c r="S178" s="2"/>
      <c r="T178" s="7">
        <v>7595</v>
      </c>
      <c r="U178" s="2"/>
      <c r="V178" s="6">
        <f t="shared" si="92"/>
        <v>1.1435054985375324E-3</v>
      </c>
      <c r="W178" s="2"/>
      <c r="X178" s="7">
        <f t="shared" si="93"/>
        <v>-7595</v>
      </c>
      <c r="Y178" s="2"/>
      <c r="Z178" s="6">
        <f t="shared" si="94"/>
        <v>-1</v>
      </c>
    </row>
    <row r="179" spans="1:26" s="24" customFormat="1" hidden="1" outlineLevel="2" x14ac:dyDescent="0.35">
      <c r="A179" s="29"/>
      <c r="B179" s="11" t="str">
        <f>CONCATENATE("          ", "6253", " - ", "ROYALTY DUE ATHLETICS-LRG")</f>
        <v xml:space="preserve">          6253 - ROYALTY DUE ATHLETICS-LRG</v>
      </c>
      <c r="C179" s="11"/>
      <c r="D179" s="7">
        <v>7785.78</v>
      </c>
      <c r="E179" s="2"/>
      <c r="F179" s="6">
        <f t="shared" si="87"/>
        <v>6.6047024689603086E-3</v>
      </c>
      <c r="G179" s="2"/>
      <c r="H179" s="7">
        <v>4037</v>
      </c>
      <c r="I179" s="2"/>
      <c r="J179" s="6">
        <f t="shared" si="88"/>
        <v>2.0913067533097247E-3</v>
      </c>
      <c r="K179" s="2"/>
      <c r="L179" s="7">
        <f t="shared" si="89"/>
        <v>3748.7799999999997</v>
      </c>
      <c r="M179" s="2"/>
      <c r="N179" s="6">
        <f t="shared" si="90"/>
        <v>0.92860540004954173</v>
      </c>
      <c r="O179" s="11"/>
      <c r="P179" s="7">
        <v>26197.58</v>
      </c>
      <c r="Q179" s="2"/>
      <c r="R179" s="6">
        <f t="shared" si="91"/>
        <v>6.7564142521423804E-3</v>
      </c>
      <c r="S179" s="2"/>
      <c r="T179" s="7">
        <v>28259</v>
      </c>
      <c r="U179" s="2"/>
      <c r="V179" s="6">
        <f t="shared" si="92"/>
        <v>4.2546835922543953E-3</v>
      </c>
      <c r="W179" s="2"/>
      <c r="X179" s="7">
        <f t="shared" si="93"/>
        <v>-2061.4199999999983</v>
      </c>
      <c r="Y179" s="2"/>
      <c r="Z179" s="6">
        <f t="shared" si="94"/>
        <v>-7.2947379595880893E-2</v>
      </c>
    </row>
    <row r="180" spans="1:26" s="24" customFormat="1" hidden="1" outlineLevel="2" x14ac:dyDescent="0.35">
      <c r="A180" s="29"/>
      <c r="B180" s="11" t="str">
        <f>CONCATENATE("          ", "6254", " - ", "ROYALTY &amp; COMMISSIONS")</f>
        <v xml:space="preserve">          6254 - ROYALTY &amp; COMMISSIONS</v>
      </c>
      <c r="C180" s="11"/>
      <c r="D180" s="7"/>
      <c r="E180" s="2"/>
      <c r="F180" s="6">
        <f t="shared" si="87"/>
        <v>0</v>
      </c>
      <c r="G180" s="2"/>
      <c r="H180" s="7">
        <v>1149</v>
      </c>
      <c r="I180" s="2"/>
      <c r="J180" s="6">
        <f t="shared" si="88"/>
        <v>5.9522206082558184E-4</v>
      </c>
      <c r="K180" s="2"/>
      <c r="L180" s="7">
        <f t="shared" si="89"/>
        <v>-1149</v>
      </c>
      <c r="M180" s="2"/>
      <c r="N180" s="6">
        <f t="shared" si="90"/>
        <v>-1</v>
      </c>
      <c r="O180" s="11"/>
      <c r="P180" s="7"/>
      <c r="Q180" s="2"/>
      <c r="R180" s="6">
        <f t="shared" si="91"/>
        <v>0</v>
      </c>
      <c r="S180" s="2"/>
      <c r="T180" s="7">
        <v>8043</v>
      </c>
      <c r="U180" s="2"/>
      <c r="V180" s="6">
        <f t="shared" si="92"/>
        <v>1.2109565141194699E-3</v>
      </c>
      <c r="W180" s="2"/>
      <c r="X180" s="7">
        <f t="shared" si="93"/>
        <v>-8043</v>
      </c>
      <c r="Y180" s="2"/>
      <c r="Z180" s="6">
        <f t="shared" si="94"/>
        <v>-1</v>
      </c>
    </row>
    <row r="181" spans="1:26" s="24" customFormat="1" hidden="1" outlineLevel="2" x14ac:dyDescent="0.35">
      <c r="A181" s="29"/>
      <c r="B181" s="11" t="str">
        <f>CONCATENATE("          ", "6259", " - ", "ROYALTY &amp; COMMISSIONS")</f>
        <v xml:space="preserve">          6259 - ROYALTY &amp; COMMISSIONS</v>
      </c>
      <c r="C181" s="11"/>
      <c r="D181" s="7">
        <v>3.81</v>
      </c>
      <c r="E181" s="2"/>
      <c r="F181" s="6">
        <f t="shared" si="87"/>
        <v>3.2320353781816051E-6</v>
      </c>
      <c r="G181" s="2"/>
      <c r="H181" s="7">
        <v>5700</v>
      </c>
      <c r="I181" s="2"/>
      <c r="J181" s="6">
        <f t="shared" si="88"/>
        <v>2.9527987351660717E-3</v>
      </c>
      <c r="K181" s="2"/>
      <c r="L181" s="7">
        <f t="shared" si="89"/>
        <v>-5696.19</v>
      </c>
      <c r="M181" s="2"/>
      <c r="N181" s="6">
        <f t="shared" si="90"/>
        <v>-0.99933157894736835</v>
      </c>
      <c r="O181" s="11"/>
      <c r="P181" s="7">
        <v>10168.07</v>
      </c>
      <c r="Q181" s="2"/>
      <c r="R181" s="6">
        <f t="shared" si="91"/>
        <v>2.6223679082106577E-3</v>
      </c>
      <c r="S181" s="2"/>
      <c r="T181" s="7">
        <v>10050</v>
      </c>
      <c r="U181" s="2"/>
      <c r="V181" s="6">
        <f t="shared" si="92"/>
        <v>1.513131041514444E-3</v>
      </c>
      <c r="W181" s="2"/>
      <c r="X181" s="7">
        <f t="shared" si="93"/>
        <v>118.06999999999971</v>
      </c>
      <c r="Y181" s="2"/>
      <c r="Z181" s="6">
        <f t="shared" si="94"/>
        <v>1.1748258706467632E-2</v>
      </c>
    </row>
    <row r="182" spans="1:26" s="28" customFormat="1" outlineLevel="1" collapsed="1" x14ac:dyDescent="0.35">
      <c r="A182" s="27"/>
      <c r="B182" s="14" t="str">
        <f>CONCATENATE("     ","Services                                          ")</f>
        <v xml:space="preserve">     Services                                          </v>
      </c>
      <c r="C182" s="14"/>
      <c r="D182" s="1">
        <f>SUM(OSRRefD22_18x_0)</f>
        <v>5545.57</v>
      </c>
      <c r="E182" s="1"/>
      <c r="F182" s="5">
        <f t="shared" ref="F182:F186" si="95">IF(D$12=0,0,D182/D$12)</f>
        <v>4.7043250478169454E-3</v>
      </c>
      <c r="G182" s="1"/>
      <c r="H182" s="1">
        <f>SUM(OSRRefH22_18x_0)</f>
        <v>5054</v>
      </c>
      <c r="I182" s="1"/>
      <c r="J182" s="5">
        <f t="shared" ref="J182:J186" si="96">IF(H$12=0,0,H182/H$12)</f>
        <v>2.6181482118472501E-3</v>
      </c>
      <c r="K182" s="1"/>
      <c r="L182" s="1">
        <f t="shared" ref="L182:L186" si="97">+D182-H182</f>
        <v>491.56999999999971</v>
      </c>
      <c r="M182" s="1"/>
      <c r="N182" s="5">
        <f t="shared" ref="N182:N186" si="98">IF(H182=0,0,L182/H182)</f>
        <v>9.7263553620894283E-2</v>
      </c>
      <c r="O182" s="14"/>
      <c r="P182" s="1">
        <f>SUM(OSRRefP22_18x_0)</f>
        <v>24729.32</v>
      </c>
      <c r="Q182" s="1"/>
      <c r="R182" s="5">
        <f t="shared" ref="R182:R186" si="99">IF(P$12=0,0,P182/P$12)</f>
        <v>6.3777467267506997E-3</v>
      </c>
      <c r="S182" s="1"/>
      <c r="T182" s="1">
        <f>SUM(OSRRefT22_18x_0)</f>
        <v>33264</v>
      </c>
      <c r="U182" s="1"/>
      <c r="V182" s="5">
        <f t="shared" ref="V182:V186" si="100">IF(T$12=0,0,T182/T$12)</f>
        <v>5.0082379069588522E-3</v>
      </c>
      <c r="W182" s="1"/>
      <c r="X182" s="1">
        <f t="shared" ref="X182:X186" si="101">+P182-T182</f>
        <v>-8534.68</v>
      </c>
      <c r="Y182" s="1"/>
      <c r="Z182" s="5">
        <f t="shared" ref="Z182:Z186" si="102">IF(T182=0,0,X182/T182)</f>
        <v>-0.25657407407407407</v>
      </c>
    </row>
    <row r="183" spans="1:26" s="24" customFormat="1" hidden="1" outlineLevel="2" x14ac:dyDescent="0.35">
      <c r="A183" s="29"/>
      <c r="B183" s="11" t="str">
        <f>CONCATENATE("          ", "6282", " - ", "JANITORIAL/EXTERMINATOR EXPENS")</f>
        <v xml:space="preserve">          6282 - JANITORIAL/EXTERMINATOR EXPENS</v>
      </c>
      <c r="C183" s="11"/>
      <c r="D183" s="7">
        <v>1613</v>
      </c>
      <c r="E183" s="2"/>
      <c r="F183" s="6">
        <f t="shared" si="95"/>
        <v>1.3683131404217661E-3</v>
      </c>
      <c r="G183" s="2"/>
      <c r="H183" s="7">
        <v>4000</v>
      </c>
      <c r="I183" s="2"/>
      <c r="J183" s="6">
        <f t="shared" si="96"/>
        <v>2.0721394632744364E-3</v>
      </c>
      <c r="K183" s="2"/>
      <c r="L183" s="7">
        <f t="shared" si="97"/>
        <v>-2387</v>
      </c>
      <c r="M183" s="2"/>
      <c r="N183" s="6">
        <f t="shared" si="98"/>
        <v>-0.59675</v>
      </c>
      <c r="O183" s="11"/>
      <c r="P183" s="7">
        <v>6953.12</v>
      </c>
      <c r="Q183" s="2"/>
      <c r="R183" s="6">
        <f t="shared" si="99"/>
        <v>1.7932251400647014E-3</v>
      </c>
      <c r="S183" s="2"/>
      <c r="T183" s="7">
        <v>28000</v>
      </c>
      <c r="U183" s="2"/>
      <c r="V183" s="6">
        <f t="shared" si="100"/>
        <v>4.2156884738710878E-3</v>
      </c>
      <c r="W183" s="2"/>
      <c r="X183" s="7">
        <f t="shared" si="101"/>
        <v>-21046.880000000001</v>
      </c>
      <c r="Y183" s="2"/>
      <c r="Z183" s="6">
        <f t="shared" si="102"/>
        <v>-0.75167428571428574</v>
      </c>
    </row>
    <row r="184" spans="1:26" s="24" customFormat="1" hidden="1" outlineLevel="2" x14ac:dyDescent="0.35">
      <c r="A184" s="29"/>
      <c r="B184" s="11" t="str">
        <f>CONCATENATE("          ", "6283", " - ", "PLANT SERVICE")</f>
        <v xml:space="preserve">          6283 - PLANT SERVICE</v>
      </c>
      <c r="C184" s="11"/>
      <c r="D184" s="7"/>
      <c r="E184" s="2"/>
      <c r="F184" s="6">
        <f t="shared" si="95"/>
        <v>0</v>
      </c>
      <c r="G184" s="2"/>
      <c r="H184" s="7">
        <v>0</v>
      </c>
      <c r="I184" s="2"/>
      <c r="J184" s="6">
        <f t="shared" si="96"/>
        <v>0</v>
      </c>
      <c r="K184" s="2"/>
      <c r="L184" s="7">
        <f t="shared" si="97"/>
        <v>0</v>
      </c>
      <c r="M184" s="2"/>
      <c r="N184" s="6">
        <f t="shared" si="98"/>
        <v>0</v>
      </c>
      <c r="O184" s="11"/>
      <c r="P184" s="7">
        <v>171.31</v>
      </c>
      <c r="Q184" s="2"/>
      <c r="R184" s="6">
        <f t="shared" si="99"/>
        <v>4.4181230691327636E-5</v>
      </c>
      <c r="S184" s="2"/>
      <c r="T184" s="7">
        <v>0</v>
      </c>
      <c r="U184" s="2"/>
      <c r="V184" s="6">
        <f t="shared" si="100"/>
        <v>0</v>
      </c>
      <c r="W184" s="2"/>
      <c r="X184" s="7">
        <f t="shared" si="101"/>
        <v>171.31</v>
      </c>
      <c r="Y184" s="2"/>
      <c r="Z184" s="6">
        <f t="shared" si="102"/>
        <v>0</v>
      </c>
    </row>
    <row r="185" spans="1:26" s="24" customFormat="1" hidden="1" outlineLevel="2" x14ac:dyDescent="0.35">
      <c r="A185" s="29"/>
      <c r="B185" s="11" t="str">
        <f>CONCATENATE("          ", "6284", " - ", "TRASH REMOVAL EXPENSE")</f>
        <v xml:space="preserve">          6284 - TRASH REMOVAL EXPENSE</v>
      </c>
      <c r="C185" s="11"/>
      <c r="D185" s="7">
        <v>142.57</v>
      </c>
      <c r="E185" s="2"/>
      <c r="F185" s="6">
        <f t="shared" si="95"/>
        <v>1.2094259419090588E-4</v>
      </c>
      <c r="G185" s="2"/>
      <c r="H185" s="7">
        <v>55</v>
      </c>
      <c r="I185" s="2"/>
      <c r="J185" s="6">
        <f t="shared" si="96"/>
        <v>2.8491917620023497E-5</v>
      </c>
      <c r="K185" s="2"/>
      <c r="L185" s="7">
        <f t="shared" si="97"/>
        <v>87.57</v>
      </c>
      <c r="M185" s="2"/>
      <c r="N185" s="6">
        <f t="shared" si="98"/>
        <v>1.5921818181818181</v>
      </c>
      <c r="O185" s="11"/>
      <c r="P185" s="7">
        <v>1013.01</v>
      </c>
      <c r="Q185" s="2"/>
      <c r="R185" s="6">
        <f t="shared" si="99"/>
        <v>2.6125753606106943E-4</v>
      </c>
      <c r="S185" s="2"/>
      <c r="T185" s="7">
        <v>495</v>
      </c>
      <c r="U185" s="2"/>
      <c r="V185" s="6">
        <f t="shared" si="100"/>
        <v>7.4527349805935303E-5</v>
      </c>
      <c r="W185" s="2"/>
      <c r="X185" s="7">
        <f t="shared" si="101"/>
        <v>518.01</v>
      </c>
      <c r="Y185" s="2"/>
      <c r="Z185" s="6">
        <f t="shared" si="102"/>
        <v>1.0464848484848486</v>
      </c>
    </row>
    <row r="186" spans="1:26" s="24" customFormat="1" hidden="1" outlineLevel="2" x14ac:dyDescent="0.35">
      <c r="A186" s="29"/>
      <c r="B186" s="11" t="str">
        <f>CONCATENATE("          ", "6285", " - ", "JANITORIAL SERVICES")</f>
        <v xml:space="preserve">          6285 - JANITORIAL SERVICES</v>
      </c>
      <c r="C186" s="11"/>
      <c r="D186" s="7">
        <v>3790</v>
      </c>
      <c r="E186" s="2"/>
      <c r="F186" s="6">
        <f t="shared" si="95"/>
        <v>3.2150693132042738E-3</v>
      </c>
      <c r="G186" s="2"/>
      <c r="H186" s="7">
        <v>999</v>
      </c>
      <c r="I186" s="2"/>
      <c r="J186" s="6">
        <f t="shared" si="96"/>
        <v>5.175168309527905E-4</v>
      </c>
      <c r="K186" s="2"/>
      <c r="L186" s="7">
        <f t="shared" si="97"/>
        <v>2791</v>
      </c>
      <c r="M186" s="2"/>
      <c r="N186" s="6">
        <f t="shared" si="98"/>
        <v>2.7937937937937938</v>
      </c>
      <c r="O186" s="11"/>
      <c r="P186" s="7">
        <v>16591.88</v>
      </c>
      <c r="Q186" s="2"/>
      <c r="R186" s="6">
        <f t="shared" si="99"/>
        <v>4.2790828199336011E-3</v>
      </c>
      <c r="S186" s="2"/>
      <c r="T186" s="7">
        <v>4769</v>
      </c>
      <c r="U186" s="2"/>
      <c r="V186" s="6">
        <f t="shared" si="100"/>
        <v>7.1802208328182915E-4</v>
      </c>
      <c r="W186" s="2"/>
      <c r="X186" s="7">
        <f t="shared" si="101"/>
        <v>11822.880000000001</v>
      </c>
      <c r="Y186" s="2"/>
      <c r="Z186" s="6">
        <f t="shared" si="102"/>
        <v>2.4791109247221641</v>
      </c>
    </row>
    <row r="187" spans="1:26" s="28" customFormat="1" outlineLevel="1" collapsed="1" x14ac:dyDescent="0.35">
      <c r="A187" s="27"/>
      <c r="B187" s="14" t="str">
        <f>CONCATENATE("     ","Subscriptions &amp; Dues                              ")</f>
        <v xml:space="preserve">     Subscriptions &amp; Dues                              </v>
      </c>
      <c r="C187" s="14"/>
      <c r="D187" s="1">
        <f>SUM(OSRRefD22_19x_0)</f>
        <v>2389.69</v>
      </c>
      <c r="E187" s="1"/>
      <c r="F187" s="5">
        <f t="shared" ref="F187:F189" si="103">IF(D$12=0,0,D187/D$12)</f>
        <v>2.0271817907839369E-3</v>
      </c>
      <c r="G187" s="1"/>
      <c r="H187" s="1">
        <f>SUM(OSRRefH22_19x_0)</f>
        <v>1100</v>
      </c>
      <c r="I187" s="1"/>
      <c r="J187" s="5">
        <f t="shared" ref="J187:J189" si="104">IF(H$12=0,0,H187/H$12)</f>
        <v>5.6983835240046994E-4</v>
      </c>
      <c r="K187" s="1"/>
      <c r="L187" s="1">
        <f t="shared" ref="L187:L189" si="105">+D187-H187</f>
        <v>1289.69</v>
      </c>
      <c r="M187" s="1"/>
      <c r="N187" s="5">
        <f t="shared" ref="N187:N189" si="106">IF(H187=0,0,L187/H187)</f>
        <v>1.1724454545454546</v>
      </c>
      <c r="O187" s="14"/>
      <c r="P187" s="1">
        <f>SUM(OSRRefP22_19x_0)</f>
        <v>3845.13</v>
      </c>
      <c r="Q187" s="1"/>
      <c r="R187" s="5">
        <f t="shared" ref="R187:R189" si="107">IF(P$12=0,0,P187/P$12)</f>
        <v>9.9166759423352188E-4</v>
      </c>
      <c r="S187" s="1"/>
      <c r="T187" s="1">
        <f>SUM(OSRRefT22_19x_0)</f>
        <v>9095</v>
      </c>
      <c r="U187" s="1"/>
      <c r="V187" s="5">
        <f t="shared" ref="V187:V189" si="108">IF(T$12=0,0,T187/T$12)</f>
        <v>1.3693459524949123E-3</v>
      </c>
      <c r="W187" s="1"/>
      <c r="X187" s="1">
        <f t="shared" ref="X187:X189" si="109">+P187-T187</f>
        <v>-5249.87</v>
      </c>
      <c r="Y187" s="1"/>
      <c r="Z187" s="5">
        <f t="shared" ref="Z187:Z189" si="110">IF(T187=0,0,X187/T187)</f>
        <v>-0.57722594832325458</v>
      </c>
    </row>
    <row r="188" spans="1:26" s="24" customFormat="1" hidden="1" outlineLevel="2" x14ac:dyDescent="0.35">
      <c r="A188" s="29"/>
      <c r="B188" s="11" t="str">
        <f>CONCATENATE("          ", "6258", " - ", "MEMBERSHIP DUES")</f>
        <v xml:space="preserve">          6258 - MEMBERSHIP DUES</v>
      </c>
      <c r="C188" s="11"/>
      <c r="D188" s="7">
        <v>462.61</v>
      </c>
      <c r="E188" s="2"/>
      <c r="F188" s="6">
        <f t="shared" si="103"/>
        <v>3.9243356595816068E-4</v>
      </c>
      <c r="G188" s="2"/>
      <c r="H188" s="7">
        <v>1100</v>
      </c>
      <c r="I188" s="2"/>
      <c r="J188" s="6">
        <f t="shared" si="104"/>
        <v>5.6983835240046994E-4</v>
      </c>
      <c r="K188" s="2"/>
      <c r="L188" s="7">
        <f t="shared" si="105"/>
        <v>-637.39</v>
      </c>
      <c r="M188" s="2"/>
      <c r="N188" s="6">
        <f t="shared" si="106"/>
        <v>-0.57944545454545449</v>
      </c>
      <c r="O188" s="11"/>
      <c r="P188" s="7">
        <v>1692.32</v>
      </c>
      <c r="Q188" s="2"/>
      <c r="R188" s="6">
        <f t="shared" si="107"/>
        <v>4.3645309861390215E-4</v>
      </c>
      <c r="S188" s="2"/>
      <c r="T188" s="7">
        <v>9095</v>
      </c>
      <c r="U188" s="2"/>
      <c r="V188" s="6">
        <f t="shared" si="108"/>
        <v>1.3693459524949123E-3</v>
      </c>
      <c r="W188" s="2"/>
      <c r="X188" s="7">
        <f t="shared" si="109"/>
        <v>-7402.68</v>
      </c>
      <c r="Y188" s="2"/>
      <c r="Z188" s="6">
        <f t="shared" si="110"/>
        <v>-0.81392853216052774</v>
      </c>
    </row>
    <row r="189" spans="1:26" s="24" customFormat="1" hidden="1" outlineLevel="2" x14ac:dyDescent="0.35">
      <c r="A189" s="29"/>
      <c r="B189" s="11" t="str">
        <f>CONCATENATE("          ", "6275", " - ", "SUBSCRIPTIONS")</f>
        <v xml:space="preserve">          6275 - SUBSCRIPTIONS</v>
      </c>
      <c r="C189" s="11"/>
      <c r="D189" s="7">
        <v>1927.08</v>
      </c>
      <c r="E189" s="2"/>
      <c r="F189" s="6">
        <f t="shared" si="103"/>
        <v>1.6347482248257762E-3</v>
      </c>
      <c r="G189" s="2"/>
      <c r="H189" s="7">
        <v>0</v>
      </c>
      <c r="I189" s="2"/>
      <c r="J189" s="6">
        <f t="shared" si="104"/>
        <v>0</v>
      </c>
      <c r="K189" s="2"/>
      <c r="L189" s="7">
        <f t="shared" si="105"/>
        <v>1927.08</v>
      </c>
      <c r="M189" s="2"/>
      <c r="N189" s="6">
        <f t="shared" si="106"/>
        <v>0</v>
      </c>
      <c r="O189" s="11"/>
      <c r="P189" s="7">
        <v>2152.81</v>
      </c>
      <c r="Q189" s="2"/>
      <c r="R189" s="6">
        <f t="shared" si="107"/>
        <v>5.5521449561961962E-4</v>
      </c>
      <c r="S189" s="2"/>
      <c r="T189" s="7">
        <v>0</v>
      </c>
      <c r="U189" s="2"/>
      <c r="V189" s="6">
        <f t="shared" si="108"/>
        <v>0</v>
      </c>
      <c r="W189" s="2"/>
      <c r="X189" s="7">
        <f t="shared" si="109"/>
        <v>2152.81</v>
      </c>
      <c r="Y189" s="2"/>
      <c r="Z189" s="6">
        <f t="shared" si="110"/>
        <v>0</v>
      </c>
    </row>
    <row r="190" spans="1:26" s="28" customFormat="1" outlineLevel="1" collapsed="1" x14ac:dyDescent="0.35">
      <c r="A190" s="27"/>
      <c r="B190" s="14" t="str">
        <f>CONCATENATE("     ","Supplies                                          ")</f>
        <v xml:space="preserve">     Supplies                                          </v>
      </c>
      <c r="C190" s="14"/>
      <c r="D190" s="1">
        <f>SUM(OSRRefD22_20x_0)</f>
        <v>13676.5</v>
      </c>
      <c r="E190" s="1"/>
      <c r="F190" s="5">
        <f t="shared" ref="F190:F199" si="111">IF(D$12=0,0,D190/D$12)</f>
        <v>1.1601819383123548E-2</v>
      </c>
      <c r="G190" s="1"/>
      <c r="H190" s="1">
        <f>SUM(OSRRefH22_20x_0)</f>
        <v>9345</v>
      </c>
      <c r="I190" s="1"/>
      <c r="J190" s="5">
        <f t="shared" ref="J190:J199" si="112">IF(H$12=0,0,H190/H$12)</f>
        <v>4.8410358210749013E-3</v>
      </c>
      <c r="K190" s="1"/>
      <c r="L190" s="1">
        <f t="shared" ref="L190:L199" si="113">+D190-H190</f>
        <v>4331.5</v>
      </c>
      <c r="M190" s="1"/>
      <c r="N190" s="5">
        <f t="shared" ref="N190:N199" si="114">IF(H190=0,0,L190/H190)</f>
        <v>0.46350989834135903</v>
      </c>
      <c r="O190" s="14"/>
      <c r="P190" s="1">
        <f>SUM(OSRRefP22_20x_0)</f>
        <v>91002.6</v>
      </c>
      <c r="Q190" s="1"/>
      <c r="R190" s="5">
        <f t="shared" ref="R190:R199" si="115">IF(P$12=0,0,P190/P$12)</f>
        <v>2.3469773300511428E-2</v>
      </c>
      <c r="S190" s="1"/>
      <c r="T190" s="1">
        <f>SUM(OSRRefT22_20x_0)</f>
        <v>114755</v>
      </c>
      <c r="U190" s="1"/>
      <c r="V190" s="5">
        <f t="shared" ref="V190:V199" si="116">IF(T$12=0,0,T190/T$12)</f>
        <v>1.7277547529252736E-2</v>
      </c>
      <c r="W190" s="1"/>
      <c r="X190" s="1">
        <f t="shared" ref="X190:X199" si="117">+P190-T190</f>
        <v>-23752.399999999994</v>
      </c>
      <c r="Y190" s="1"/>
      <c r="Z190" s="5">
        <f t="shared" ref="Z190:Z199" si="118">IF(T190=0,0,X190/T190)</f>
        <v>-0.20698357370049231</v>
      </c>
    </row>
    <row r="191" spans="1:26" s="24" customFormat="1" hidden="1" outlineLevel="2" x14ac:dyDescent="0.35">
      <c r="A191" s="29"/>
      <c r="B191" s="11" t="str">
        <f>CONCATENATE("          ", "6234", " - ", "EXPENDABLE SUPPLIES &amp; EQUIPMEN")</f>
        <v xml:space="preserve">          6234 - EXPENDABLE SUPPLIES &amp; EQUIPMEN</v>
      </c>
      <c r="C191" s="11"/>
      <c r="D191" s="7">
        <v>396.5</v>
      </c>
      <c r="E191" s="2"/>
      <c r="F191" s="6">
        <f t="shared" si="111"/>
        <v>3.363522381755922E-4</v>
      </c>
      <c r="G191" s="2"/>
      <c r="H191" s="7">
        <v>150</v>
      </c>
      <c r="I191" s="2"/>
      <c r="J191" s="6">
        <f t="shared" si="112"/>
        <v>7.7705229872791363E-5</v>
      </c>
      <c r="K191" s="2"/>
      <c r="L191" s="7">
        <f t="shared" si="113"/>
        <v>246.5</v>
      </c>
      <c r="M191" s="2"/>
      <c r="N191" s="6">
        <f t="shared" si="114"/>
        <v>1.6433333333333333</v>
      </c>
      <c r="O191" s="11"/>
      <c r="P191" s="7">
        <v>-52.84</v>
      </c>
      <c r="Q191" s="2"/>
      <c r="R191" s="6">
        <f t="shared" si="115"/>
        <v>-1.3627553731421122E-5</v>
      </c>
      <c r="S191" s="2"/>
      <c r="T191" s="7">
        <v>1050</v>
      </c>
      <c r="U191" s="2"/>
      <c r="V191" s="6">
        <f t="shared" si="116"/>
        <v>1.5808831777016578E-4</v>
      </c>
      <c r="W191" s="2"/>
      <c r="X191" s="7">
        <f t="shared" si="117"/>
        <v>-1102.8399999999999</v>
      </c>
      <c r="Y191" s="2"/>
      <c r="Z191" s="6">
        <f t="shared" si="118"/>
        <v>-1.0503238095238094</v>
      </c>
    </row>
    <row r="192" spans="1:26" s="24" customFormat="1" hidden="1" outlineLevel="2" x14ac:dyDescent="0.35">
      <c r="A192" s="29"/>
      <c r="B192" s="11" t="str">
        <f>CONCATENATE("          ", "6235", " - ", "COVID-19 EXPENSES")</f>
        <v xml:space="preserve">          6235 - COVID-19 EXPENSES</v>
      </c>
      <c r="C192" s="11"/>
      <c r="D192" s="7">
        <v>2921.2</v>
      </c>
      <c r="E192" s="2"/>
      <c r="F192" s="6">
        <f t="shared" si="111"/>
        <v>2.4780634505890036E-3</v>
      </c>
      <c r="G192" s="2"/>
      <c r="H192" s="7">
        <v>500</v>
      </c>
      <c r="I192" s="2"/>
      <c r="J192" s="6">
        <f t="shared" si="112"/>
        <v>2.5901743290930454E-4</v>
      </c>
      <c r="K192" s="2"/>
      <c r="L192" s="7">
        <f t="shared" si="113"/>
        <v>2421.1999999999998</v>
      </c>
      <c r="M192" s="2"/>
      <c r="N192" s="6">
        <f t="shared" si="114"/>
        <v>4.8423999999999996</v>
      </c>
      <c r="O192" s="11"/>
      <c r="P192" s="7">
        <v>34299.03</v>
      </c>
      <c r="Q192" s="2"/>
      <c r="R192" s="6">
        <f t="shared" si="115"/>
        <v>8.8457962577711009E-3</v>
      </c>
      <c r="S192" s="2"/>
      <c r="T192" s="7">
        <v>63100</v>
      </c>
      <c r="U192" s="2"/>
      <c r="V192" s="6">
        <f t="shared" si="116"/>
        <v>9.5003550964737719E-3</v>
      </c>
      <c r="W192" s="2"/>
      <c r="X192" s="7">
        <f t="shared" si="117"/>
        <v>-28800.97</v>
      </c>
      <c r="Y192" s="2"/>
      <c r="Z192" s="6">
        <f t="shared" si="118"/>
        <v>-0.45643375594294772</v>
      </c>
    </row>
    <row r="193" spans="1:26" s="24" customFormat="1" hidden="1" outlineLevel="2" x14ac:dyDescent="0.35">
      <c r="A193" s="29"/>
      <c r="B193" s="11" t="str">
        <f>CONCATENATE("          ", "6237", " - ", "JANITORIAL SUPPLIES")</f>
        <v xml:space="preserve">          6237 - JANITORIAL SUPPLIES</v>
      </c>
      <c r="C193" s="11"/>
      <c r="D193" s="7">
        <v>329.77</v>
      </c>
      <c r="E193" s="2"/>
      <c r="F193" s="6">
        <f t="shared" si="111"/>
        <v>2.7974496237872647E-4</v>
      </c>
      <c r="G193" s="2"/>
      <c r="H193" s="7">
        <v>270</v>
      </c>
      <c r="I193" s="2"/>
      <c r="J193" s="6">
        <f t="shared" si="112"/>
        <v>1.3986941377102445E-4</v>
      </c>
      <c r="K193" s="2"/>
      <c r="L193" s="7">
        <f t="shared" si="113"/>
        <v>59.769999999999982</v>
      </c>
      <c r="M193" s="2"/>
      <c r="N193" s="6">
        <f t="shared" si="114"/>
        <v>0.2213703703703703</v>
      </c>
      <c r="O193" s="11"/>
      <c r="P193" s="7">
        <v>2263.65</v>
      </c>
      <c r="Q193" s="2"/>
      <c r="R193" s="6">
        <f t="shared" si="115"/>
        <v>5.8380037857932293E-4</v>
      </c>
      <c r="S193" s="2"/>
      <c r="T193" s="7">
        <v>1880</v>
      </c>
      <c r="U193" s="2"/>
      <c r="V193" s="6">
        <f t="shared" si="116"/>
        <v>2.8305336895991586E-4</v>
      </c>
      <c r="W193" s="2"/>
      <c r="X193" s="7">
        <f t="shared" si="117"/>
        <v>383.65000000000009</v>
      </c>
      <c r="Y193" s="2"/>
      <c r="Z193" s="6">
        <f t="shared" si="118"/>
        <v>0.20406914893617026</v>
      </c>
    </row>
    <row r="194" spans="1:26" s="24" customFormat="1" hidden="1" outlineLevel="2" x14ac:dyDescent="0.35">
      <c r="A194" s="29"/>
      <c r="B194" s="11" t="str">
        <f>CONCATENATE("          ", "6241", " - ", "OFFICE EXPENSE")</f>
        <v xml:space="preserve">          6241 - OFFICE EXPENSE</v>
      </c>
      <c r="C194" s="11"/>
      <c r="D194" s="7">
        <v>444.2</v>
      </c>
      <c r="E194" s="2"/>
      <c r="F194" s="6">
        <f t="shared" si="111"/>
        <v>3.7681630314652728E-4</v>
      </c>
      <c r="G194" s="2"/>
      <c r="H194" s="7">
        <v>625</v>
      </c>
      <c r="I194" s="2"/>
      <c r="J194" s="6">
        <f t="shared" si="112"/>
        <v>3.2377179113663064E-4</v>
      </c>
      <c r="K194" s="2"/>
      <c r="L194" s="7">
        <f t="shared" si="113"/>
        <v>-180.8</v>
      </c>
      <c r="M194" s="2"/>
      <c r="N194" s="6">
        <f t="shared" si="114"/>
        <v>-0.28928000000000004</v>
      </c>
      <c r="O194" s="11"/>
      <c r="P194" s="7">
        <v>9231.8700000000008</v>
      </c>
      <c r="Q194" s="2"/>
      <c r="R194" s="6">
        <f t="shared" si="115"/>
        <v>2.3809198422879395E-3</v>
      </c>
      <c r="S194" s="2"/>
      <c r="T194" s="7">
        <v>3975</v>
      </c>
      <c r="U194" s="2"/>
      <c r="V194" s="6">
        <f t="shared" si="116"/>
        <v>5.9847720298705613E-4</v>
      </c>
      <c r="W194" s="2"/>
      <c r="X194" s="7">
        <f t="shared" si="117"/>
        <v>5256.8700000000008</v>
      </c>
      <c r="Y194" s="2"/>
      <c r="Z194" s="6">
        <f t="shared" si="118"/>
        <v>1.3224830188679246</v>
      </c>
    </row>
    <row r="195" spans="1:26" s="24" customFormat="1" hidden="1" outlineLevel="2" x14ac:dyDescent="0.35">
      <c r="A195" s="29"/>
      <c r="B195" s="11" t="str">
        <f>CONCATENATE("          ", "6243", " - ", "PAPER SUPPLIES")</f>
        <v xml:space="preserve">          6243 - PAPER SUPPLIES</v>
      </c>
      <c r="C195" s="11"/>
      <c r="D195" s="7">
        <v>1080</v>
      </c>
      <c r="E195" s="2"/>
      <c r="F195" s="6">
        <f t="shared" si="111"/>
        <v>9.1616750877588802E-4</v>
      </c>
      <c r="G195" s="2"/>
      <c r="H195" s="7">
        <v>2350</v>
      </c>
      <c r="I195" s="2"/>
      <c r="J195" s="6">
        <f t="shared" si="112"/>
        <v>1.2173819346737312E-3</v>
      </c>
      <c r="K195" s="2"/>
      <c r="L195" s="7">
        <f t="shared" si="113"/>
        <v>-1270</v>
      </c>
      <c r="M195" s="2"/>
      <c r="N195" s="6">
        <f t="shared" si="114"/>
        <v>-0.54042553191489362</v>
      </c>
      <c r="O195" s="11"/>
      <c r="P195" s="7">
        <v>6173.4</v>
      </c>
      <c r="Q195" s="2"/>
      <c r="R195" s="6">
        <f t="shared" si="115"/>
        <v>1.5921336147909754E-3</v>
      </c>
      <c r="S195" s="2"/>
      <c r="T195" s="7">
        <v>11050</v>
      </c>
      <c r="U195" s="2"/>
      <c r="V195" s="6">
        <f t="shared" si="116"/>
        <v>1.6636913441526971E-3</v>
      </c>
      <c r="W195" s="2"/>
      <c r="X195" s="7">
        <f t="shared" si="117"/>
        <v>-4876.6000000000004</v>
      </c>
      <c r="Y195" s="2"/>
      <c r="Z195" s="6">
        <f t="shared" si="118"/>
        <v>-0.4413212669683258</v>
      </c>
    </row>
    <row r="196" spans="1:26" s="24" customFormat="1" hidden="1" outlineLevel="2" x14ac:dyDescent="0.35">
      <c r="A196" s="29"/>
      <c r="B196" s="11" t="str">
        <f>CONCATENATE("          ", "6244", " - ", "SAFETY SUPPLY EXPENSE")</f>
        <v xml:space="preserve">          6244 - SAFETY SUPPLY EXPENSE</v>
      </c>
      <c r="C196" s="11"/>
      <c r="D196" s="7"/>
      <c r="E196" s="2"/>
      <c r="F196" s="6">
        <f t="shared" si="111"/>
        <v>0</v>
      </c>
      <c r="G196" s="2"/>
      <c r="H196" s="7">
        <v>25</v>
      </c>
      <c r="I196" s="2"/>
      <c r="J196" s="6">
        <f t="shared" si="112"/>
        <v>1.2950871645465226E-5</v>
      </c>
      <c r="K196" s="2"/>
      <c r="L196" s="7">
        <f t="shared" si="113"/>
        <v>-25</v>
      </c>
      <c r="M196" s="2"/>
      <c r="N196" s="6">
        <f t="shared" si="114"/>
        <v>-1</v>
      </c>
      <c r="O196" s="11"/>
      <c r="P196" s="7"/>
      <c r="Q196" s="2"/>
      <c r="R196" s="6">
        <f t="shared" si="115"/>
        <v>0</v>
      </c>
      <c r="S196" s="2"/>
      <c r="T196" s="7">
        <v>75</v>
      </c>
      <c r="U196" s="2"/>
      <c r="V196" s="6">
        <f t="shared" si="116"/>
        <v>1.1292022697868985E-5</v>
      </c>
      <c r="W196" s="2"/>
      <c r="X196" s="7">
        <f t="shared" si="117"/>
        <v>-75</v>
      </c>
      <c r="Y196" s="2"/>
      <c r="Z196" s="6">
        <f t="shared" si="118"/>
        <v>-1</v>
      </c>
    </row>
    <row r="197" spans="1:26" s="24" customFormat="1" hidden="1" outlineLevel="2" x14ac:dyDescent="0.35">
      <c r="A197" s="29"/>
      <c r="B197" s="11" t="str">
        <f>CONCATENATE("          ", "6245", " - ", "PRINTING")</f>
        <v xml:space="preserve">          6245 - PRINTING</v>
      </c>
      <c r="C197" s="11"/>
      <c r="D197" s="7"/>
      <c r="E197" s="2"/>
      <c r="F197" s="6">
        <f t="shared" si="111"/>
        <v>0</v>
      </c>
      <c r="G197" s="2"/>
      <c r="H197" s="7">
        <v>750</v>
      </c>
      <c r="I197" s="2"/>
      <c r="J197" s="6">
        <f t="shared" si="112"/>
        <v>3.8852614936395679E-4</v>
      </c>
      <c r="K197" s="2"/>
      <c r="L197" s="7">
        <f t="shared" si="113"/>
        <v>-750</v>
      </c>
      <c r="M197" s="2"/>
      <c r="N197" s="6">
        <f t="shared" si="114"/>
        <v>-1</v>
      </c>
      <c r="O197" s="11"/>
      <c r="P197" s="7">
        <v>508.27</v>
      </c>
      <c r="Q197" s="2"/>
      <c r="R197" s="6">
        <f t="shared" si="115"/>
        <v>1.3108396546308504E-4</v>
      </c>
      <c r="S197" s="2"/>
      <c r="T197" s="7">
        <v>3550</v>
      </c>
      <c r="U197" s="2"/>
      <c r="V197" s="6">
        <f t="shared" si="116"/>
        <v>5.3448907436579865E-4</v>
      </c>
      <c r="W197" s="2"/>
      <c r="X197" s="7">
        <f t="shared" si="117"/>
        <v>-3041.73</v>
      </c>
      <c r="Y197" s="2"/>
      <c r="Z197" s="6">
        <f t="shared" si="118"/>
        <v>-0.85682535211267608</v>
      </c>
    </row>
    <row r="198" spans="1:26" s="24" customFormat="1" hidden="1" outlineLevel="2" x14ac:dyDescent="0.35">
      <c r="A198" s="29"/>
      <c r="B198" s="11" t="str">
        <f>CONCATENATE("          ", "6247", " - ", "STORE SUPPLIES")</f>
        <v xml:space="preserve">          6247 - STORE SUPPLIES</v>
      </c>
      <c r="C198" s="11"/>
      <c r="D198" s="7">
        <v>8504.83</v>
      </c>
      <c r="E198" s="2"/>
      <c r="F198" s="6">
        <f t="shared" si="111"/>
        <v>7.2146749200578102E-3</v>
      </c>
      <c r="G198" s="2"/>
      <c r="H198" s="7">
        <v>3075</v>
      </c>
      <c r="I198" s="2"/>
      <c r="J198" s="6">
        <f t="shared" si="112"/>
        <v>1.5929572123922228E-3</v>
      </c>
      <c r="K198" s="2"/>
      <c r="L198" s="7">
        <f t="shared" si="113"/>
        <v>5429.83</v>
      </c>
      <c r="M198" s="2"/>
      <c r="N198" s="6">
        <f t="shared" si="114"/>
        <v>1.7657983739837397</v>
      </c>
      <c r="O198" s="11"/>
      <c r="P198" s="7">
        <v>38579.219999999994</v>
      </c>
      <c r="Q198" s="2"/>
      <c r="R198" s="6">
        <f t="shared" si="115"/>
        <v>9.949666795350422E-3</v>
      </c>
      <c r="S198" s="2"/>
      <c r="T198" s="7">
        <v>19375</v>
      </c>
      <c r="U198" s="2"/>
      <c r="V198" s="6">
        <f t="shared" si="116"/>
        <v>2.9171058636161544E-3</v>
      </c>
      <c r="W198" s="2"/>
      <c r="X198" s="7">
        <f t="shared" si="117"/>
        <v>19204.219999999994</v>
      </c>
      <c r="Y198" s="2"/>
      <c r="Z198" s="6">
        <f t="shared" si="118"/>
        <v>0.99118554838709649</v>
      </c>
    </row>
    <row r="199" spans="1:26" s="24" customFormat="1" hidden="1" outlineLevel="2" x14ac:dyDescent="0.35">
      <c r="A199" s="29"/>
      <c r="B199" s="11" t="str">
        <f>CONCATENATE("          ", "6248", " - ", "UNIFORMS")</f>
        <v xml:space="preserve">          6248 - UNIFORMS</v>
      </c>
      <c r="C199" s="11"/>
      <c r="D199" s="7"/>
      <c r="E199" s="2"/>
      <c r="F199" s="6">
        <f t="shared" si="111"/>
        <v>0</v>
      </c>
      <c r="G199" s="2"/>
      <c r="H199" s="7">
        <v>1600</v>
      </c>
      <c r="I199" s="2"/>
      <c r="J199" s="6">
        <f t="shared" si="112"/>
        <v>8.2885578530977444E-4</v>
      </c>
      <c r="K199" s="2"/>
      <c r="L199" s="7">
        <f t="shared" si="113"/>
        <v>-1600</v>
      </c>
      <c r="M199" s="2"/>
      <c r="N199" s="6">
        <f t="shared" si="114"/>
        <v>-1</v>
      </c>
      <c r="O199" s="11"/>
      <c r="P199" s="7"/>
      <c r="Q199" s="2"/>
      <c r="R199" s="6">
        <f t="shared" si="115"/>
        <v>0</v>
      </c>
      <c r="S199" s="2"/>
      <c r="T199" s="7">
        <v>10700</v>
      </c>
      <c r="U199" s="2"/>
      <c r="V199" s="6">
        <f t="shared" si="116"/>
        <v>1.6109952382293085E-3</v>
      </c>
      <c r="W199" s="2"/>
      <c r="X199" s="7">
        <f t="shared" si="117"/>
        <v>-10700</v>
      </c>
      <c r="Y199" s="2"/>
      <c r="Z199" s="6">
        <f t="shared" si="118"/>
        <v>-1</v>
      </c>
    </row>
    <row r="200" spans="1:26" s="28" customFormat="1" outlineLevel="1" collapsed="1" x14ac:dyDescent="0.35">
      <c r="A200" s="27"/>
      <c r="B200" s="14" t="str">
        <f>CONCATENATE("     ","Telephone/Data Lines                              ")</f>
        <v xml:space="preserve">     Telephone/Data Lines                              </v>
      </c>
      <c r="C200" s="14"/>
      <c r="D200" s="1">
        <f>SUM(OSRRefD22_21x_0)</f>
        <v>2161.81</v>
      </c>
      <c r="E200" s="1"/>
      <c r="F200" s="5">
        <f t="shared" ref="F200:F202" si="119">IF(D$12=0,0,D200/D$12)</f>
        <v>1.8338704464322243E-3</v>
      </c>
      <c r="G200" s="1"/>
      <c r="H200" s="1">
        <f>SUM(OSRRefH22_21x_0)</f>
        <v>2795</v>
      </c>
      <c r="I200" s="1"/>
      <c r="J200" s="5">
        <f t="shared" ref="J200:J202" si="120">IF(H$12=0,0,H200/H$12)</f>
        <v>1.4479074499630124E-3</v>
      </c>
      <c r="K200" s="1"/>
      <c r="L200" s="1">
        <f t="shared" ref="L200:L202" si="121">+D200-H200</f>
        <v>-633.19000000000005</v>
      </c>
      <c r="M200" s="1"/>
      <c r="N200" s="5">
        <f t="shared" ref="N200:N202" si="122">IF(H200=0,0,L200/H200)</f>
        <v>-0.22654382826475852</v>
      </c>
      <c r="O200" s="14"/>
      <c r="P200" s="1">
        <f>SUM(OSRRefP22_21x_0)</f>
        <v>17190</v>
      </c>
      <c r="Q200" s="1"/>
      <c r="R200" s="5">
        <f t="shared" ref="R200:R202" si="123">IF(P$12=0,0,P200/P$12)</f>
        <v>4.4333393005891193E-3</v>
      </c>
      <c r="S200" s="1"/>
      <c r="T200" s="1">
        <f>SUM(OSRRefT22_21x_0)</f>
        <v>18365</v>
      </c>
      <c r="U200" s="1"/>
      <c r="V200" s="5">
        <f t="shared" ref="V200:V202" si="124">IF(T$12=0,0,T200/T$12)</f>
        <v>2.7650399579515188E-3</v>
      </c>
      <c r="W200" s="1"/>
      <c r="X200" s="1">
        <f t="shared" ref="X200:X202" si="125">+P200-T200</f>
        <v>-1175</v>
      </c>
      <c r="Y200" s="1"/>
      <c r="Z200" s="5">
        <f t="shared" ref="Z200:Z202" si="126">IF(T200=0,0,X200/T200)</f>
        <v>-6.39803974952355E-2</v>
      </c>
    </row>
    <row r="201" spans="1:26" s="24" customFormat="1" hidden="1" outlineLevel="2" x14ac:dyDescent="0.35">
      <c r="A201" s="29"/>
      <c r="B201" s="11" t="str">
        <f>CONCATENATE("          ", "6303", " - ", "DATA PHONE LINES")</f>
        <v xml:space="preserve">          6303 - DATA PHONE LINES</v>
      </c>
      <c r="C201" s="11"/>
      <c r="D201" s="7">
        <v>295</v>
      </c>
      <c r="E201" s="2"/>
      <c r="F201" s="6">
        <f t="shared" si="119"/>
        <v>2.5024945841563609E-4</v>
      </c>
      <c r="G201" s="2"/>
      <c r="H201" s="7">
        <v>630</v>
      </c>
      <c r="I201" s="2"/>
      <c r="J201" s="6">
        <f t="shared" si="120"/>
        <v>3.263619654657237E-4</v>
      </c>
      <c r="K201" s="2"/>
      <c r="L201" s="7">
        <f t="shared" si="121"/>
        <v>-335</v>
      </c>
      <c r="M201" s="2"/>
      <c r="N201" s="6">
        <f t="shared" si="122"/>
        <v>-0.53174603174603174</v>
      </c>
      <c r="O201" s="11"/>
      <c r="P201" s="7">
        <v>2360</v>
      </c>
      <c r="Q201" s="2"/>
      <c r="R201" s="6">
        <f t="shared" si="123"/>
        <v>6.0864925825423631E-4</v>
      </c>
      <c r="S201" s="2"/>
      <c r="T201" s="7">
        <v>4410</v>
      </c>
      <c r="U201" s="2"/>
      <c r="V201" s="6">
        <f t="shared" si="124"/>
        <v>6.639709346346963E-4</v>
      </c>
      <c r="W201" s="2"/>
      <c r="X201" s="7">
        <f t="shared" si="125"/>
        <v>-2050</v>
      </c>
      <c r="Y201" s="2"/>
      <c r="Z201" s="6">
        <f t="shared" si="126"/>
        <v>-0.46485260770975056</v>
      </c>
    </row>
    <row r="202" spans="1:26" s="24" customFormat="1" hidden="1" outlineLevel="2" x14ac:dyDescent="0.35">
      <c r="A202" s="29"/>
      <c r="B202" s="11" t="str">
        <f>CONCATENATE("          ", "6309", " - ", "TELEPHONE")</f>
        <v xml:space="preserve">          6309 - TELEPHONE</v>
      </c>
      <c r="C202" s="11"/>
      <c r="D202" s="7">
        <v>1866.81</v>
      </c>
      <c r="E202" s="2"/>
      <c r="F202" s="6">
        <f t="shared" si="119"/>
        <v>1.5836209880165882E-3</v>
      </c>
      <c r="G202" s="2"/>
      <c r="H202" s="7">
        <v>2165</v>
      </c>
      <c r="I202" s="2"/>
      <c r="J202" s="6">
        <f t="shared" si="120"/>
        <v>1.1215454844972887E-3</v>
      </c>
      <c r="K202" s="2"/>
      <c r="L202" s="7">
        <f t="shared" si="121"/>
        <v>-298.19000000000005</v>
      </c>
      <c r="M202" s="2"/>
      <c r="N202" s="6">
        <f t="shared" si="122"/>
        <v>-0.13773210161662819</v>
      </c>
      <c r="O202" s="11"/>
      <c r="P202" s="7">
        <v>14830</v>
      </c>
      <c r="Q202" s="2"/>
      <c r="R202" s="6">
        <f t="shared" si="123"/>
        <v>3.8246900423348834E-3</v>
      </c>
      <c r="S202" s="2"/>
      <c r="T202" s="7">
        <v>13955</v>
      </c>
      <c r="U202" s="2"/>
      <c r="V202" s="6">
        <f t="shared" si="124"/>
        <v>2.1010690233168225E-3</v>
      </c>
      <c r="W202" s="2"/>
      <c r="X202" s="7">
        <f t="shared" si="125"/>
        <v>875</v>
      </c>
      <c r="Y202" s="2"/>
      <c r="Z202" s="6">
        <f t="shared" si="126"/>
        <v>6.2701540666427802E-2</v>
      </c>
    </row>
    <row r="203" spans="1:26" s="28" customFormat="1" outlineLevel="1" collapsed="1" x14ac:dyDescent="0.35">
      <c r="A203" s="27"/>
      <c r="B203" s="14" t="str">
        <f>CONCATENATE("     ","Training                                          ")</f>
        <v xml:space="preserve">     Training                                          </v>
      </c>
      <c r="C203" s="14"/>
      <c r="D203" s="1">
        <f>SUM(OSRRefD22_22x_0)</f>
        <v>0</v>
      </c>
      <c r="E203" s="1"/>
      <c r="F203" s="5">
        <f t="shared" ref="F203:F208" si="127">IF(D$12=0,0,D203/D$12)</f>
        <v>0</v>
      </c>
      <c r="G203" s="1"/>
      <c r="H203" s="1">
        <f>SUM(OSRRefH22_22x_0)</f>
        <v>1860</v>
      </c>
      <c r="I203" s="1"/>
      <c r="J203" s="5">
        <f t="shared" ref="J203:J208" si="128">IF(H$12=0,0,H203/H$12)</f>
        <v>9.6354485042261285E-4</v>
      </c>
      <c r="K203" s="1"/>
      <c r="L203" s="1">
        <f t="shared" ref="L203:L208" si="129">+D203-H203</f>
        <v>-1860</v>
      </c>
      <c r="M203" s="1"/>
      <c r="N203" s="5">
        <f t="shared" ref="N203:N208" si="130">IF(H203=0,0,L203/H203)</f>
        <v>-1</v>
      </c>
      <c r="O203" s="14"/>
      <c r="P203" s="1">
        <f>SUM(OSRRefP22_22x_0)</f>
        <v>145.63</v>
      </c>
      <c r="Q203" s="1"/>
      <c r="R203" s="5">
        <f t="shared" ref="R203:R208" si="131">IF(P$12=0,0,P203/P$12)</f>
        <v>3.755830147439171E-5</v>
      </c>
      <c r="S203" s="1"/>
      <c r="T203" s="1">
        <f>SUM(OSRRefT22_22x_0)</f>
        <v>6970</v>
      </c>
      <c r="U203" s="1"/>
      <c r="V203" s="5">
        <f t="shared" ref="V203:V208" si="132">IF(T$12=0,0,T203/T$12)</f>
        <v>1.0494053093886243E-3</v>
      </c>
      <c r="W203" s="1"/>
      <c r="X203" s="1">
        <f t="shared" ref="X203:X208" si="133">+P203-T203</f>
        <v>-6824.37</v>
      </c>
      <c r="Y203" s="1"/>
      <c r="Z203" s="5">
        <f t="shared" ref="Z203:Z208" si="134">IF(T203=0,0,X203/T203)</f>
        <v>-0.97910616929698702</v>
      </c>
    </row>
    <row r="204" spans="1:26" s="24" customFormat="1" hidden="1" outlineLevel="2" x14ac:dyDescent="0.35">
      <c r="A204" s="29"/>
      <c r="B204" s="11" t="str">
        <f>CONCATENATE("          ", "6376", " - ", "TRAINING")</f>
        <v xml:space="preserve">          6376 - TRAINING</v>
      </c>
      <c r="C204" s="11"/>
      <c r="D204" s="7"/>
      <c r="E204" s="2"/>
      <c r="F204" s="6">
        <f t="shared" si="127"/>
        <v>0</v>
      </c>
      <c r="G204" s="2"/>
      <c r="H204" s="7">
        <v>1860</v>
      </c>
      <c r="I204" s="2"/>
      <c r="J204" s="6">
        <f t="shared" si="128"/>
        <v>9.6354485042261285E-4</v>
      </c>
      <c r="K204" s="2"/>
      <c r="L204" s="7">
        <f t="shared" si="129"/>
        <v>-1860</v>
      </c>
      <c r="M204" s="2"/>
      <c r="N204" s="6">
        <f t="shared" si="130"/>
        <v>-1</v>
      </c>
      <c r="O204" s="11"/>
      <c r="P204" s="7">
        <v>145.63</v>
      </c>
      <c r="Q204" s="2"/>
      <c r="R204" s="6">
        <f t="shared" si="131"/>
        <v>3.755830147439171E-5</v>
      </c>
      <c r="S204" s="2"/>
      <c r="T204" s="7">
        <v>6970</v>
      </c>
      <c r="U204" s="2"/>
      <c r="V204" s="6">
        <f t="shared" si="132"/>
        <v>1.0494053093886243E-3</v>
      </c>
      <c r="W204" s="2"/>
      <c r="X204" s="7">
        <f t="shared" si="133"/>
        <v>-6824.37</v>
      </c>
      <c r="Y204" s="2"/>
      <c r="Z204" s="6">
        <f t="shared" si="134"/>
        <v>-0.97910616929698702</v>
      </c>
    </row>
    <row r="205" spans="1:26" s="28" customFormat="1" outlineLevel="1" collapsed="1" x14ac:dyDescent="0.35">
      <c r="A205" s="27"/>
      <c r="B205" s="14" t="str">
        <f>CONCATENATE("     ","Travel                                            ")</f>
        <v xml:space="preserve">     Travel                                            </v>
      </c>
      <c r="C205" s="14"/>
      <c r="D205" s="1">
        <f>SUM(OSRRefD22_23x_0)</f>
        <v>129.38</v>
      </c>
      <c r="E205" s="1"/>
      <c r="F205" s="5">
        <f t="shared" si="127"/>
        <v>1.0975347433835591E-4</v>
      </c>
      <c r="G205" s="1"/>
      <c r="H205" s="1">
        <f>SUM(OSRRefH22_23x_0)</f>
        <v>75</v>
      </c>
      <c r="I205" s="1"/>
      <c r="J205" s="5">
        <f t="shared" si="128"/>
        <v>3.8852614936395682E-5</v>
      </c>
      <c r="K205" s="1"/>
      <c r="L205" s="1">
        <f t="shared" si="129"/>
        <v>54.379999999999995</v>
      </c>
      <c r="M205" s="1"/>
      <c r="N205" s="5">
        <f t="shared" si="130"/>
        <v>0.72506666666666664</v>
      </c>
      <c r="O205" s="14"/>
      <c r="P205" s="1">
        <f>SUM(OSRRefP22_23x_0)</f>
        <v>810.31000000000006</v>
      </c>
      <c r="Q205" s="1"/>
      <c r="R205" s="5">
        <f t="shared" si="131"/>
        <v>2.0898075443050434E-4</v>
      </c>
      <c r="S205" s="1"/>
      <c r="T205" s="1">
        <f>SUM(OSRRefT22_23x_0)</f>
        <v>550</v>
      </c>
      <c r="U205" s="1"/>
      <c r="V205" s="5">
        <f t="shared" si="132"/>
        <v>8.2808166451039215E-5</v>
      </c>
      <c r="W205" s="1"/>
      <c r="X205" s="1">
        <f t="shared" si="133"/>
        <v>260.31000000000006</v>
      </c>
      <c r="Y205" s="1"/>
      <c r="Z205" s="5">
        <f t="shared" si="134"/>
        <v>0.47329090909090921</v>
      </c>
    </row>
    <row r="206" spans="1:26" s="24" customFormat="1" hidden="1" outlineLevel="2" x14ac:dyDescent="0.35">
      <c r="A206" s="29"/>
      <c r="B206" s="11" t="str">
        <f>CONCATENATE("          ", "6292", " - ", "TRAVEL/CONFERENCE")</f>
        <v xml:space="preserve">          6292 - TRAVEL/CONFERENCE</v>
      </c>
      <c r="C206" s="11"/>
      <c r="D206" s="7"/>
      <c r="E206" s="2"/>
      <c r="F206" s="6">
        <f t="shared" si="127"/>
        <v>0</v>
      </c>
      <c r="G206" s="2"/>
      <c r="H206" s="7"/>
      <c r="I206" s="2"/>
      <c r="J206" s="6">
        <f t="shared" si="128"/>
        <v>0</v>
      </c>
      <c r="K206" s="2"/>
      <c r="L206" s="7">
        <f t="shared" si="129"/>
        <v>0</v>
      </c>
      <c r="M206" s="2"/>
      <c r="N206" s="6">
        <f t="shared" si="130"/>
        <v>0</v>
      </c>
      <c r="O206" s="11"/>
      <c r="P206" s="7">
        <v>299.16000000000003</v>
      </c>
      <c r="Q206" s="2"/>
      <c r="R206" s="6">
        <f t="shared" si="131"/>
        <v>7.7154030550566675E-5</v>
      </c>
      <c r="S206" s="2"/>
      <c r="T206" s="7">
        <v>0</v>
      </c>
      <c r="U206" s="2"/>
      <c r="V206" s="6">
        <f t="shared" si="132"/>
        <v>0</v>
      </c>
      <c r="W206" s="2"/>
      <c r="X206" s="7">
        <f t="shared" si="133"/>
        <v>299.16000000000003</v>
      </c>
      <c r="Y206" s="2"/>
      <c r="Z206" s="6">
        <f t="shared" si="134"/>
        <v>0</v>
      </c>
    </row>
    <row r="207" spans="1:26" s="24" customFormat="1" hidden="1" outlineLevel="2" x14ac:dyDescent="0.35">
      <c r="A207" s="29"/>
      <c r="B207" s="11" t="str">
        <f>CONCATENATE("          ", "6294", " - ", "TRAVEL OPERATIONAL")</f>
        <v xml:space="preserve">          6294 - TRAVEL OPERATIONAL</v>
      </c>
      <c r="C207" s="11"/>
      <c r="D207" s="7">
        <v>129.38</v>
      </c>
      <c r="E207" s="2"/>
      <c r="F207" s="6">
        <f t="shared" si="127"/>
        <v>1.0975347433835591E-4</v>
      </c>
      <c r="G207" s="2"/>
      <c r="H207" s="7">
        <v>25</v>
      </c>
      <c r="I207" s="2"/>
      <c r="J207" s="6">
        <f t="shared" si="128"/>
        <v>1.2950871645465226E-5</v>
      </c>
      <c r="K207" s="2"/>
      <c r="L207" s="7">
        <f t="shared" si="129"/>
        <v>104.38</v>
      </c>
      <c r="M207" s="2"/>
      <c r="N207" s="6">
        <f t="shared" si="130"/>
        <v>4.1752000000000002</v>
      </c>
      <c r="O207" s="11"/>
      <c r="P207" s="7">
        <v>451.26</v>
      </c>
      <c r="Q207" s="2"/>
      <c r="R207" s="6">
        <f t="shared" si="131"/>
        <v>1.1638095944059604E-4</v>
      </c>
      <c r="S207" s="2"/>
      <c r="T207" s="7">
        <v>175</v>
      </c>
      <c r="U207" s="2"/>
      <c r="V207" s="6">
        <f t="shared" si="132"/>
        <v>2.6348052961694298E-5</v>
      </c>
      <c r="W207" s="2"/>
      <c r="X207" s="7">
        <f t="shared" si="133"/>
        <v>276.26</v>
      </c>
      <c r="Y207" s="2"/>
      <c r="Z207" s="6">
        <f t="shared" si="134"/>
        <v>1.5786285714285713</v>
      </c>
    </row>
    <row r="208" spans="1:26" s="24" customFormat="1" hidden="1" outlineLevel="2" x14ac:dyDescent="0.35">
      <c r="A208" s="29"/>
      <c r="B208" s="11" t="str">
        <f>CONCATENATE("          ", "6298", " - ", "VEHICLE MILEAGE")</f>
        <v xml:space="preserve">          6298 - VEHICLE MILEAGE</v>
      </c>
      <c r="C208" s="11"/>
      <c r="D208" s="7"/>
      <c r="E208" s="2"/>
      <c r="F208" s="6">
        <f t="shared" si="127"/>
        <v>0</v>
      </c>
      <c r="G208" s="2"/>
      <c r="H208" s="7">
        <v>50</v>
      </c>
      <c r="I208" s="2"/>
      <c r="J208" s="6">
        <f t="shared" si="128"/>
        <v>2.5901743290930451E-5</v>
      </c>
      <c r="K208" s="2"/>
      <c r="L208" s="7">
        <f t="shared" si="129"/>
        <v>-50</v>
      </c>
      <c r="M208" s="2"/>
      <c r="N208" s="6">
        <f t="shared" si="130"/>
        <v>-1</v>
      </c>
      <c r="O208" s="11"/>
      <c r="P208" s="7">
        <v>59.89</v>
      </c>
      <c r="Q208" s="2"/>
      <c r="R208" s="6">
        <f t="shared" si="131"/>
        <v>1.5445764439341616E-5</v>
      </c>
      <c r="S208" s="2"/>
      <c r="T208" s="7">
        <v>375</v>
      </c>
      <c r="U208" s="2"/>
      <c r="V208" s="6">
        <f t="shared" si="132"/>
        <v>5.646011348934492E-5</v>
      </c>
      <c r="W208" s="2"/>
      <c r="X208" s="7">
        <f t="shared" si="133"/>
        <v>-315.11</v>
      </c>
      <c r="Y208" s="2"/>
      <c r="Z208" s="6">
        <f t="shared" si="134"/>
        <v>-0.84029333333333334</v>
      </c>
    </row>
    <row r="209" spans="1:26" s="28" customFormat="1" outlineLevel="1" collapsed="1" x14ac:dyDescent="0.35">
      <c r="A209" s="27"/>
      <c r="B209" s="14" t="str">
        <f>CONCATENATE("     ","Utilities                                         ")</f>
        <v xml:space="preserve">     Utilities                                         </v>
      </c>
      <c r="C209" s="14"/>
      <c r="D209" s="1">
        <f>SUM(OSRRefD22_24x_0)</f>
        <v>6165.61</v>
      </c>
      <c r="E209" s="1"/>
      <c r="F209" s="5">
        <f t="shared" ref="F209:F210" si="135">IF(D$12=0,0,D209/D$12)</f>
        <v>5.2303069942441693E-3</v>
      </c>
      <c r="G209" s="1"/>
      <c r="H209" s="1">
        <f>SUM(OSRRefH22_24x_0)</f>
        <v>6225</v>
      </c>
      <c r="I209" s="1"/>
      <c r="J209" s="5">
        <f t="shared" ref="J209:J210" si="136">IF(H$12=0,0,H209/H$12)</f>
        <v>3.2247670397208415E-3</v>
      </c>
      <c r="K209" s="1"/>
      <c r="L209" s="1">
        <f t="shared" ref="L209:L210" si="137">+D209-H209</f>
        <v>-59.390000000000327</v>
      </c>
      <c r="M209" s="1"/>
      <c r="N209" s="5">
        <f t="shared" ref="N209:N210" si="138">IF(H209=0,0,L209/H209)</f>
        <v>-9.5405622489960363E-3</v>
      </c>
      <c r="O209" s="14"/>
      <c r="P209" s="1">
        <f>SUM(OSRRefP22_24x_0)</f>
        <v>42927.03</v>
      </c>
      <c r="Q209" s="1"/>
      <c r="R209" s="5">
        <f t="shared" ref="R209:R210" si="139">IF(P$12=0,0,P209/P$12)</f>
        <v>1.1070976681592097E-2</v>
      </c>
      <c r="S209" s="1"/>
      <c r="T209" s="1">
        <f>SUM(OSRRefT22_24x_0)</f>
        <v>42975</v>
      </c>
      <c r="U209" s="1"/>
      <c r="V209" s="5">
        <f t="shared" ref="V209:V210" si="140">IF(T$12=0,0,T209/T$12)</f>
        <v>6.4703290058789279E-3</v>
      </c>
      <c r="W209" s="1"/>
      <c r="X209" s="1">
        <f t="shared" ref="X209:X210" si="141">+P209-T209</f>
        <v>-47.970000000001164</v>
      </c>
      <c r="Y209" s="1"/>
      <c r="Z209" s="5">
        <f t="shared" ref="Z209:Z210" si="142">IF(T209=0,0,X209/T209)</f>
        <v>-1.1162303664921736E-3</v>
      </c>
    </row>
    <row r="210" spans="1:26" s="24" customFormat="1" hidden="1" outlineLevel="2" x14ac:dyDescent="0.35">
      <c r="A210" s="29"/>
      <c r="B210" s="11" t="str">
        <f>CONCATENATE("          ", "6274", " - ", "UTILITIES")</f>
        <v xml:space="preserve">          6274 - UTILITIES</v>
      </c>
      <c r="C210" s="11"/>
      <c r="D210" s="7">
        <v>6165.61</v>
      </c>
      <c r="E210" s="2"/>
      <c r="F210" s="6">
        <f t="shared" si="135"/>
        <v>5.2303069942441693E-3</v>
      </c>
      <c r="G210" s="2"/>
      <c r="H210" s="7">
        <v>6225</v>
      </c>
      <c r="I210" s="2"/>
      <c r="J210" s="6">
        <f t="shared" si="136"/>
        <v>3.2247670397208415E-3</v>
      </c>
      <c r="K210" s="2"/>
      <c r="L210" s="7">
        <f t="shared" si="137"/>
        <v>-59.390000000000327</v>
      </c>
      <c r="M210" s="2"/>
      <c r="N210" s="6">
        <f t="shared" si="138"/>
        <v>-9.5405622489960363E-3</v>
      </c>
      <c r="O210" s="11"/>
      <c r="P210" s="7">
        <v>42927.03</v>
      </c>
      <c r="Q210" s="2"/>
      <c r="R210" s="6">
        <f t="shared" si="139"/>
        <v>1.1070976681592097E-2</v>
      </c>
      <c r="S210" s="2"/>
      <c r="T210" s="7">
        <v>42975</v>
      </c>
      <c r="U210" s="2"/>
      <c r="V210" s="6">
        <f t="shared" si="140"/>
        <v>6.4703290058789279E-3</v>
      </c>
      <c r="W210" s="2"/>
      <c r="X210" s="7">
        <f t="shared" si="141"/>
        <v>-47.970000000001164</v>
      </c>
      <c r="Y210" s="2"/>
      <c r="Z210" s="6">
        <f t="shared" si="142"/>
        <v>-1.1162303664921736E-3</v>
      </c>
    </row>
    <row r="211" spans="1:26" s="55" customFormat="1" x14ac:dyDescent="0.35">
      <c r="A211" s="36"/>
      <c r="B211" s="36"/>
      <c r="C211" s="36"/>
      <c r="D211" s="1"/>
      <c r="E211" s="1"/>
      <c r="F211" s="5"/>
      <c r="G211" s="1"/>
      <c r="H211" s="1"/>
      <c r="I211" s="1"/>
      <c r="J211" s="5"/>
      <c r="K211" s="1"/>
      <c r="L211" s="1"/>
      <c r="M211" s="1"/>
      <c r="N211" s="5"/>
      <c r="O211" s="36"/>
      <c r="P211" s="1"/>
      <c r="Q211" s="1"/>
      <c r="R211" s="5"/>
      <c r="S211" s="1"/>
      <c r="T211" s="1"/>
      <c r="U211" s="1"/>
      <c r="V211" s="5"/>
      <c r="W211" s="1"/>
      <c r="X211" s="1"/>
      <c r="Y211" s="1"/>
      <c r="Z211" s="5"/>
    </row>
    <row r="212" spans="1:26" s="23" customFormat="1" collapsed="1" x14ac:dyDescent="0.35">
      <c r="A212" s="10"/>
      <c r="B212" s="25" t="s">
        <v>0</v>
      </c>
      <c r="C212" s="10"/>
      <c r="D212" s="4">
        <f>SUM(OSRRefD25x_0)</f>
        <v>31989.34</v>
      </c>
      <c r="E212" s="4"/>
      <c r="F212" s="12">
        <f t="shared" ref="F212:F216" si="143">IF(D$12=0,0,D212/D$12)</f>
        <v>2.7136661051097098E-2</v>
      </c>
      <c r="G212" s="4"/>
      <c r="H212" s="4">
        <f>SUM(OSRRefH25x_0)</f>
        <v>38725</v>
      </c>
      <c r="I212" s="4"/>
      <c r="J212" s="12">
        <f t="shared" ref="J212:J216" si="144">IF(H$12=0,0,H212/H$12)</f>
        <v>2.0060900178825634E-2</v>
      </c>
      <c r="K212" s="4"/>
      <c r="L212" s="4">
        <f t="shared" ref="L212:L216" si="145">+D212-H212</f>
        <v>-6735.66</v>
      </c>
      <c r="M212" s="4"/>
      <c r="N212" s="12">
        <f t="shared" ref="N212:N216" si="146">IF(H212=0,0,L212/H212)</f>
        <v>-0.17393570045190446</v>
      </c>
      <c r="O212" s="10"/>
      <c r="P212" s="4">
        <f>SUM(OSRRefP25x_0)</f>
        <v>576378.61</v>
      </c>
      <c r="Q212" s="4"/>
      <c r="R212" s="12">
        <f t="shared" ref="R212:R216" si="147">IF(P$12=0,0,P212/P$12)</f>
        <v>0.1486493277330965</v>
      </c>
      <c r="S212" s="4"/>
      <c r="T212" s="4">
        <f>SUM(OSRRefT25x_0)</f>
        <v>513954</v>
      </c>
      <c r="U212" s="4"/>
      <c r="V212" s="12">
        <f t="shared" ref="V212:V216" si="148">IF(T$12=0,0,T212/T$12)</f>
        <v>7.7381069782140752E-2</v>
      </c>
      <c r="W212" s="4"/>
      <c r="X212" s="4">
        <f t="shared" ref="X212:X216" si="149">+P212-T212</f>
        <v>62424.609999999986</v>
      </c>
      <c r="Y212" s="4"/>
      <c r="Z212" s="12">
        <f t="shared" ref="Z212:Z216" si="150">IF(T212=0,0,X212/T212)</f>
        <v>0.12145952750635268</v>
      </c>
    </row>
    <row r="213" spans="1:26" s="24" customFormat="1" hidden="1" outlineLevel="1" x14ac:dyDescent="0.35">
      <c r="A213" s="51"/>
      <c r="B213" s="11" t="str">
        <f>CONCATENATE("          ", "9150", " - ", "MISC. INCOME")</f>
        <v xml:space="preserve">          9150 - MISC. INCOME</v>
      </c>
      <c r="C213" s="11"/>
      <c r="D213" s="2">
        <f>--29871.01</f>
        <v>29871.01</v>
      </c>
      <c r="E213" s="2"/>
      <c r="F213" s="22">
        <f t="shared" si="143"/>
        <v>2.533967482992559E-2</v>
      </c>
      <c r="G213" s="2"/>
      <c r="H213" s="2">
        <v>23550</v>
      </c>
      <c r="I213" s="2"/>
      <c r="J213" s="22">
        <f t="shared" si="144"/>
        <v>1.2199721090028244E-2</v>
      </c>
      <c r="K213" s="2"/>
      <c r="L213" s="2">
        <f t="shared" si="145"/>
        <v>6321.0099999999984</v>
      </c>
      <c r="M213" s="2"/>
      <c r="N213" s="22">
        <f t="shared" si="146"/>
        <v>0.26840806794055194</v>
      </c>
      <c r="O213" s="11"/>
      <c r="P213" s="2">
        <f>--248483.12</f>
        <v>248483.12</v>
      </c>
      <c r="Q213" s="2"/>
      <c r="R213" s="22">
        <f t="shared" si="147"/>
        <v>6.4084350286736605E-2</v>
      </c>
      <c r="S213" s="2"/>
      <c r="T213" s="2">
        <v>141850</v>
      </c>
      <c r="U213" s="2"/>
      <c r="V213" s="22">
        <f t="shared" si="148"/>
        <v>2.1356978929236207E-2</v>
      </c>
      <c r="W213" s="2"/>
      <c r="X213" s="2">
        <f t="shared" si="149"/>
        <v>106633.12</v>
      </c>
      <c r="Y213" s="2"/>
      <c r="Z213" s="22">
        <f t="shared" si="150"/>
        <v>0.75173154740923509</v>
      </c>
    </row>
    <row r="214" spans="1:26" s="24" customFormat="1" hidden="1" outlineLevel="1" x14ac:dyDescent="0.35">
      <c r="A214" s="51"/>
      <c r="B214" s="11" t="str">
        <f>CONCATENATE("          ", "9151", " - ", "MISC. INCOME")</f>
        <v xml:space="preserve">          9151 - MISC. INCOME</v>
      </c>
      <c r="C214" s="11"/>
      <c r="D214" s="2">
        <f>--1972</f>
        <v>1972</v>
      </c>
      <c r="E214" s="2"/>
      <c r="F214" s="22">
        <f t="shared" si="143"/>
        <v>1.6728540067648622E-3</v>
      </c>
      <c r="G214" s="2"/>
      <c r="H214" s="2">
        <v>15175</v>
      </c>
      <c r="I214" s="2"/>
      <c r="J214" s="22">
        <f t="shared" si="144"/>
        <v>7.8611790887973924E-3</v>
      </c>
      <c r="K214" s="2"/>
      <c r="L214" s="2">
        <f t="shared" si="145"/>
        <v>-13203</v>
      </c>
      <c r="M214" s="2"/>
      <c r="N214" s="22">
        <f t="shared" si="146"/>
        <v>-0.8700494233937397</v>
      </c>
      <c r="O214" s="11"/>
      <c r="P214" s="2">
        <f>--149257.39</f>
        <v>149257.39000000001</v>
      </c>
      <c r="Q214" s="2"/>
      <c r="R214" s="22">
        <f t="shared" si="147"/>
        <v>3.8493813437484439E-2</v>
      </c>
      <c r="S214" s="2"/>
      <c r="T214" s="2">
        <v>372104</v>
      </c>
      <c r="U214" s="2"/>
      <c r="V214" s="22">
        <f t="shared" si="148"/>
        <v>5.6024090852904544E-2</v>
      </c>
      <c r="W214" s="2"/>
      <c r="X214" s="2">
        <f t="shared" si="149"/>
        <v>-222846.61</v>
      </c>
      <c r="Y214" s="2"/>
      <c r="Z214" s="22">
        <f t="shared" si="150"/>
        <v>-0.59888259733837845</v>
      </c>
    </row>
    <row r="215" spans="1:26" s="24" customFormat="1" hidden="1" outlineLevel="1" x14ac:dyDescent="0.35">
      <c r="A215" s="51"/>
      <c r="B215" s="11" t="str">
        <f>CONCATENATE("          ", "9152", " - ", "MISC. INCOME")</f>
        <v xml:space="preserve">          9152 - MISC. INCOME</v>
      </c>
      <c r="C215" s="11"/>
      <c r="D215" s="2">
        <f>--146.33</f>
        <v>146.33000000000001</v>
      </c>
      <c r="E215" s="2"/>
      <c r="F215" s="22">
        <f t="shared" si="143"/>
        <v>1.2413221440664416E-4</v>
      </c>
      <c r="G215" s="2"/>
      <c r="H215" s="2"/>
      <c r="I215" s="2"/>
      <c r="J215" s="22">
        <f t="shared" si="144"/>
        <v>0</v>
      </c>
      <c r="K215" s="2"/>
      <c r="L215" s="2">
        <f t="shared" si="145"/>
        <v>146.33000000000001</v>
      </c>
      <c r="M215" s="2"/>
      <c r="N215" s="22">
        <f t="shared" si="146"/>
        <v>0</v>
      </c>
      <c r="O215" s="11"/>
      <c r="P215" s="2">
        <f>--3232.26</f>
        <v>3232.26</v>
      </c>
      <c r="Q215" s="2"/>
      <c r="R215" s="22">
        <f t="shared" si="147"/>
        <v>8.3360705571391437E-4</v>
      </c>
      <c r="S215" s="2"/>
      <c r="T215" s="2"/>
      <c r="U215" s="2"/>
      <c r="V215" s="22">
        <f t="shared" si="148"/>
        <v>0</v>
      </c>
      <c r="W215" s="2"/>
      <c r="X215" s="2">
        <f t="shared" si="149"/>
        <v>3232.26</v>
      </c>
      <c r="Y215" s="2"/>
      <c r="Z215" s="22">
        <f t="shared" si="150"/>
        <v>0</v>
      </c>
    </row>
    <row r="216" spans="1:26" s="24" customFormat="1" hidden="1" outlineLevel="1" x14ac:dyDescent="0.35">
      <c r="A216" s="51"/>
      <c r="B216" s="11" t="str">
        <f>CONCATENATE("          ", "9163", " - ", "MISC. INCOME")</f>
        <v xml:space="preserve">          9163 - MISC. INCOME</v>
      </c>
      <c r="C216" s="11"/>
      <c r="D216" s="2">
        <f>0</f>
        <v>0</v>
      </c>
      <c r="E216" s="2"/>
      <c r="F216" s="22">
        <f t="shared" si="143"/>
        <v>0</v>
      </c>
      <c r="G216" s="2"/>
      <c r="H216" s="2"/>
      <c r="I216" s="2"/>
      <c r="J216" s="22">
        <f t="shared" si="144"/>
        <v>0</v>
      </c>
      <c r="K216" s="2"/>
      <c r="L216" s="2">
        <f t="shared" si="145"/>
        <v>0</v>
      </c>
      <c r="M216" s="2"/>
      <c r="N216" s="22">
        <f t="shared" si="146"/>
        <v>0</v>
      </c>
      <c r="O216" s="11"/>
      <c r="P216" s="2">
        <f>--175405.84</f>
        <v>175405.84</v>
      </c>
      <c r="Q216" s="2"/>
      <c r="R216" s="22">
        <f t="shared" si="147"/>
        <v>4.5237556953161548E-2</v>
      </c>
      <c r="S216" s="2"/>
      <c r="T216" s="2"/>
      <c r="U216" s="2"/>
      <c r="V216" s="22">
        <f t="shared" si="148"/>
        <v>0</v>
      </c>
      <c r="W216" s="2"/>
      <c r="X216" s="2">
        <f t="shared" si="149"/>
        <v>175405.84</v>
      </c>
      <c r="Y216" s="2"/>
      <c r="Z216" s="22">
        <f t="shared" si="150"/>
        <v>0</v>
      </c>
    </row>
    <row r="217" spans="1:26" x14ac:dyDescent="0.35">
      <c r="A217" s="9"/>
      <c r="B217" s="10"/>
      <c r="C217" s="10"/>
      <c r="D217" s="3"/>
      <c r="E217" s="3"/>
      <c r="F217" s="8"/>
      <c r="G217" s="3"/>
      <c r="H217" s="3"/>
      <c r="I217" s="3"/>
      <c r="J217" s="8"/>
      <c r="K217" s="3"/>
      <c r="L217" s="3"/>
      <c r="M217" s="3"/>
      <c r="N217" s="8"/>
      <c r="O217" s="10"/>
      <c r="P217" s="3"/>
      <c r="Q217" s="3"/>
      <c r="R217" s="8"/>
      <c r="S217" s="3"/>
      <c r="T217" s="3"/>
      <c r="U217" s="3"/>
      <c r="V217" s="8"/>
      <c r="W217" s="3"/>
      <c r="X217" s="3"/>
      <c r="Y217" s="3"/>
      <c r="Z217" s="8"/>
    </row>
    <row r="218" spans="1:26" s="23" customFormat="1" x14ac:dyDescent="0.35">
      <c r="A218" s="10"/>
      <c r="B218" s="26" t="s">
        <v>3</v>
      </c>
      <c r="C218" s="26"/>
      <c r="D218" s="19">
        <f>+D112-D114+D212</f>
        <v>140249.45999999982</v>
      </c>
      <c r="E218" s="13"/>
      <c r="F218" s="21">
        <f>IF(D$12=0,0,D218/D$12)</f>
        <v>0.11897407256978092</v>
      </c>
      <c r="G218" s="13"/>
      <c r="H218" s="19">
        <f>+H112-H114+H212</f>
        <v>277242.24692202685</v>
      </c>
      <c r="I218" s="13"/>
      <c r="J218" s="21">
        <f>IF(H$12=0,0,H218/H$12)</f>
        <v>0.14362115018350186</v>
      </c>
      <c r="K218" s="16"/>
      <c r="L218" s="19">
        <f>+D218-H218</f>
        <v>-136992.78692202704</v>
      </c>
      <c r="M218" s="16"/>
      <c r="N218" s="21">
        <f>IF(H218=0,0,L218/H218)</f>
        <v>-0.49412666519239273</v>
      </c>
      <c r="O218" s="25"/>
      <c r="P218" s="19">
        <f>+P112-P114+P212</f>
        <v>41204.789999999921</v>
      </c>
      <c r="Q218" s="13"/>
      <c r="R218" s="21">
        <f>IF(P$12=0,0,P218/P$12)</f>
        <v>1.0626807148314205E-2</v>
      </c>
      <c r="S218" s="13"/>
      <c r="T218" s="19">
        <f>+T112-T114+T212</f>
        <v>421725.53154527722</v>
      </c>
      <c r="U218" s="13"/>
      <c r="V218" s="21">
        <f>IF(T$12=0,0,T218/T$12)</f>
        <v>6.34951236597351E-2</v>
      </c>
      <c r="W218" s="16"/>
      <c r="X218" s="19">
        <f>+P218-T218</f>
        <v>-380520.7415452773</v>
      </c>
      <c r="Y218" s="16"/>
      <c r="Z218" s="21">
        <f>IF(T218=0,0,X218/T218)</f>
        <v>-0.90229477013398207</v>
      </c>
    </row>
    <row r="219" spans="1:26" x14ac:dyDescent="0.35">
      <c r="A219" s="9"/>
      <c r="B219" s="10"/>
      <c r="C219" s="9"/>
      <c r="D219" s="3"/>
      <c r="E219" s="3"/>
      <c r="F219" s="8"/>
      <c r="G219" s="3"/>
      <c r="H219" s="3"/>
      <c r="I219" s="3"/>
      <c r="J219" s="8"/>
      <c r="K219" s="3"/>
      <c r="L219" s="3"/>
      <c r="M219" s="3"/>
      <c r="N219" s="8"/>
      <c r="P219" s="3"/>
      <c r="Q219" s="3"/>
      <c r="R219" s="8"/>
      <c r="S219" s="3"/>
      <c r="T219" s="3"/>
      <c r="U219" s="3"/>
      <c r="V219" s="8"/>
      <c r="W219" s="3"/>
      <c r="X219" s="3"/>
      <c r="Y219" s="3"/>
      <c r="Z219" s="8"/>
    </row>
    <row r="220" spans="1:26" s="23" customFormat="1" x14ac:dyDescent="0.35">
      <c r="A220" s="52"/>
      <c r="B220" s="10" t="s">
        <v>14</v>
      </c>
      <c r="C220" s="10"/>
      <c r="D220" s="4">
        <v>204556.79999999999</v>
      </c>
      <c r="E220" s="4"/>
      <c r="F220" s="12">
        <f>IF(D$12=0,0,D220/D$12)</f>
        <v>0.17352619801774774</v>
      </c>
      <c r="G220" s="4"/>
      <c r="H220" s="4">
        <v>259462</v>
      </c>
      <c r="I220" s="4"/>
      <c r="J220" s="12">
        <f>IF(H$12=0,0,H220/H$12)</f>
        <v>0.13441036235502793</v>
      </c>
      <c r="K220" s="4"/>
      <c r="L220" s="4">
        <f>+D220-H220</f>
        <v>-54905.200000000012</v>
      </c>
      <c r="M220" s="4"/>
      <c r="N220" s="12">
        <f>IF(H220=0,0,L220/H220)</f>
        <v>-0.21161171963524528</v>
      </c>
      <c r="O220" s="10"/>
      <c r="P220" s="4">
        <v>703857.65</v>
      </c>
      <c r="Q220" s="4"/>
      <c r="R220" s="12">
        <f>IF(P$12=0,0,P220/P$12)</f>
        <v>0.18152645618180926</v>
      </c>
      <c r="S220" s="4"/>
      <c r="T220" s="4">
        <v>1158134</v>
      </c>
      <c r="U220" s="4"/>
      <c r="V220" s="12">
        <f>IF(T$12=0,0,T220/T$12)</f>
        <v>0.17436900553565066</v>
      </c>
      <c r="W220" s="4"/>
      <c r="X220" s="4">
        <f>+P220-T220</f>
        <v>-454276.35</v>
      </c>
      <c r="Y220" s="4"/>
      <c r="Z220" s="12">
        <f>IF(T220=0,0,X220/T220)</f>
        <v>-0.39224852219173256</v>
      </c>
    </row>
    <row r="221" spans="1:26" x14ac:dyDescent="0.35">
      <c r="A221" s="9"/>
      <c r="B221" s="10"/>
      <c r="C221" s="10"/>
      <c r="D221" s="3"/>
      <c r="E221" s="3"/>
      <c r="F221" s="8"/>
      <c r="G221" s="3"/>
      <c r="H221" s="3"/>
      <c r="I221" s="3"/>
      <c r="J221" s="8"/>
      <c r="K221" s="3"/>
      <c r="L221" s="3"/>
      <c r="M221" s="3"/>
      <c r="N221" s="8"/>
      <c r="O221" s="10"/>
      <c r="P221" s="3"/>
      <c r="Q221" s="3"/>
      <c r="R221" s="8"/>
      <c r="S221" s="3"/>
      <c r="T221" s="3"/>
      <c r="U221" s="3"/>
      <c r="V221" s="8"/>
      <c r="W221" s="3"/>
      <c r="X221" s="3"/>
      <c r="Y221" s="3"/>
      <c r="Z221" s="8"/>
    </row>
    <row r="222" spans="1:26" s="23" customFormat="1" ht="15" thickBot="1" x14ac:dyDescent="0.4">
      <c r="A222" s="10"/>
      <c r="B222" s="26" t="s">
        <v>4</v>
      </c>
      <c r="C222" s="26"/>
      <c r="D222" s="33">
        <f>+D218-D220</f>
        <v>-64307.340000000171</v>
      </c>
      <c r="E222" s="13"/>
      <c r="F222" s="31">
        <f>IF(D$12=0,0,D222/D$12)</f>
        <v>-5.4552125447966823E-2</v>
      </c>
      <c r="G222" s="13"/>
      <c r="H222" s="33">
        <f>+H218-H220</f>
        <v>17780.246922026854</v>
      </c>
      <c r="I222" s="13"/>
      <c r="J222" s="31">
        <f>IF(H$12=0,0,H222/H$12)</f>
        <v>9.2107878284739177E-3</v>
      </c>
      <c r="K222" s="16"/>
      <c r="L222" s="33">
        <f>D222-H222</f>
        <v>-82087.586922027025</v>
      </c>
      <c r="M222" s="16"/>
      <c r="N222" s="31">
        <f>IF(H222=0,0,L222/H222)</f>
        <v>-4.6167855419563244</v>
      </c>
      <c r="O222" s="25"/>
      <c r="P222" s="33">
        <f>+P218-P220</f>
        <v>-662652.8600000001</v>
      </c>
      <c r="Q222" s="13"/>
      <c r="R222" s="31">
        <f>IF(P$12=0,0,P222/P$12)</f>
        <v>-0.17089964903349505</v>
      </c>
      <c r="S222" s="13"/>
      <c r="T222" s="33">
        <f>+T218-T220</f>
        <v>-736408.46845472278</v>
      </c>
      <c r="U222" s="13"/>
      <c r="V222" s="31">
        <f>IF(T$12=0,0,T222/T$12)</f>
        <v>-0.11087388187591554</v>
      </c>
      <c r="W222" s="16"/>
      <c r="X222" s="33">
        <f>P222-T222</f>
        <v>73755.608454722678</v>
      </c>
      <c r="Y222" s="16"/>
      <c r="Z222" s="31">
        <f>IF(T222=0,0,X222/T222)</f>
        <v>-0.10015583961098548</v>
      </c>
    </row>
    <row r="223" spans="1:26" ht="15" thickTop="1" x14ac:dyDescent="0.35">
      <c r="A223" s="9"/>
      <c r="B223" s="9"/>
      <c r="C223" s="9"/>
      <c r="D223" s="3"/>
      <c r="E223" s="3"/>
      <c r="F223" s="8"/>
      <c r="G223" s="3"/>
      <c r="H223" s="3"/>
      <c r="I223" s="3"/>
      <c r="J223" s="8"/>
      <c r="K223" s="3"/>
      <c r="L223" s="3"/>
      <c r="M223" s="3"/>
      <c r="N223" s="8"/>
      <c r="P223" s="3"/>
      <c r="Q223" s="3"/>
      <c r="R223" s="8"/>
      <c r="S223" s="3"/>
      <c r="T223" s="3"/>
      <c r="U223" s="3"/>
      <c r="V223" s="8"/>
      <c r="W223" s="3"/>
      <c r="X223" s="3"/>
      <c r="Y223" s="3"/>
      <c r="Z223" s="8"/>
    </row>
    <row r="224" spans="1:26" x14ac:dyDescent="0.35">
      <c r="A224" s="9"/>
      <c r="B224" s="9"/>
      <c r="C224" s="9"/>
      <c r="D224" s="3"/>
      <c r="E224" s="3"/>
      <c r="F224" s="8"/>
      <c r="G224" s="3"/>
      <c r="H224" s="3"/>
      <c r="I224" s="3"/>
      <c r="J224" s="8"/>
      <c r="K224" s="3"/>
      <c r="L224" s="3"/>
      <c r="M224" s="3"/>
      <c r="N224" s="8"/>
      <c r="P224" s="3"/>
      <c r="Q224" s="3"/>
      <c r="R224" s="8"/>
      <c r="S224" s="3"/>
      <c r="T224" s="3"/>
      <c r="U224" s="3"/>
      <c r="V224" s="8"/>
      <c r="W224" s="3"/>
      <c r="X224" s="3"/>
      <c r="Y224" s="3"/>
      <c r="Z224" s="8"/>
    </row>
    <row r="225" spans="1:26" s="23" customFormat="1" ht="15" thickBot="1" x14ac:dyDescent="0.4">
      <c r="A225" s="10"/>
      <c r="B225" s="26" t="s">
        <v>5</v>
      </c>
      <c r="C225" s="26"/>
      <c r="D225" s="34">
        <f>SUM(D222:D224)</f>
        <v>-64307.340000000171</v>
      </c>
      <c r="E225" s="13"/>
      <c r="F225" s="32">
        <f>IF(D$12=0,0,D225/D$12)</f>
        <v>-5.4552125447966823E-2</v>
      </c>
      <c r="G225" s="13"/>
      <c r="H225" s="34">
        <f>SUM(H222:H224)</f>
        <v>17780.246922026854</v>
      </c>
      <c r="I225" s="13"/>
      <c r="J225" s="32">
        <f>IF(H$12=0,0,H225/H$12)</f>
        <v>9.2107878284739177E-3</v>
      </c>
      <c r="K225" s="16"/>
      <c r="L225" s="34">
        <f>+D225-H225</f>
        <v>-82087.586922027025</v>
      </c>
      <c r="M225" s="16"/>
      <c r="N225" s="32">
        <f>IF(H225=0,0,L225/H225)</f>
        <v>-4.6167855419563244</v>
      </c>
      <c r="O225" s="25"/>
      <c r="P225" s="34">
        <f>SUM(P222:P224)</f>
        <v>-662652.8600000001</v>
      </c>
      <c r="Q225" s="13"/>
      <c r="R225" s="32">
        <f>IF(P$12=0,0,P225/P$12)</f>
        <v>-0.17089964903349505</v>
      </c>
      <c r="S225" s="13"/>
      <c r="T225" s="34">
        <f>SUM(T222:T224)</f>
        <v>-736408.46845472278</v>
      </c>
      <c r="U225" s="13"/>
      <c r="V225" s="32">
        <f>IF(T$12=0,0,T225/T$12)</f>
        <v>-0.11087388187591554</v>
      </c>
      <c r="W225" s="16"/>
      <c r="X225" s="34">
        <f>+P225-T225</f>
        <v>73755.608454722678</v>
      </c>
      <c r="Y225" s="16"/>
      <c r="Z225" s="32">
        <f>IF(T225=0,0,X225/T225)</f>
        <v>-0.10015583961098548</v>
      </c>
    </row>
    <row r="226" spans="1:26" ht="15" thickTop="1" x14ac:dyDescent="0.35">
      <c r="A226" s="9"/>
      <c r="C226" s="9"/>
      <c r="D226" s="18"/>
      <c r="E226" s="18"/>
      <c r="G226" s="18"/>
      <c r="H226" s="18"/>
      <c r="I226" s="18"/>
      <c r="J226" s="43"/>
      <c r="K226" s="18"/>
      <c r="L226" s="18"/>
      <c r="M226" s="18"/>
      <c r="P226" s="18"/>
      <c r="Q226" s="18"/>
      <c r="R226" s="43"/>
      <c r="S226" s="18"/>
      <c r="T226" s="18"/>
      <c r="U226" s="18"/>
      <c r="V226" s="43"/>
      <c r="W226" s="18"/>
      <c r="X226" s="18"/>
    </row>
    <row r="227" spans="1:26" x14ac:dyDescent="0.35">
      <c r="A227" s="9"/>
      <c r="B227" s="60">
        <v>44238.49006635417</v>
      </c>
      <c r="D227" s="18"/>
      <c r="E227" s="18"/>
      <c r="G227" s="18"/>
      <c r="H227" s="18"/>
      <c r="I227" s="18"/>
      <c r="J227" s="43"/>
      <c r="K227" s="18"/>
      <c r="L227" s="18"/>
      <c r="M227" s="18"/>
      <c r="P227" s="18"/>
      <c r="Q227" s="18"/>
      <c r="R227" s="43"/>
      <c r="S227" s="18"/>
      <c r="T227" s="18"/>
      <c r="U227" s="18"/>
      <c r="V227" s="43"/>
      <c r="W227" s="18"/>
      <c r="X227" s="18"/>
    </row>
    <row r="228" spans="1:26" x14ac:dyDescent="0.35">
      <c r="A228" s="9"/>
      <c r="B228" s="59" t="s">
        <v>314</v>
      </c>
      <c r="D228" s="18"/>
      <c r="E228" s="18"/>
      <c r="G228" s="18"/>
      <c r="H228" s="18"/>
      <c r="I228" s="18"/>
      <c r="J228" s="43"/>
      <c r="K228" s="18"/>
      <c r="L228" s="18"/>
      <c r="M228" s="18"/>
      <c r="P228" s="18"/>
      <c r="Q228" s="18"/>
      <c r="R228" s="43"/>
      <c r="S228" s="18"/>
      <c r="T228" s="18"/>
      <c r="U228" s="18"/>
      <c r="V228" s="43"/>
      <c r="W228" s="18"/>
      <c r="X228" s="18"/>
    </row>
    <row r="229" spans="1:26" x14ac:dyDescent="0.35">
      <c r="A229" s="9"/>
      <c r="B229" s="58"/>
      <c r="D229" s="18"/>
      <c r="E229" s="18"/>
      <c r="G229" s="18"/>
      <c r="H229" s="18"/>
      <c r="I229" s="18"/>
      <c r="J229" s="43"/>
      <c r="K229" s="18"/>
      <c r="L229" s="18"/>
      <c r="M229" s="18"/>
      <c r="P229" s="18"/>
      <c r="Q229" s="18"/>
      <c r="R229" s="43"/>
      <c r="S229" s="18"/>
      <c r="T229" s="18"/>
      <c r="U229" s="18"/>
      <c r="V229" s="43"/>
      <c r="W229" s="18"/>
      <c r="X229" s="18"/>
    </row>
    <row r="230" spans="1:26" x14ac:dyDescent="0.35">
      <c r="D230" s="18"/>
      <c r="E230" s="18"/>
      <c r="G230" s="18"/>
      <c r="H230" s="18"/>
      <c r="I230" s="18"/>
      <c r="J230" s="43"/>
      <c r="K230" s="18"/>
      <c r="L230" s="18"/>
      <c r="M230" s="18"/>
      <c r="P230" s="18"/>
      <c r="Q230" s="18"/>
      <c r="R230" s="43"/>
      <c r="S230" s="18"/>
      <c r="T230" s="18"/>
      <c r="U230" s="18"/>
      <c r="V230" s="43"/>
      <c r="W230" s="18"/>
      <c r="X230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5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312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1308015.5400000003</v>
      </c>
      <c r="E12" s="4"/>
      <c r="F12" s="12"/>
      <c r="G12" s="4"/>
      <c r="H12" s="4">
        <f>SUM(OSRRefH13x_0)</f>
        <v>2123985.0000000005</v>
      </c>
      <c r="I12" s="4"/>
      <c r="J12" s="12"/>
      <c r="K12" s="4"/>
      <c r="L12" s="4">
        <f t="shared" ref="L12:L88" si="0">+D12-H12</f>
        <v>-815969.4600000002</v>
      </c>
      <c r="M12" s="4"/>
      <c r="N12" s="12">
        <f t="shared" ref="N12:N88" si="1">IF(H12=0,0,L12/H12)</f>
        <v>-0.38416912548817433</v>
      </c>
      <c r="O12" s="10"/>
      <c r="P12" s="4">
        <f>SUM(OSRRefP13x_0)</f>
        <v>5281974.7199999988</v>
      </c>
      <c r="Q12" s="4"/>
      <c r="R12" s="12"/>
      <c r="S12" s="4"/>
      <c r="T12" s="4">
        <f>SUM(OSRRefT13x_0)</f>
        <v>8260514</v>
      </c>
      <c r="U12" s="4"/>
      <c r="V12" s="12"/>
      <c r="W12" s="4"/>
      <c r="X12" s="4">
        <f t="shared" ref="X12:X88" si="2">+P12-T12</f>
        <v>-2978539.2800000012</v>
      </c>
      <c r="Y12" s="4"/>
      <c r="Z12" s="12">
        <f t="shared" ref="Z12:Z88" si="3">IF(T12=0,0,X12/T12)</f>
        <v>-0.36057553803552672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>-12518.13</f>
        <v>-12518.13</v>
      </c>
      <c r="E13" s="2"/>
      <c r="F13" s="22"/>
      <c r="G13" s="2"/>
      <c r="H13" s="2">
        <v>2061358.0000000002</v>
      </c>
      <c r="I13" s="2"/>
      <c r="J13" s="22"/>
      <c r="K13" s="2"/>
      <c r="L13" s="2">
        <f t="shared" si="0"/>
        <v>-2073876.1300000001</v>
      </c>
      <c r="M13" s="2"/>
      <c r="N13" s="22">
        <f t="shared" si="1"/>
        <v>-1.0060727588317993</v>
      </c>
      <c r="O13" s="11"/>
      <c r="P13" s="2">
        <f>-103655.99</f>
        <v>-103655.99</v>
      </c>
      <c r="Q13" s="2"/>
      <c r="R13" s="22"/>
      <c r="S13" s="2"/>
      <c r="T13" s="2">
        <v>8055825</v>
      </c>
      <c r="U13" s="2"/>
      <c r="V13" s="22"/>
      <c r="W13" s="2"/>
      <c r="X13" s="2">
        <f t="shared" si="2"/>
        <v>-8159480.9900000002</v>
      </c>
      <c r="Y13" s="2"/>
      <c r="Z13" s="22">
        <f t="shared" si="3"/>
        <v>-1.0128672097519498</v>
      </c>
    </row>
    <row r="14" spans="1:26" s="24" customFormat="1" hidden="1" outlineLevel="1" x14ac:dyDescent="0.3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--459430.32</f>
        <v>459430.32</v>
      </c>
      <c r="E14" s="2"/>
      <c r="F14" s="22"/>
      <c r="G14" s="2"/>
      <c r="H14" s="2"/>
      <c r="I14" s="2"/>
      <c r="J14" s="22"/>
      <c r="K14" s="2"/>
      <c r="L14" s="2">
        <f t="shared" si="0"/>
        <v>459430.32</v>
      </c>
      <c r="M14" s="2"/>
      <c r="N14" s="22">
        <f t="shared" si="1"/>
        <v>0</v>
      </c>
      <c r="O14" s="11"/>
      <c r="P14" s="2">
        <f>--1190096.34</f>
        <v>1190096.3400000001</v>
      </c>
      <c r="Q14" s="2"/>
      <c r="R14" s="22"/>
      <c r="S14" s="2"/>
      <c r="T14" s="2"/>
      <c r="U14" s="2"/>
      <c r="V14" s="22"/>
      <c r="W14" s="2"/>
      <c r="X14" s="2">
        <f t="shared" si="2"/>
        <v>1190096.3400000001</v>
      </c>
      <c r="Y14" s="2"/>
      <c r="Z14" s="22">
        <f t="shared" si="3"/>
        <v>0</v>
      </c>
    </row>
    <row r="15" spans="1:26" s="24" customFormat="1" hidden="1" outlineLevel="1" x14ac:dyDescent="0.3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--238947.44</f>
        <v>238947.44</v>
      </c>
      <c r="E15" s="2"/>
      <c r="F15" s="22"/>
      <c r="G15" s="2"/>
      <c r="H15" s="2"/>
      <c r="I15" s="2"/>
      <c r="J15" s="22"/>
      <c r="K15" s="2"/>
      <c r="L15" s="2">
        <f t="shared" si="0"/>
        <v>238947.44</v>
      </c>
      <c r="M15" s="2"/>
      <c r="N15" s="22">
        <f t="shared" si="1"/>
        <v>0</v>
      </c>
      <c r="O15" s="11"/>
      <c r="P15" s="2">
        <f>--562401.5</f>
        <v>562401.5</v>
      </c>
      <c r="Q15" s="2"/>
      <c r="R15" s="22"/>
      <c r="S15" s="2"/>
      <c r="T15" s="2"/>
      <c r="U15" s="2"/>
      <c r="V15" s="22"/>
      <c r="W15" s="2"/>
      <c r="X15" s="2">
        <f t="shared" si="2"/>
        <v>562401.5</v>
      </c>
      <c r="Y15" s="2"/>
      <c r="Z15" s="22">
        <f t="shared" si="3"/>
        <v>0</v>
      </c>
    </row>
    <row r="16" spans="1:26" s="24" customFormat="1" hidden="1" outlineLevel="1" x14ac:dyDescent="0.3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--7222.26</f>
        <v>7222.26</v>
      </c>
      <c r="E16" s="2"/>
      <c r="F16" s="22"/>
      <c r="G16" s="2"/>
      <c r="H16" s="2"/>
      <c r="I16" s="2"/>
      <c r="J16" s="22"/>
      <c r="K16" s="2"/>
      <c r="L16" s="2">
        <f t="shared" si="0"/>
        <v>7222.26</v>
      </c>
      <c r="M16" s="2"/>
      <c r="N16" s="22">
        <f t="shared" si="1"/>
        <v>0</v>
      </c>
      <c r="O16" s="11"/>
      <c r="P16" s="2">
        <f>--17887.89</f>
        <v>17887.89</v>
      </c>
      <c r="Q16" s="2"/>
      <c r="R16" s="22"/>
      <c r="S16" s="2"/>
      <c r="T16" s="2"/>
      <c r="U16" s="2"/>
      <c r="V16" s="22"/>
      <c r="W16" s="2"/>
      <c r="X16" s="2">
        <f t="shared" si="2"/>
        <v>17887.89</v>
      </c>
      <c r="Y16" s="2"/>
      <c r="Z16" s="22">
        <f t="shared" si="3"/>
        <v>0</v>
      </c>
    </row>
    <row r="17" spans="1:26" s="24" customFormat="1" hidden="1" outlineLevel="1" x14ac:dyDescent="0.3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--200.1</f>
        <v>200.1</v>
      </c>
      <c r="E17" s="2"/>
      <c r="F17" s="22"/>
      <c r="G17" s="2"/>
      <c r="H17" s="2"/>
      <c r="I17" s="2"/>
      <c r="J17" s="22"/>
      <c r="K17" s="2"/>
      <c r="L17" s="2">
        <f t="shared" si="0"/>
        <v>200.1</v>
      </c>
      <c r="M17" s="2"/>
      <c r="N17" s="22">
        <f t="shared" si="1"/>
        <v>0</v>
      </c>
      <c r="O17" s="11"/>
      <c r="P17" s="2">
        <f>--2659.66</f>
        <v>2659.66</v>
      </c>
      <c r="Q17" s="2"/>
      <c r="R17" s="22"/>
      <c r="S17" s="2"/>
      <c r="T17" s="2"/>
      <c r="U17" s="2"/>
      <c r="V17" s="22"/>
      <c r="W17" s="2"/>
      <c r="X17" s="2">
        <f t="shared" si="2"/>
        <v>2659.66</v>
      </c>
      <c r="Y17" s="2"/>
      <c r="Z17" s="22">
        <f t="shared" si="3"/>
        <v>0</v>
      </c>
    </row>
    <row r="18" spans="1:26" s="24" customFormat="1" hidden="1" outlineLevel="1" x14ac:dyDescent="0.3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--346.55</f>
        <v>346.55</v>
      </c>
      <c r="E18" s="2"/>
      <c r="F18" s="22"/>
      <c r="G18" s="2"/>
      <c r="H18" s="2"/>
      <c r="I18" s="2"/>
      <c r="J18" s="22"/>
      <c r="K18" s="2"/>
      <c r="L18" s="2">
        <f t="shared" si="0"/>
        <v>346.55</v>
      </c>
      <c r="M18" s="2"/>
      <c r="N18" s="22">
        <f t="shared" si="1"/>
        <v>0</v>
      </c>
      <c r="O18" s="11"/>
      <c r="P18" s="2">
        <f>--930.52</f>
        <v>930.52</v>
      </c>
      <c r="Q18" s="2"/>
      <c r="R18" s="22"/>
      <c r="S18" s="2"/>
      <c r="T18" s="2"/>
      <c r="U18" s="2"/>
      <c r="V18" s="22"/>
      <c r="W18" s="2"/>
      <c r="X18" s="2">
        <f t="shared" si="2"/>
        <v>930.52</v>
      </c>
      <c r="Y18" s="2"/>
      <c r="Z18" s="22">
        <f t="shared" si="3"/>
        <v>0</v>
      </c>
    </row>
    <row r="19" spans="1:26" s="24" customFormat="1" hidden="1" outlineLevel="1" x14ac:dyDescent="0.3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--3.98</f>
        <v>3.98</v>
      </c>
      <c r="E19" s="2"/>
      <c r="F19" s="22"/>
      <c r="G19" s="2"/>
      <c r="H19" s="2"/>
      <c r="I19" s="2"/>
      <c r="J19" s="22"/>
      <c r="K19" s="2"/>
      <c r="L19" s="2">
        <f t="shared" si="0"/>
        <v>3.98</v>
      </c>
      <c r="M19" s="2"/>
      <c r="N19" s="22">
        <f t="shared" si="1"/>
        <v>0</v>
      </c>
      <c r="O19" s="11"/>
      <c r="P19" s="2">
        <f>--380.04</f>
        <v>380.04</v>
      </c>
      <c r="Q19" s="2"/>
      <c r="R19" s="22"/>
      <c r="S19" s="2"/>
      <c r="T19" s="2"/>
      <c r="U19" s="2"/>
      <c r="V19" s="22"/>
      <c r="W19" s="2"/>
      <c r="X19" s="2">
        <f t="shared" si="2"/>
        <v>380.04</v>
      </c>
      <c r="Y19" s="2"/>
      <c r="Z19" s="22">
        <f t="shared" si="3"/>
        <v>0</v>
      </c>
    </row>
    <row r="20" spans="1:26" s="24" customFormat="1" hidden="1" outlineLevel="1" x14ac:dyDescent="0.3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--100.3</f>
        <v>100.3</v>
      </c>
      <c r="E20" s="2"/>
      <c r="F20" s="22"/>
      <c r="G20" s="2"/>
      <c r="H20" s="2"/>
      <c r="I20" s="2"/>
      <c r="J20" s="22"/>
      <c r="K20" s="2"/>
      <c r="L20" s="2">
        <f t="shared" si="0"/>
        <v>100.3</v>
      </c>
      <c r="M20" s="2"/>
      <c r="N20" s="22">
        <f t="shared" si="1"/>
        <v>0</v>
      </c>
      <c r="O20" s="11"/>
      <c r="P20" s="2">
        <f>--291.14</f>
        <v>291.14</v>
      </c>
      <c r="Q20" s="2"/>
      <c r="R20" s="22"/>
      <c r="S20" s="2"/>
      <c r="T20" s="2"/>
      <c r="U20" s="2"/>
      <c r="V20" s="22"/>
      <c r="W20" s="2"/>
      <c r="X20" s="2">
        <f t="shared" si="2"/>
        <v>291.14</v>
      </c>
      <c r="Y20" s="2"/>
      <c r="Z20" s="22">
        <f t="shared" si="3"/>
        <v>0</v>
      </c>
    </row>
    <row r="21" spans="1:26" s="24" customFormat="1" hidden="1" outlineLevel="1" x14ac:dyDescent="0.3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--34.62</f>
        <v>34.619999999999997</v>
      </c>
      <c r="E21" s="2"/>
      <c r="F21" s="22"/>
      <c r="G21" s="2"/>
      <c r="H21" s="2"/>
      <c r="I21" s="2"/>
      <c r="J21" s="22"/>
      <c r="K21" s="2"/>
      <c r="L21" s="2">
        <f t="shared" si="0"/>
        <v>34.619999999999997</v>
      </c>
      <c r="M21" s="2"/>
      <c r="N21" s="22">
        <f t="shared" si="1"/>
        <v>0</v>
      </c>
      <c r="O21" s="11"/>
      <c r="P21" s="2">
        <f>--407</f>
        <v>407</v>
      </c>
      <c r="Q21" s="2"/>
      <c r="R21" s="22"/>
      <c r="S21" s="2"/>
      <c r="T21" s="2"/>
      <c r="U21" s="2"/>
      <c r="V21" s="22"/>
      <c r="W21" s="2"/>
      <c r="X21" s="2">
        <f t="shared" si="2"/>
        <v>407</v>
      </c>
      <c r="Y21" s="2"/>
      <c r="Z21" s="22">
        <f t="shared" si="3"/>
        <v>0</v>
      </c>
    </row>
    <row r="22" spans="1:26" s="24" customFormat="1" hidden="1" outlineLevel="1" x14ac:dyDescent="0.3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--8701.79</f>
        <v>8701.7900000000009</v>
      </c>
      <c r="E22" s="2"/>
      <c r="F22" s="22"/>
      <c r="G22" s="2"/>
      <c r="H22" s="2"/>
      <c r="I22" s="2"/>
      <c r="J22" s="22"/>
      <c r="K22" s="2"/>
      <c r="L22" s="2">
        <f t="shared" si="0"/>
        <v>8701.7900000000009</v>
      </c>
      <c r="M22" s="2"/>
      <c r="N22" s="22">
        <f t="shared" si="1"/>
        <v>0</v>
      </c>
      <c r="O22" s="11"/>
      <c r="P22" s="2">
        <f>--48676.22</f>
        <v>48676.22</v>
      </c>
      <c r="Q22" s="2"/>
      <c r="R22" s="22"/>
      <c r="S22" s="2"/>
      <c r="T22" s="2"/>
      <c r="U22" s="2"/>
      <c r="V22" s="22"/>
      <c r="W22" s="2"/>
      <c r="X22" s="2">
        <f t="shared" si="2"/>
        <v>48676.22</v>
      </c>
      <c r="Y22" s="2"/>
      <c r="Z22" s="22">
        <f t="shared" si="3"/>
        <v>0</v>
      </c>
    </row>
    <row r="23" spans="1:26" s="24" customFormat="1" hidden="1" outlineLevel="1" x14ac:dyDescent="0.3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--21773.01</f>
        <v>21773.01</v>
      </c>
      <c r="E23" s="2"/>
      <c r="F23" s="22"/>
      <c r="G23" s="2"/>
      <c r="H23" s="2"/>
      <c r="I23" s="2"/>
      <c r="J23" s="22"/>
      <c r="K23" s="2"/>
      <c r="L23" s="2">
        <f t="shared" si="0"/>
        <v>21773.01</v>
      </c>
      <c r="M23" s="2"/>
      <c r="N23" s="22">
        <f t="shared" si="1"/>
        <v>0</v>
      </c>
      <c r="O23" s="11"/>
      <c r="P23" s="2">
        <f>--38951.82</f>
        <v>38951.82</v>
      </c>
      <c r="Q23" s="2"/>
      <c r="R23" s="22"/>
      <c r="S23" s="2"/>
      <c r="T23" s="2"/>
      <c r="U23" s="2"/>
      <c r="V23" s="22"/>
      <c r="W23" s="2"/>
      <c r="X23" s="2">
        <f t="shared" si="2"/>
        <v>38951.82</v>
      </c>
      <c r="Y23" s="2"/>
      <c r="Z23" s="22">
        <f t="shared" si="3"/>
        <v>0</v>
      </c>
    </row>
    <row r="24" spans="1:26" s="24" customFormat="1" hidden="1" outlineLevel="1" x14ac:dyDescent="0.3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--477.59</f>
        <v>477.59</v>
      </c>
      <c r="E24" s="2"/>
      <c r="F24" s="22"/>
      <c r="G24" s="2"/>
      <c r="H24" s="2"/>
      <c r="I24" s="2"/>
      <c r="J24" s="22"/>
      <c r="K24" s="2"/>
      <c r="L24" s="2">
        <f t="shared" si="0"/>
        <v>477.59</v>
      </c>
      <c r="M24" s="2"/>
      <c r="N24" s="22">
        <f t="shared" si="1"/>
        <v>0</v>
      </c>
      <c r="O24" s="11"/>
      <c r="P24" s="2">
        <f>--2587.24</f>
        <v>2587.2399999999998</v>
      </c>
      <c r="Q24" s="2"/>
      <c r="R24" s="22"/>
      <c r="S24" s="2"/>
      <c r="T24" s="2"/>
      <c r="U24" s="2"/>
      <c r="V24" s="22"/>
      <c r="W24" s="2"/>
      <c r="X24" s="2">
        <f t="shared" si="2"/>
        <v>2587.2399999999998</v>
      </c>
      <c r="Y24" s="2"/>
      <c r="Z24" s="22">
        <f t="shared" si="3"/>
        <v>0</v>
      </c>
    </row>
    <row r="25" spans="1:26" s="24" customFormat="1" hidden="1" outlineLevel="1" x14ac:dyDescent="0.35">
      <c r="A25" s="51"/>
      <c r="B25" s="11" t="str">
        <f>CONCATENATE("          ", "4034", " - ", "TAXABLE SALES-SODA")</f>
        <v xml:space="preserve">          4034 - TAXABLE SALES-SODA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--6.78</f>
        <v>6.78</v>
      </c>
      <c r="Q25" s="2"/>
      <c r="R25" s="22"/>
      <c r="S25" s="2"/>
      <c r="T25" s="2"/>
      <c r="U25" s="2"/>
      <c r="V25" s="22"/>
      <c r="W25" s="2"/>
      <c r="X25" s="2">
        <f t="shared" si="2"/>
        <v>6.78</v>
      </c>
      <c r="Y25" s="2"/>
      <c r="Z25" s="22">
        <f t="shared" si="3"/>
        <v>0</v>
      </c>
    </row>
    <row r="26" spans="1:26" s="24" customFormat="1" hidden="1" outlineLevel="1" x14ac:dyDescent="0.35">
      <c r="A26" s="51"/>
      <c r="B26" s="11" t="str">
        <f>CONCATENATE("          ", "4040", " - ", "TAXABLE SALES-LOGO CLOTHING")</f>
        <v xml:space="preserve">          4040 - TAXABLE SALES-LOGO CLOTHING</v>
      </c>
      <c r="C26" s="11"/>
      <c r="D26" s="2">
        <f>--89991.91</f>
        <v>89991.91</v>
      </c>
      <c r="E26" s="2"/>
      <c r="F26" s="22"/>
      <c r="G26" s="2"/>
      <c r="H26" s="2"/>
      <c r="I26" s="2"/>
      <c r="J26" s="22"/>
      <c r="K26" s="2"/>
      <c r="L26" s="2">
        <f t="shared" si="0"/>
        <v>89991.91</v>
      </c>
      <c r="M26" s="2"/>
      <c r="N26" s="22">
        <f t="shared" si="1"/>
        <v>0</v>
      </c>
      <c r="O26" s="11"/>
      <c r="P26" s="2">
        <f>--598102.9</f>
        <v>598102.9</v>
      </c>
      <c r="Q26" s="2"/>
      <c r="R26" s="22"/>
      <c r="S26" s="2"/>
      <c r="T26" s="2"/>
      <c r="U26" s="2"/>
      <c r="V26" s="22"/>
      <c r="W26" s="2"/>
      <c r="X26" s="2">
        <f t="shared" si="2"/>
        <v>598102.9</v>
      </c>
      <c r="Y26" s="2"/>
      <c r="Z26" s="22">
        <f t="shared" si="3"/>
        <v>0</v>
      </c>
    </row>
    <row r="27" spans="1:26" s="24" customFormat="1" hidden="1" outlineLevel="1" x14ac:dyDescent="0.35">
      <c r="A27" s="51"/>
      <c r="B27" s="11" t="str">
        <f>CONCATENATE("          ", "4041", " - ", "TAXABLE SALES-LOGO GIFTS")</f>
        <v xml:space="preserve">          4041 - TAXABLE SALES-LOGO GIFTS</v>
      </c>
      <c r="C27" s="11"/>
      <c r="D27" s="2">
        <f>--51480.95</f>
        <v>51480.95</v>
      </c>
      <c r="E27" s="2"/>
      <c r="F27" s="22"/>
      <c r="G27" s="2"/>
      <c r="H27" s="2"/>
      <c r="I27" s="2"/>
      <c r="J27" s="22"/>
      <c r="K27" s="2"/>
      <c r="L27" s="2">
        <f t="shared" si="0"/>
        <v>51480.95</v>
      </c>
      <c r="M27" s="2"/>
      <c r="N27" s="22">
        <f t="shared" si="1"/>
        <v>0</v>
      </c>
      <c r="O27" s="11"/>
      <c r="P27" s="2">
        <f>--249099.27</f>
        <v>249099.27</v>
      </c>
      <c r="Q27" s="2"/>
      <c r="R27" s="22"/>
      <c r="S27" s="2"/>
      <c r="T27" s="2"/>
      <c r="U27" s="2"/>
      <c r="V27" s="22"/>
      <c r="W27" s="2"/>
      <c r="X27" s="2">
        <f t="shared" si="2"/>
        <v>249099.27</v>
      </c>
      <c r="Y27" s="2"/>
      <c r="Z27" s="22">
        <f t="shared" si="3"/>
        <v>0</v>
      </c>
    </row>
    <row r="28" spans="1:26" s="24" customFormat="1" hidden="1" outlineLevel="1" x14ac:dyDescent="0.35">
      <c r="A28" s="51"/>
      <c r="B28" s="11" t="str">
        <f>CONCATENATE("          ", "4042", " - ", "TAXABLE SALES-EVERYDAY GIFTS")</f>
        <v xml:space="preserve">          4042 - TAXABLE SALES-EVERYDAY GIFTS</v>
      </c>
      <c r="C28" s="11"/>
      <c r="D28" s="2">
        <f>--9303.18</f>
        <v>9303.18</v>
      </c>
      <c r="E28" s="2"/>
      <c r="F28" s="22"/>
      <c r="G28" s="2"/>
      <c r="H28" s="2"/>
      <c r="I28" s="2"/>
      <c r="J28" s="22"/>
      <c r="K28" s="2"/>
      <c r="L28" s="2">
        <f t="shared" si="0"/>
        <v>9303.18</v>
      </c>
      <c r="M28" s="2"/>
      <c r="N28" s="22">
        <f t="shared" si="1"/>
        <v>0</v>
      </c>
      <c r="O28" s="11"/>
      <c r="P28" s="2">
        <f>--74200.88</f>
        <v>74200.88</v>
      </c>
      <c r="Q28" s="2"/>
      <c r="R28" s="22"/>
      <c r="S28" s="2"/>
      <c r="T28" s="2"/>
      <c r="U28" s="2"/>
      <c r="V28" s="22"/>
      <c r="W28" s="2"/>
      <c r="X28" s="2">
        <f t="shared" si="2"/>
        <v>74200.88</v>
      </c>
      <c r="Y28" s="2"/>
      <c r="Z28" s="22">
        <f t="shared" si="3"/>
        <v>0</v>
      </c>
    </row>
    <row r="29" spans="1:26" s="24" customFormat="1" hidden="1" outlineLevel="1" x14ac:dyDescent="0.35">
      <c r="A29" s="51"/>
      <c r="B29" s="11" t="str">
        <f>CONCATENATE("          ", "4043", " - ", "TAXABLE SALES-CARDS")</f>
        <v xml:space="preserve">          4043 - TAXABLE SALES-CARDS</v>
      </c>
      <c r="C29" s="11"/>
      <c r="D29" s="2">
        <f>--24845.66</f>
        <v>24845.66</v>
      </c>
      <c r="E29" s="2"/>
      <c r="F29" s="22"/>
      <c r="G29" s="2"/>
      <c r="H29" s="2"/>
      <c r="I29" s="2"/>
      <c r="J29" s="22"/>
      <c r="K29" s="2"/>
      <c r="L29" s="2">
        <f t="shared" si="0"/>
        <v>24845.66</v>
      </c>
      <c r="M29" s="2"/>
      <c r="N29" s="22">
        <f t="shared" si="1"/>
        <v>0</v>
      </c>
      <c r="O29" s="11"/>
      <c r="P29" s="2">
        <f>--117954.81</f>
        <v>117954.81</v>
      </c>
      <c r="Q29" s="2"/>
      <c r="R29" s="22"/>
      <c r="S29" s="2"/>
      <c r="T29" s="2"/>
      <c r="U29" s="2"/>
      <c r="V29" s="22"/>
      <c r="W29" s="2"/>
      <c r="X29" s="2">
        <f t="shared" si="2"/>
        <v>117954.81</v>
      </c>
      <c r="Y29" s="2"/>
      <c r="Z29" s="22">
        <f t="shared" si="3"/>
        <v>0</v>
      </c>
    </row>
    <row r="30" spans="1:26" s="24" customFormat="1" hidden="1" outlineLevel="1" x14ac:dyDescent="0.35">
      <c r="A30" s="51"/>
      <c r="B30" s="11" t="str">
        <f>CONCATENATE("          ", "4044", " - ", "TAXABLE SALES-ACCESSORIES")</f>
        <v xml:space="preserve">          4044 - TAXABLE SALES-ACCESSORIES</v>
      </c>
      <c r="C30" s="11"/>
      <c r="D30" s="2">
        <f>--1261.95</f>
        <v>1261.95</v>
      </c>
      <c r="E30" s="2"/>
      <c r="F30" s="22"/>
      <c r="G30" s="2"/>
      <c r="H30" s="2"/>
      <c r="I30" s="2"/>
      <c r="J30" s="22"/>
      <c r="K30" s="2"/>
      <c r="L30" s="2">
        <f t="shared" si="0"/>
        <v>1261.95</v>
      </c>
      <c r="M30" s="2"/>
      <c r="N30" s="22">
        <f t="shared" si="1"/>
        <v>0</v>
      </c>
      <c r="O30" s="11"/>
      <c r="P30" s="2">
        <f>--27535.62</f>
        <v>27535.62</v>
      </c>
      <c r="Q30" s="2"/>
      <c r="R30" s="22"/>
      <c r="S30" s="2"/>
      <c r="T30" s="2"/>
      <c r="U30" s="2"/>
      <c r="V30" s="22"/>
      <c r="W30" s="2"/>
      <c r="X30" s="2">
        <f t="shared" si="2"/>
        <v>27535.62</v>
      </c>
      <c r="Y30" s="2"/>
      <c r="Z30" s="22">
        <f t="shared" si="3"/>
        <v>0</v>
      </c>
    </row>
    <row r="31" spans="1:26" s="24" customFormat="1" hidden="1" outlineLevel="1" x14ac:dyDescent="0.35">
      <c r="A31" s="51"/>
      <c r="B31" s="11" t="str">
        <f>CONCATENATE("          ", "4045", " - ", "TAXABLE SALES-SPECIAL ORDERS")</f>
        <v xml:space="preserve">          4045 - TAXABLE SALES-SPECIAL ORDERS</v>
      </c>
      <c r="C31" s="11"/>
      <c r="D31" s="2">
        <f>--3388.52</f>
        <v>3388.52</v>
      </c>
      <c r="E31" s="2"/>
      <c r="F31" s="22"/>
      <c r="G31" s="2"/>
      <c r="H31" s="2"/>
      <c r="I31" s="2"/>
      <c r="J31" s="22"/>
      <c r="K31" s="2"/>
      <c r="L31" s="2">
        <f t="shared" si="0"/>
        <v>3388.52</v>
      </c>
      <c r="M31" s="2"/>
      <c r="N31" s="22">
        <f t="shared" si="1"/>
        <v>0</v>
      </c>
      <c r="O31" s="11"/>
      <c r="P31" s="2">
        <f>--125449.67</f>
        <v>125449.67</v>
      </c>
      <c r="Q31" s="2"/>
      <c r="R31" s="22"/>
      <c r="S31" s="2"/>
      <c r="T31" s="2"/>
      <c r="U31" s="2"/>
      <c r="V31" s="22"/>
      <c r="W31" s="2"/>
      <c r="X31" s="2">
        <f t="shared" si="2"/>
        <v>125449.67</v>
      </c>
      <c r="Y31" s="2"/>
      <c r="Z31" s="22">
        <f t="shared" si="3"/>
        <v>0</v>
      </c>
    </row>
    <row r="32" spans="1:26" s="24" customFormat="1" hidden="1" outlineLevel="1" x14ac:dyDescent="0.35">
      <c r="A32" s="51"/>
      <c r="B32" s="11" t="str">
        <f>CONCATENATE("          ", "4081", " - ", "TAXABLE SALES-ELECTRONICS")</f>
        <v xml:space="preserve">          4081 - TAXABLE SALES-ELECTRONICS</v>
      </c>
      <c r="C32" s="11"/>
      <c r="D32" s="2">
        <f>--2318.54</f>
        <v>2318.54</v>
      </c>
      <c r="E32" s="2"/>
      <c r="F32" s="22"/>
      <c r="G32" s="2"/>
      <c r="H32" s="2"/>
      <c r="I32" s="2"/>
      <c r="J32" s="22"/>
      <c r="K32" s="2"/>
      <c r="L32" s="2">
        <f t="shared" si="0"/>
        <v>2318.54</v>
      </c>
      <c r="M32" s="2"/>
      <c r="N32" s="22">
        <f t="shared" si="1"/>
        <v>0</v>
      </c>
      <c r="O32" s="11"/>
      <c r="P32" s="2">
        <f>--59270.01</f>
        <v>59270.01</v>
      </c>
      <c r="Q32" s="2"/>
      <c r="R32" s="22"/>
      <c r="S32" s="2"/>
      <c r="T32" s="2"/>
      <c r="U32" s="2"/>
      <c r="V32" s="22"/>
      <c r="W32" s="2"/>
      <c r="X32" s="2">
        <f t="shared" si="2"/>
        <v>59270.01</v>
      </c>
      <c r="Y32" s="2"/>
      <c r="Z32" s="22">
        <f t="shared" si="3"/>
        <v>0</v>
      </c>
    </row>
    <row r="33" spans="1:26" s="24" customFormat="1" hidden="1" outlineLevel="1" x14ac:dyDescent="0.35">
      <c r="A33" s="51"/>
      <c r="B33" s="11" t="str">
        <f>CONCATENATE("          ", "4082", " - ", "TAXABLE SALES-COMPUTER HARDWAR")</f>
        <v xml:space="preserve">          4082 - TAXABLE SALES-COMPUTER HARDWAR</v>
      </c>
      <c r="C33" s="11"/>
      <c r="D33" s="2">
        <f>--91766.28</f>
        <v>91766.28</v>
      </c>
      <c r="E33" s="2"/>
      <c r="F33" s="22"/>
      <c r="G33" s="2"/>
      <c r="H33" s="2"/>
      <c r="I33" s="2"/>
      <c r="J33" s="22"/>
      <c r="K33" s="2"/>
      <c r="L33" s="2">
        <f t="shared" si="0"/>
        <v>91766.28</v>
      </c>
      <c r="M33" s="2"/>
      <c r="N33" s="22">
        <f t="shared" si="1"/>
        <v>0</v>
      </c>
      <c r="O33" s="11"/>
      <c r="P33" s="2">
        <f>--1085023.17</f>
        <v>1085023.17</v>
      </c>
      <c r="Q33" s="2"/>
      <c r="R33" s="22"/>
      <c r="S33" s="2"/>
      <c r="T33" s="2"/>
      <c r="U33" s="2"/>
      <c r="V33" s="22"/>
      <c r="W33" s="2"/>
      <c r="X33" s="2">
        <f t="shared" si="2"/>
        <v>1085023.17</v>
      </c>
      <c r="Y33" s="2"/>
      <c r="Z33" s="22">
        <f t="shared" si="3"/>
        <v>0</v>
      </c>
    </row>
    <row r="34" spans="1:26" s="24" customFormat="1" hidden="1" outlineLevel="1" x14ac:dyDescent="0.35">
      <c r="A34" s="51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>--8639.61</f>
        <v>8639.61</v>
      </c>
      <c r="E34" s="2"/>
      <c r="F34" s="22"/>
      <c r="G34" s="2"/>
      <c r="H34" s="2"/>
      <c r="I34" s="2"/>
      <c r="J34" s="22"/>
      <c r="K34" s="2"/>
      <c r="L34" s="2">
        <f t="shared" si="0"/>
        <v>8639.61</v>
      </c>
      <c r="M34" s="2"/>
      <c r="N34" s="22">
        <f t="shared" si="1"/>
        <v>0</v>
      </c>
      <c r="O34" s="11"/>
      <c r="P34" s="2">
        <f>--93287.58</f>
        <v>93287.58</v>
      </c>
      <c r="Q34" s="2"/>
      <c r="R34" s="22"/>
      <c r="S34" s="2"/>
      <c r="T34" s="2"/>
      <c r="U34" s="2"/>
      <c r="V34" s="22"/>
      <c r="W34" s="2"/>
      <c r="X34" s="2">
        <f t="shared" si="2"/>
        <v>93287.58</v>
      </c>
      <c r="Y34" s="2"/>
      <c r="Z34" s="22">
        <f t="shared" si="3"/>
        <v>0</v>
      </c>
    </row>
    <row r="35" spans="1:26" s="24" customFormat="1" hidden="1" outlineLevel="1" x14ac:dyDescent="0.35">
      <c r="A35" s="51"/>
      <c r="B35" s="11" t="str">
        <f>CONCATENATE("          ", "4085", " - ", "TAXABLE SALES-SOFTWARE")</f>
        <v xml:space="preserve">          4085 - TAXABLE SALES-SOFTWARE</v>
      </c>
      <c r="C35" s="11"/>
      <c r="D35" s="2">
        <f>--149.99</f>
        <v>149.99</v>
      </c>
      <c r="E35" s="2"/>
      <c r="F35" s="22"/>
      <c r="G35" s="2"/>
      <c r="H35" s="2"/>
      <c r="I35" s="2"/>
      <c r="J35" s="22"/>
      <c r="K35" s="2"/>
      <c r="L35" s="2">
        <f t="shared" si="0"/>
        <v>149.99</v>
      </c>
      <c r="M35" s="2"/>
      <c r="N35" s="22">
        <f t="shared" si="1"/>
        <v>0</v>
      </c>
      <c r="O35" s="11"/>
      <c r="P35" s="2">
        <f>--2878.93</f>
        <v>2878.93</v>
      </c>
      <c r="Q35" s="2"/>
      <c r="R35" s="22"/>
      <c r="S35" s="2"/>
      <c r="T35" s="2"/>
      <c r="U35" s="2"/>
      <c r="V35" s="22"/>
      <c r="W35" s="2"/>
      <c r="X35" s="2">
        <f t="shared" si="2"/>
        <v>2878.93</v>
      </c>
      <c r="Y35" s="2"/>
      <c r="Z35" s="22">
        <f t="shared" si="3"/>
        <v>0</v>
      </c>
    </row>
    <row r="36" spans="1:26" s="24" customFormat="1" hidden="1" outlineLevel="1" x14ac:dyDescent="0.35">
      <c r="A36" s="51"/>
      <c r="B36" s="11" t="str">
        <f>CONCATENATE("          ", "4086", " - ", "TAXABLE SALES-COMPUTER SUPPLIE")</f>
        <v xml:space="preserve">          4086 - TAXABLE SALES-COMPUTER SUPPLIE</v>
      </c>
      <c r="C36" s="11"/>
      <c r="D36" s="2">
        <f>--734.26</f>
        <v>734.26</v>
      </c>
      <c r="E36" s="2"/>
      <c r="F36" s="22"/>
      <c r="G36" s="2"/>
      <c r="H36" s="2"/>
      <c r="I36" s="2"/>
      <c r="J36" s="22"/>
      <c r="K36" s="2"/>
      <c r="L36" s="2">
        <f t="shared" si="0"/>
        <v>734.26</v>
      </c>
      <c r="M36" s="2"/>
      <c r="N36" s="22">
        <f t="shared" si="1"/>
        <v>0</v>
      </c>
      <c r="O36" s="11"/>
      <c r="P36" s="2">
        <f>--57869.84</f>
        <v>57869.84</v>
      </c>
      <c r="Q36" s="2"/>
      <c r="R36" s="22"/>
      <c r="S36" s="2"/>
      <c r="T36" s="2"/>
      <c r="U36" s="2"/>
      <c r="V36" s="22"/>
      <c r="W36" s="2"/>
      <c r="X36" s="2">
        <f t="shared" si="2"/>
        <v>57869.84</v>
      </c>
      <c r="Y36" s="2"/>
      <c r="Z36" s="22">
        <f t="shared" si="3"/>
        <v>0</v>
      </c>
    </row>
    <row r="37" spans="1:26" s="24" customFormat="1" hidden="1" outlineLevel="1" x14ac:dyDescent="0.35">
      <c r="A37" s="51"/>
      <c r="B37" s="11" t="str">
        <f>CONCATENATE("          ", "4100", " - ", "NON-TAXABLE SALES")</f>
        <v xml:space="preserve">          4100 - NON-TAXABLE SALES</v>
      </c>
      <c r="C37" s="11"/>
      <c r="D37" s="2">
        <f>--112968.19</f>
        <v>112968.19</v>
      </c>
      <c r="E37" s="2"/>
      <c r="F37" s="22"/>
      <c r="G37" s="2"/>
      <c r="H37" s="2">
        <v>62627.000000000007</v>
      </c>
      <c r="I37" s="2"/>
      <c r="J37" s="22"/>
      <c r="K37" s="2"/>
      <c r="L37" s="2">
        <f t="shared" si="0"/>
        <v>50341.189999999995</v>
      </c>
      <c r="M37" s="2"/>
      <c r="N37" s="22">
        <f t="shared" si="1"/>
        <v>0.80382566624618756</v>
      </c>
      <c r="O37" s="11"/>
      <c r="P37" s="2">
        <f>--278555.86</f>
        <v>278555.86</v>
      </c>
      <c r="Q37" s="2"/>
      <c r="R37" s="22"/>
      <c r="S37" s="2"/>
      <c r="T37" s="2">
        <v>204689</v>
      </c>
      <c r="U37" s="2"/>
      <c r="V37" s="22"/>
      <c r="W37" s="2"/>
      <c r="X37" s="2">
        <f t="shared" si="2"/>
        <v>73866.859999999986</v>
      </c>
      <c r="Y37" s="2"/>
      <c r="Z37" s="22">
        <f t="shared" si="3"/>
        <v>0.36087361802539458</v>
      </c>
    </row>
    <row r="38" spans="1:26" s="24" customFormat="1" hidden="1" outlineLevel="1" x14ac:dyDescent="0.35">
      <c r="A38" s="51"/>
      <c r="B38" s="11" t="str">
        <f>CONCATENATE("          ", "4101", " - ", "NON-TAXABLE SALES-NEW TEXT")</f>
        <v xml:space="preserve">          4101 - NON-TAXABLE SALES-NEW TEXT</v>
      </c>
      <c r="C38" s="11"/>
      <c r="D38" s="2">
        <f>--22084.7</f>
        <v>22084.7</v>
      </c>
      <c r="E38" s="2"/>
      <c r="F38" s="22"/>
      <c r="G38" s="2"/>
      <c r="H38" s="2"/>
      <c r="I38" s="2"/>
      <c r="J38" s="22"/>
      <c r="K38" s="2"/>
      <c r="L38" s="2">
        <f t="shared" si="0"/>
        <v>22084.7</v>
      </c>
      <c r="M38" s="2"/>
      <c r="N38" s="22">
        <f t="shared" si="1"/>
        <v>0</v>
      </c>
      <c r="O38" s="11"/>
      <c r="P38" s="2">
        <f>--104225.63</f>
        <v>104225.63</v>
      </c>
      <c r="Q38" s="2"/>
      <c r="R38" s="22"/>
      <c r="S38" s="2"/>
      <c r="T38" s="2"/>
      <c r="U38" s="2"/>
      <c r="V38" s="22"/>
      <c r="W38" s="2"/>
      <c r="X38" s="2">
        <f t="shared" si="2"/>
        <v>104225.63</v>
      </c>
      <c r="Y38" s="2"/>
      <c r="Z38" s="22">
        <f t="shared" si="3"/>
        <v>0</v>
      </c>
    </row>
    <row r="39" spans="1:26" s="24" customFormat="1" hidden="1" outlineLevel="1" x14ac:dyDescent="0.35">
      <c r="A39" s="51"/>
      <c r="B39" s="11" t="str">
        <f>CONCATENATE("          ", "4102", " - ", "NON-TAXABLE SALES-USED TEXT")</f>
        <v xml:space="preserve">          4102 - NON-TAXABLE SALES-USED TEXT</v>
      </c>
      <c r="C39" s="11"/>
      <c r="D39" s="2">
        <f>--9330.01</f>
        <v>9330.01</v>
      </c>
      <c r="E39" s="2"/>
      <c r="F39" s="22"/>
      <c r="G39" s="2"/>
      <c r="H39" s="2"/>
      <c r="I39" s="2"/>
      <c r="J39" s="22"/>
      <c r="K39" s="2"/>
      <c r="L39" s="2">
        <f t="shared" si="0"/>
        <v>9330.01</v>
      </c>
      <c r="M39" s="2"/>
      <c r="N39" s="22">
        <f t="shared" si="1"/>
        <v>0</v>
      </c>
      <c r="O39" s="11"/>
      <c r="P39" s="2">
        <f>--42961.32</f>
        <v>42961.32</v>
      </c>
      <c r="Q39" s="2"/>
      <c r="R39" s="22"/>
      <c r="S39" s="2"/>
      <c r="T39" s="2"/>
      <c r="U39" s="2"/>
      <c r="V39" s="22"/>
      <c r="W39" s="2"/>
      <c r="X39" s="2">
        <f t="shared" si="2"/>
        <v>42961.32</v>
      </c>
      <c r="Y39" s="2"/>
      <c r="Z39" s="22">
        <f t="shared" si="3"/>
        <v>0</v>
      </c>
    </row>
    <row r="40" spans="1:26" s="24" customFormat="1" hidden="1" outlineLevel="1" x14ac:dyDescent="0.35">
      <c r="A40" s="51"/>
      <c r="B40" s="11" t="str">
        <f>CONCATENATE("          ", "4103", " - ", "NON-TAXABLE SALES-RENTAL TEXT")</f>
        <v xml:space="preserve">          4103 - NON-TAXABLE SALES-RENTAL TEXT</v>
      </c>
      <c r="C40" s="11"/>
      <c r="D40" s="2">
        <f>--853.98</f>
        <v>853.98</v>
      </c>
      <c r="E40" s="2"/>
      <c r="F40" s="22"/>
      <c r="G40" s="2"/>
      <c r="H40" s="2"/>
      <c r="I40" s="2"/>
      <c r="J40" s="22"/>
      <c r="K40" s="2"/>
      <c r="L40" s="2">
        <f t="shared" si="0"/>
        <v>853.98</v>
      </c>
      <c r="M40" s="2"/>
      <c r="N40" s="22">
        <f t="shared" si="1"/>
        <v>0</v>
      </c>
      <c r="O40" s="11"/>
      <c r="P40" s="2">
        <f>--1138.95</f>
        <v>1138.95</v>
      </c>
      <c r="Q40" s="2"/>
      <c r="R40" s="22"/>
      <c r="S40" s="2"/>
      <c r="T40" s="2"/>
      <c r="U40" s="2"/>
      <c r="V40" s="22"/>
      <c r="W40" s="2"/>
      <c r="X40" s="2">
        <f t="shared" si="2"/>
        <v>1138.95</v>
      </c>
      <c r="Y40" s="2"/>
      <c r="Z40" s="22">
        <f t="shared" si="3"/>
        <v>0</v>
      </c>
    </row>
    <row r="41" spans="1:26" s="24" customFormat="1" hidden="1" outlineLevel="1" x14ac:dyDescent="0.35">
      <c r="A41" s="51"/>
      <c r="B41" s="11" t="str">
        <f>CONCATENATE("          ", "4104", " - ", "NON-TAXABLE SALES-DIGITAL TEXT")</f>
        <v xml:space="preserve">          4104 - NON-TAXABLE SALES-DIGITAL TEXT</v>
      </c>
      <c r="C41" s="11"/>
      <c r="D41" s="2">
        <f>--161977.12</f>
        <v>161977.12</v>
      </c>
      <c r="E41" s="2"/>
      <c r="F41" s="22"/>
      <c r="G41" s="2"/>
      <c r="H41" s="2"/>
      <c r="I41" s="2"/>
      <c r="J41" s="22"/>
      <c r="K41" s="2"/>
      <c r="L41" s="2">
        <f t="shared" si="0"/>
        <v>161977.12</v>
      </c>
      <c r="M41" s="2"/>
      <c r="N41" s="22">
        <f t="shared" si="1"/>
        <v>0</v>
      </c>
      <c r="O41" s="11"/>
      <c r="P41" s="2">
        <f>--458168.13</f>
        <v>458168.13</v>
      </c>
      <c r="Q41" s="2"/>
      <c r="R41" s="22"/>
      <c r="S41" s="2"/>
      <c r="T41" s="2"/>
      <c r="U41" s="2"/>
      <c r="V41" s="22"/>
      <c r="W41" s="2"/>
      <c r="X41" s="2">
        <f t="shared" si="2"/>
        <v>458168.13</v>
      </c>
      <c r="Y41" s="2"/>
      <c r="Z41" s="22">
        <f t="shared" si="3"/>
        <v>0</v>
      </c>
    </row>
    <row r="42" spans="1:26" s="24" customFormat="1" hidden="1" outlineLevel="1" x14ac:dyDescent="0.35">
      <c r="A42" s="51"/>
      <c r="B42" s="11" t="str">
        <f>CONCATENATE("          ", "4113", " - ", "NON-TAXABLE SALES-TRADE BOOKS")</f>
        <v xml:space="preserve">          4113 - NON-TAXABLE SALES-TRADE BOOKS</v>
      </c>
      <c r="C42" s="11"/>
      <c r="D42" s="2">
        <f>--4661.75</f>
        <v>4661.75</v>
      </c>
      <c r="E42" s="2"/>
      <c r="F42" s="22"/>
      <c r="G42" s="2"/>
      <c r="H42" s="2"/>
      <c r="I42" s="2"/>
      <c r="J42" s="22"/>
      <c r="K42" s="2"/>
      <c r="L42" s="2">
        <f t="shared" si="0"/>
        <v>4661.75</v>
      </c>
      <c r="M42" s="2"/>
      <c r="N42" s="22">
        <f t="shared" si="1"/>
        <v>0</v>
      </c>
      <c r="O42" s="11"/>
      <c r="P42" s="2">
        <f>--6989.25</f>
        <v>6989.25</v>
      </c>
      <c r="Q42" s="2"/>
      <c r="R42" s="22"/>
      <c r="S42" s="2"/>
      <c r="T42" s="2"/>
      <c r="U42" s="2"/>
      <c r="V42" s="22"/>
      <c r="W42" s="2"/>
      <c r="X42" s="2">
        <f t="shared" si="2"/>
        <v>6989.25</v>
      </c>
      <c r="Y42" s="2"/>
      <c r="Z42" s="22">
        <f t="shared" si="3"/>
        <v>0</v>
      </c>
    </row>
    <row r="43" spans="1:26" s="24" customFormat="1" hidden="1" outlineLevel="1" x14ac:dyDescent="0.35">
      <c r="A43" s="51"/>
      <c r="B43" s="11" t="str">
        <f>CONCATENATE("          ", "4118", " - ", "NON-TAXABLE SALES-STUDY GUIDES")</f>
        <v xml:space="preserve">          4118 - NON-TAXABLE SALES-STUDY GUIDES</v>
      </c>
      <c r="C43" s="11"/>
      <c r="D43" s="2">
        <f>--538.3</f>
        <v>538.29999999999995</v>
      </c>
      <c r="E43" s="2"/>
      <c r="F43" s="22"/>
      <c r="G43" s="2"/>
      <c r="H43" s="2"/>
      <c r="I43" s="2"/>
      <c r="J43" s="22"/>
      <c r="K43" s="2"/>
      <c r="L43" s="2">
        <f t="shared" si="0"/>
        <v>538.29999999999995</v>
      </c>
      <c r="M43" s="2"/>
      <c r="N43" s="22">
        <f t="shared" si="1"/>
        <v>0</v>
      </c>
      <c r="O43" s="11"/>
      <c r="P43" s="2">
        <f>--771.73</f>
        <v>771.73</v>
      </c>
      <c r="Q43" s="2"/>
      <c r="R43" s="22"/>
      <c r="S43" s="2"/>
      <c r="T43" s="2"/>
      <c r="U43" s="2"/>
      <c r="V43" s="22"/>
      <c r="W43" s="2"/>
      <c r="X43" s="2">
        <f t="shared" si="2"/>
        <v>771.73</v>
      </c>
      <c r="Y43" s="2"/>
      <c r="Z43" s="22">
        <f t="shared" si="3"/>
        <v>0</v>
      </c>
    </row>
    <row r="44" spans="1:26" s="24" customFormat="1" hidden="1" outlineLevel="1" x14ac:dyDescent="0.35">
      <c r="A44" s="51"/>
      <c r="B44" s="11" t="str">
        <f>CONCATENATE("          ", "4126", " - ", "NON-TAXABLE SALES-WRITING INST")</f>
        <v xml:space="preserve">          4126 - NON-TAXABLE SALES-WRITING INST</v>
      </c>
      <c r="C44" s="11"/>
      <c r="D44" s="2">
        <f>0</f>
        <v>0</v>
      </c>
      <c r="E44" s="2"/>
      <c r="F44" s="22"/>
      <c r="G44" s="2"/>
      <c r="H44" s="2"/>
      <c r="I44" s="2"/>
      <c r="J44" s="22"/>
      <c r="K44" s="2"/>
      <c r="L44" s="2">
        <f t="shared" si="0"/>
        <v>0</v>
      </c>
      <c r="M44" s="2"/>
      <c r="N44" s="22">
        <f t="shared" si="1"/>
        <v>0</v>
      </c>
      <c r="O44" s="11"/>
      <c r="P44" s="2">
        <f>--52.68</f>
        <v>52.68</v>
      </c>
      <c r="Q44" s="2"/>
      <c r="R44" s="22"/>
      <c r="S44" s="2"/>
      <c r="T44" s="2"/>
      <c r="U44" s="2"/>
      <c r="V44" s="22"/>
      <c r="W44" s="2"/>
      <c r="X44" s="2">
        <f t="shared" si="2"/>
        <v>52.68</v>
      </c>
      <c r="Y44" s="2"/>
      <c r="Z44" s="22">
        <f t="shared" si="3"/>
        <v>0</v>
      </c>
    </row>
    <row r="45" spans="1:26" s="24" customFormat="1" hidden="1" outlineLevel="1" x14ac:dyDescent="0.35">
      <c r="A45" s="51"/>
      <c r="B45" s="11" t="str">
        <f>CONCATENATE("          ", "4127", " - ", "NON-TAXABLE SALES-SCHOOL SUPPL")</f>
        <v xml:space="preserve">          4127 - NON-TAXABLE SALES-SCHOOL SUPPL</v>
      </c>
      <c r="C45" s="11"/>
      <c r="D45" s="2">
        <f>--2539.06</f>
        <v>2539.06</v>
      </c>
      <c r="E45" s="2"/>
      <c r="F45" s="22"/>
      <c r="G45" s="2"/>
      <c r="H45" s="2"/>
      <c r="I45" s="2"/>
      <c r="J45" s="22"/>
      <c r="K45" s="2"/>
      <c r="L45" s="2">
        <f t="shared" si="0"/>
        <v>2539.06</v>
      </c>
      <c r="M45" s="2"/>
      <c r="N45" s="22">
        <f t="shared" si="1"/>
        <v>0</v>
      </c>
      <c r="O45" s="11"/>
      <c r="P45" s="2">
        <f>--5745.17</f>
        <v>5745.17</v>
      </c>
      <c r="Q45" s="2"/>
      <c r="R45" s="22"/>
      <c r="S45" s="2"/>
      <c r="T45" s="2"/>
      <c r="U45" s="2"/>
      <c r="V45" s="22"/>
      <c r="W45" s="2"/>
      <c r="X45" s="2">
        <f t="shared" si="2"/>
        <v>5745.17</v>
      </c>
      <c r="Y45" s="2"/>
      <c r="Z45" s="22">
        <f t="shared" si="3"/>
        <v>0</v>
      </c>
    </row>
    <row r="46" spans="1:26" s="24" customFormat="1" hidden="1" outlineLevel="1" x14ac:dyDescent="0.35">
      <c r="A46" s="51"/>
      <c r="B46" s="11" t="str">
        <f>CONCATENATE("          ", "4128", " - ", "NON-TAXABLE SALES-ART/TECH")</f>
        <v xml:space="preserve">          4128 - NON-TAXABLE SALES-ART/TECH</v>
      </c>
      <c r="C46" s="11"/>
      <c r="D46" s="2">
        <f>--4.72</f>
        <v>4.72</v>
      </c>
      <c r="E46" s="2"/>
      <c r="F46" s="22"/>
      <c r="G46" s="2"/>
      <c r="H46" s="2"/>
      <c r="I46" s="2"/>
      <c r="J46" s="22"/>
      <c r="K46" s="2"/>
      <c r="L46" s="2">
        <f t="shared" si="0"/>
        <v>4.72</v>
      </c>
      <c r="M46" s="2"/>
      <c r="N46" s="22">
        <f t="shared" si="1"/>
        <v>0</v>
      </c>
      <c r="O46" s="11"/>
      <c r="P46" s="2">
        <f>--29.5</f>
        <v>29.5</v>
      </c>
      <c r="Q46" s="2"/>
      <c r="R46" s="22"/>
      <c r="S46" s="2"/>
      <c r="T46" s="2"/>
      <c r="U46" s="2"/>
      <c r="V46" s="22"/>
      <c r="W46" s="2"/>
      <c r="X46" s="2">
        <f t="shared" si="2"/>
        <v>29.5</v>
      </c>
      <c r="Y46" s="2"/>
      <c r="Z46" s="22">
        <f t="shared" si="3"/>
        <v>0</v>
      </c>
    </row>
    <row r="47" spans="1:26" s="24" customFormat="1" hidden="1" outlineLevel="1" x14ac:dyDescent="0.35">
      <c r="A47" s="51"/>
      <c r="B47" s="11" t="str">
        <f>CONCATENATE("          ", "4131", " - ", "NON-TAXABLE SALES-FOOD")</f>
        <v xml:space="preserve">          4131 - NON-TAXABLE SALES-FOOD</v>
      </c>
      <c r="C47" s="11"/>
      <c r="D47" s="2">
        <f>--1098.12</f>
        <v>1098.1199999999999</v>
      </c>
      <c r="E47" s="2"/>
      <c r="F47" s="22"/>
      <c r="G47" s="2"/>
      <c r="H47" s="2"/>
      <c r="I47" s="2"/>
      <c r="J47" s="22"/>
      <c r="K47" s="2"/>
      <c r="L47" s="2">
        <f t="shared" si="0"/>
        <v>1098.1199999999999</v>
      </c>
      <c r="M47" s="2"/>
      <c r="N47" s="22">
        <f t="shared" si="1"/>
        <v>0</v>
      </c>
      <c r="O47" s="11"/>
      <c r="P47" s="2">
        <f>--8640.27</f>
        <v>8640.27</v>
      </c>
      <c r="Q47" s="2"/>
      <c r="R47" s="22"/>
      <c r="S47" s="2"/>
      <c r="T47" s="2"/>
      <c r="U47" s="2"/>
      <c r="V47" s="22"/>
      <c r="W47" s="2"/>
      <c r="X47" s="2">
        <f t="shared" si="2"/>
        <v>8640.27</v>
      </c>
      <c r="Y47" s="2"/>
      <c r="Z47" s="22">
        <f t="shared" si="3"/>
        <v>0</v>
      </c>
    </row>
    <row r="48" spans="1:26" s="24" customFormat="1" hidden="1" outlineLevel="1" x14ac:dyDescent="0.35">
      <c r="A48" s="51"/>
      <c r="B48" s="11" t="str">
        <f>CONCATENATE("          ", "4132", " - ", "NON-TAXABLE SALES-JUICE")</f>
        <v xml:space="preserve">          4132 - NON-TAXABLE SALES-JUICE</v>
      </c>
      <c r="C48" s="11"/>
      <c r="D48" s="2">
        <f t="shared" ref="D48:D51" si="4">0</f>
        <v>0</v>
      </c>
      <c r="E48" s="2"/>
      <c r="F48" s="22"/>
      <c r="G48" s="2"/>
      <c r="H48" s="2"/>
      <c r="I48" s="2"/>
      <c r="J48" s="22"/>
      <c r="K48" s="2"/>
      <c r="L48" s="2">
        <f t="shared" si="0"/>
        <v>0</v>
      </c>
      <c r="M48" s="2"/>
      <c r="N48" s="22">
        <f t="shared" si="1"/>
        <v>0</v>
      </c>
      <c r="O48" s="11"/>
      <c r="P48" s="2">
        <f>--22.49</f>
        <v>22.49</v>
      </c>
      <c r="Q48" s="2"/>
      <c r="R48" s="22"/>
      <c r="S48" s="2"/>
      <c r="T48" s="2"/>
      <c r="U48" s="2"/>
      <c r="V48" s="22"/>
      <c r="W48" s="2"/>
      <c r="X48" s="2">
        <f t="shared" si="2"/>
        <v>22.49</v>
      </c>
      <c r="Y48" s="2"/>
      <c r="Z48" s="22">
        <f t="shared" si="3"/>
        <v>0</v>
      </c>
    </row>
    <row r="49" spans="1:26" s="24" customFormat="1" hidden="1" outlineLevel="1" x14ac:dyDescent="0.35">
      <c r="A49" s="51"/>
      <c r="B49" s="11" t="str">
        <f>CONCATENATE("          ", "4133", " - ", "NON-TAXABLE SALES-CANDY")</f>
        <v xml:space="preserve">          4133 - NON-TAXABLE SALES-CANDY</v>
      </c>
      <c r="C49" s="11"/>
      <c r="D49" s="2">
        <f t="shared" si="4"/>
        <v>0</v>
      </c>
      <c r="E49" s="2"/>
      <c r="F49" s="22"/>
      <c r="G49" s="2"/>
      <c r="H49" s="2"/>
      <c r="I49" s="2"/>
      <c r="J49" s="22"/>
      <c r="K49" s="2"/>
      <c r="L49" s="2">
        <f t="shared" si="0"/>
        <v>0</v>
      </c>
      <c r="M49" s="2"/>
      <c r="N49" s="22">
        <f t="shared" si="1"/>
        <v>0</v>
      </c>
      <c r="O49" s="11"/>
      <c r="P49" s="2">
        <f>--80.71</f>
        <v>80.709999999999994</v>
      </c>
      <c r="Q49" s="2"/>
      <c r="R49" s="22"/>
      <c r="S49" s="2"/>
      <c r="T49" s="2"/>
      <c r="U49" s="2"/>
      <c r="V49" s="22"/>
      <c r="W49" s="2"/>
      <c r="X49" s="2">
        <f t="shared" si="2"/>
        <v>80.709999999999994</v>
      </c>
      <c r="Y49" s="2"/>
      <c r="Z49" s="22">
        <f t="shared" si="3"/>
        <v>0</v>
      </c>
    </row>
    <row r="50" spans="1:26" s="24" customFormat="1" hidden="1" outlineLevel="1" x14ac:dyDescent="0.35">
      <c r="A50" s="51"/>
      <c r="B50" s="11" t="str">
        <f>CONCATENATE("          ", "4134", " - ", "NON-TAXABLE SALES-SODA")</f>
        <v xml:space="preserve">          4134 - NON-TAXABLE SALES-SODA</v>
      </c>
      <c r="C50" s="11"/>
      <c r="D50" s="2">
        <f t="shared" si="4"/>
        <v>0</v>
      </c>
      <c r="E50" s="2"/>
      <c r="F50" s="22"/>
      <c r="G50" s="2"/>
      <c r="H50" s="2"/>
      <c r="I50" s="2"/>
      <c r="J50" s="22"/>
      <c r="K50" s="2"/>
      <c r="L50" s="2">
        <f t="shared" si="0"/>
        <v>0</v>
      </c>
      <c r="M50" s="2"/>
      <c r="N50" s="22">
        <f t="shared" si="1"/>
        <v>0</v>
      </c>
      <c r="O50" s="11"/>
      <c r="P50" s="2">
        <f>--45.53</f>
        <v>45.53</v>
      </c>
      <c r="Q50" s="2"/>
      <c r="R50" s="22"/>
      <c r="S50" s="2"/>
      <c r="T50" s="2"/>
      <c r="U50" s="2"/>
      <c r="V50" s="22"/>
      <c r="W50" s="2"/>
      <c r="X50" s="2">
        <f t="shared" si="2"/>
        <v>45.53</v>
      </c>
      <c r="Y50" s="2"/>
      <c r="Z50" s="22">
        <f t="shared" si="3"/>
        <v>0</v>
      </c>
    </row>
    <row r="51" spans="1:26" s="24" customFormat="1" hidden="1" outlineLevel="1" x14ac:dyDescent="0.35">
      <c r="A51" s="51"/>
      <c r="B51" s="11" t="str">
        <f>CONCATENATE("          ", "4137", " - ", "NON-TAXABLE SALES-WATER")</f>
        <v xml:space="preserve">          4137 - NON-TAXABLE SALES-WATER</v>
      </c>
      <c r="C51" s="11"/>
      <c r="D51" s="2">
        <f t="shared" si="4"/>
        <v>0</v>
      </c>
      <c r="E51" s="2"/>
      <c r="F51" s="22"/>
      <c r="G51" s="2"/>
      <c r="H51" s="2"/>
      <c r="I51" s="2"/>
      <c r="J51" s="22"/>
      <c r="K51" s="2"/>
      <c r="L51" s="2">
        <f t="shared" si="0"/>
        <v>0</v>
      </c>
      <c r="M51" s="2"/>
      <c r="N51" s="22">
        <f t="shared" si="1"/>
        <v>0</v>
      </c>
      <c r="O51" s="11"/>
      <c r="P51" s="2">
        <f>--68.25</f>
        <v>68.25</v>
      </c>
      <c r="Q51" s="2"/>
      <c r="R51" s="22"/>
      <c r="S51" s="2"/>
      <c r="T51" s="2"/>
      <c r="U51" s="2"/>
      <c r="V51" s="22"/>
      <c r="W51" s="2"/>
      <c r="X51" s="2">
        <f t="shared" si="2"/>
        <v>68.25</v>
      </c>
      <c r="Y51" s="2"/>
      <c r="Z51" s="22">
        <f t="shared" si="3"/>
        <v>0</v>
      </c>
    </row>
    <row r="52" spans="1:26" s="24" customFormat="1" hidden="1" outlineLevel="1" x14ac:dyDescent="0.35">
      <c r="A52" s="51"/>
      <c r="B52" s="11" t="str">
        <f>CONCATENATE("          ", "4140", " - ", "NON-TAXABLE SALES-LOGO CLOTHIN")</f>
        <v xml:space="preserve">          4140 - NON-TAXABLE SALES-LOGO CLOTHIN</v>
      </c>
      <c r="C52" s="11"/>
      <c r="D52" s="2">
        <f>--9206.45</f>
        <v>9206.4500000000007</v>
      </c>
      <c r="E52" s="2"/>
      <c r="F52" s="22"/>
      <c r="G52" s="2"/>
      <c r="H52" s="2"/>
      <c r="I52" s="2"/>
      <c r="J52" s="22"/>
      <c r="K52" s="2"/>
      <c r="L52" s="2">
        <f t="shared" si="0"/>
        <v>9206.4500000000007</v>
      </c>
      <c r="M52" s="2"/>
      <c r="N52" s="22">
        <f t="shared" si="1"/>
        <v>0</v>
      </c>
      <c r="O52" s="11"/>
      <c r="P52" s="2">
        <f>--113177.42</f>
        <v>113177.42</v>
      </c>
      <c r="Q52" s="2"/>
      <c r="R52" s="22"/>
      <c r="S52" s="2"/>
      <c r="T52" s="2"/>
      <c r="U52" s="2"/>
      <c r="V52" s="22"/>
      <c r="W52" s="2"/>
      <c r="X52" s="2">
        <f t="shared" si="2"/>
        <v>113177.42</v>
      </c>
      <c r="Y52" s="2"/>
      <c r="Z52" s="22">
        <f t="shared" si="3"/>
        <v>0</v>
      </c>
    </row>
    <row r="53" spans="1:26" s="24" customFormat="1" hidden="1" outlineLevel="1" x14ac:dyDescent="0.35">
      <c r="A53" s="51"/>
      <c r="B53" s="11" t="str">
        <f>CONCATENATE("          ", "4141", " - ", "NON-TAXABLE SALES-LOGO GIFTS")</f>
        <v xml:space="preserve">          4141 - NON-TAXABLE SALES-LOGO GIFTS</v>
      </c>
      <c r="C53" s="11"/>
      <c r="D53" s="2">
        <f>--1872.52</f>
        <v>1872.52</v>
      </c>
      <c r="E53" s="2"/>
      <c r="F53" s="22"/>
      <c r="G53" s="2"/>
      <c r="H53" s="2"/>
      <c r="I53" s="2"/>
      <c r="J53" s="22"/>
      <c r="K53" s="2"/>
      <c r="L53" s="2">
        <f t="shared" si="0"/>
        <v>1872.52</v>
      </c>
      <c r="M53" s="2"/>
      <c r="N53" s="22">
        <f t="shared" si="1"/>
        <v>0</v>
      </c>
      <c r="O53" s="11"/>
      <c r="P53" s="2">
        <f>--7841.77</f>
        <v>7841.77</v>
      </c>
      <c r="Q53" s="2"/>
      <c r="R53" s="22"/>
      <c r="S53" s="2"/>
      <c r="T53" s="2"/>
      <c r="U53" s="2"/>
      <c r="V53" s="22"/>
      <c r="W53" s="2"/>
      <c r="X53" s="2">
        <f t="shared" si="2"/>
        <v>7841.77</v>
      </c>
      <c r="Y53" s="2"/>
      <c r="Z53" s="22">
        <f t="shared" si="3"/>
        <v>0</v>
      </c>
    </row>
    <row r="54" spans="1:26" s="24" customFormat="1" hidden="1" outlineLevel="1" x14ac:dyDescent="0.35">
      <c r="A54" s="51"/>
      <c r="B54" s="11" t="str">
        <f>CONCATENATE("          ", "4142", " - ", "NON-TAXABLE SALES-EVERYDAY GIF")</f>
        <v xml:space="preserve">          4142 - NON-TAXABLE SALES-EVERYDAY GIF</v>
      </c>
      <c r="C54" s="11"/>
      <c r="D54" s="2">
        <f>--51.7</f>
        <v>51.7</v>
      </c>
      <c r="E54" s="2"/>
      <c r="F54" s="22"/>
      <c r="G54" s="2"/>
      <c r="H54" s="2"/>
      <c r="I54" s="2"/>
      <c r="J54" s="22"/>
      <c r="K54" s="2"/>
      <c r="L54" s="2">
        <f t="shared" si="0"/>
        <v>51.7</v>
      </c>
      <c r="M54" s="2"/>
      <c r="N54" s="22">
        <f t="shared" si="1"/>
        <v>0</v>
      </c>
      <c r="O54" s="11"/>
      <c r="P54" s="2">
        <f>--2259.89</f>
        <v>2259.89</v>
      </c>
      <c r="Q54" s="2"/>
      <c r="R54" s="22"/>
      <c r="S54" s="2"/>
      <c r="T54" s="2"/>
      <c r="U54" s="2"/>
      <c r="V54" s="22"/>
      <c r="W54" s="2"/>
      <c r="X54" s="2">
        <f t="shared" si="2"/>
        <v>2259.89</v>
      </c>
      <c r="Y54" s="2"/>
      <c r="Z54" s="22">
        <f t="shared" si="3"/>
        <v>0</v>
      </c>
    </row>
    <row r="55" spans="1:26" s="24" customFormat="1" hidden="1" outlineLevel="1" x14ac:dyDescent="0.35">
      <c r="A55" s="51"/>
      <c r="B55" s="11" t="str">
        <f>CONCATENATE("          ", "4143", " - ", "NON-TAXABLE SALES-CARDS")</f>
        <v xml:space="preserve">          4143 - NON-TAXABLE SALES-CARDS</v>
      </c>
      <c r="C55" s="11"/>
      <c r="D55" s="2">
        <f>--232.71</f>
        <v>232.71</v>
      </c>
      <c r="E55" s="2"/>
      <c r="F55" s="22"/>
      <c r="G55" s="2"/>
      <c r="H55" s="2"/>
      <c r="I55" s="2"/>
      <c r="J55" s="22"/>
      <c r="K55" s="2"/>
      <c r="L55" s="2">
        <f t="shared" si="0"/>
        <v>232.71</v>
      </c>
      <c r="M55" s="2"/>
      <c r="N55" s="22">
        <f t="shared" si="1"/>
        <v>0</v>
      </c>
      <c r="O55" s="11"/>
      <c r="P55" s="2">
        <f>--1969.74</f>
        <v>1969.74</v>
      </c>
      <c r="Q55" s="2"/>
      <c r="R55" s="22"/>
      <c r="S55" s="2"/>
      <c r="T55" s="2"/>
      <c r="U55" s="2"/>
      <c r="V55" s="22"/>
      <c r="W55" s="2"/>
      <c r="X55" s="2">
        <f t="shared" si="2"/>
        <v>1969.74</v>
      </c>
      <c r="Y55" s="2"/>
      <c r="Z55" s="22">
        <f t="shared" si="3"/>
        <v>0</v>
      </c>
    </row>
    <row r="56" spans="1:26" s="24" customFormat="1" hidden="1" outlineLevel="1" x14ac:dyDescent="0.35">
      <c r="A56" s="51"/>
      <c r="B56" s="11" t="str">
        <f>CONCATENATE("          ", "4144", " - ", "NON-TAXABLE SALES-ACCESSORIES")</f>
        <v xml:space="preserve">          4144 - NON-TAXABLE SALES-ACCESSORIES</v>
      </c>
      <c r="C56" s="11"/>
      <c r="D56" s="2">
        <f>--119.9</f>
        <v>119.9</v>
      </c>
      <c r="E56" s="2"/>
      <c r="F56" s="22"/>
      <c r="G56" s="2"/>
      <c r="H56" s="2"/>
      <c r="I56" s="2"/>
      <c r="J56" s="22"/>
      <c r="K56" s="2"/>
      <c r="L56" s="2">
        <f t="shared" si="0"/>
        <v>119.9</v>
      </c>
      <c r="M56" s="2"/>
      <c r="N56" s="22">
        <f t="shared" si="1"/>
        <v>0</v>
      </c>
      <c r="O56" s="11"/>
      <c r="P56" s="2">
        <f>--609.4</f>
        <v>609.4</v>
      </c>
      <c r="Q56" s="2"/>
      <c r="R56" s="22"/>
      <c r="S56" s="2"/>
      <c r="T56" s="2"/>
      <c r="U56" s="2"/>
      <c r="V56" s="22"/>
      <c r="W56" s="2"/>
      <c r="X56" s="2">
        <f t="shared" si="2"/>
        <v>609.4</v>
      </c>
      <c r="Y56" s="2"/>
      <c r="Z56" s="22">
        <f t="shared" si="3"/>
        <v>0</v>
      </c>
    </row>
    <row r="57" spans="1:26" s="24" customFormat="1" hidden="1" outlineLevel="1" x14ac:dyDescent="0.35">
      <c r="A57" s="51"/>
      <c r="B57" s="11" t="str">
        <f>CONCATENATE("          ", "4145", " - ", "NON-TAXABLE SALES-SPECIAL ORDE")</f>
        <v xml:space="preserve">          4145 - NON-TAXABLE SALES-SPECIAL ORDE</v>
      </c>
      <c r="C57" s="11"/>
      <c r="D57" s="2">
        <f>-1677.68</f>
        <v>-1677.68</v>
      </c>
      <c r="E57" s="2"/>
      <c r="F57" s="22"/>
      <c r="G57" s="2"/>
      <c r="H57" s="2"/>
      <c r="I57" s="2"/>
      <c r="J57" s="22"/>
      <c r="K57" s="2"/>
      <c r="L57" s="2">
        <f t="shared" si="0"/>
        <v>-1677.68</v>
      </c>
      <c r="M57" s="2"/>
      <c r="N57" s="22">
        <f t="shared" si="1"/>
        <v>0</v>
      </c>
      <c r="O57" s="11"/>
      <c r="P57" s="2">
        <f>--53716.09</f>
        <v>53716.09</v>
      </c>
      <c r="Q57" s="2"/>
      <c r="R57" s="22"/>
      <c r="S57" s="2"/>
      <c r="T57" s="2"/>
      <c r="U57" s="2"/>
      <c r="V57" s="22"/>
      <c r="W57" s="2"/>
      <c r="X57" s="2">
        <f t="shared" si="2"/>
        <v>53716.09</v>
      </c>
      <c r="Y57" s="2"/>
      <c r="Z57" s="22">
        <f t="shared" si="3"/>
        <v>0</v>
      </c>
    </row>
    <row r="58" spans="1:26" s="24" customFormat="1" hidden="1" outlineLevel="1" x14ac:dyDescent="0.35">
      <c r="A58" s="51"/>
      <c r="B58" s="11" t="str">
        <f>CONCATENATE("          ", "4146", " - ", "NON-TAXABLE SALES-COIN OP MACH")</f>
        <v xml:space="preserve">          4146 - NON-TAXABLE SALES-COIN OP MACH</v>
      </c>
      <c r="C58" s="11"/>
      <c r="D58" s="2">
        <f>--12.7</f>
        <v>12.7</v>
      </c>
      <c r="E58" s="2"/>
      <c r="F58" s="22"/>
      <c r="G58" s="2"/>
      <c r="H58" s="2"/>
      <c r="I58" s="2"/>
      <c r="J58" s="22"/>
      <c r="K58" s="2"/>
      <c r="L58" s="2">
        <f t="shared" si="0"/>
        <v>12.7</v>
      </c>
      <c r="M58" s="2"/>
      <c r="N58" s="22">
        <f t="shared" si="1"/>
        <v>0</v>
      </c>
      <c r="O58" s="11"/>
      <c r="P58" s="2">
        <f>--140.6</f>
        <v>140.6</v>
      </c>
      <c r="Q58" s="2"/>
      <c r="R58" s="22"/>
      <c r="S58" s="2"/>
      <c r="T58" s="2"/>
      <c r="U58" s="2"/>
      <c r="V58" s="22"/>
      <c r="W58" s="2"/>
      <c r="X58" s="2">
        <f t="shared" si="2"/>
        <v>140.6</v>
      </c>
      <c r="Y58" s="2"/>
      <c r="Z58" s="22">
        <f t="shared" si="3"/>
        <v>0</v>
      </c>
    </row>
    <row r="59" spans="1:26" s="24" customFormat="1" hidden="1" outlineLevel="1" x14ac:dyDescent="0.35">
      <c r="A59" s="51"/>
      <c r="B59" s="11" t="str">
        <f>CONCATENATE("          ", "4147", " - ", "NON-TAXABLE SALES-MISC")</f>
        <v xml:space="preserve">          4147 - NON-TAXABLE SALES-MISC</v>
      </c>
      <c r="C59" s="11"/>
      <c r="D59" s="2">
        <f>--11</f>
        <v>11</v>
      </c>
      <c r="E59" s="2"/>
      <c r="F59" s="22"/>
      <c r="G59" s="2"/>
      <c r="H59" s="2"/>
      <c r="I59" s="2"/>
      <c r="J59" s="22"/>
      <c r="K59" s="2"/>
      <c r="L59" s="2">
        <f t="shared" si="0"/>
        <v>11</v>
      </c>
      <c r="M59" s="2"/>
      <c r="N59" s="22">
        <f t="shared" si="1"/>
        <v>0</v>
      </c>
      <c r="O59" s="11"/>
      <c r="P59" s="2">
        <f>--115.5</f>
        <v>115.5</v>
      </c>
      <c r="Q59" s="2"/>
      <c r="R59" s="22"/>
      <c r="S59" s="2"/>
      <c r="T59" s="2"/>
      <c r="U59" s="2"/>
      <c r="V59" s="22"/>
      <c r="W59" s="2"/>
      <c r="X59" s="2">
        <f t="shared" si="2"/>
        <v>115.5</v>
      </c>
      <c r="Y59" s="2"/>
      <c r="Z59" s="22">
        <f t="shared" si="3"/>
        <v>0</v>
      </c>
    </row>
    <row r="60" spans="1:26" s="24" customFormat="1" hidden="1" outlineLevel="1" x14ac:dyDescent="0.35">
      <c r="A60" s="51"/>
      <c r="B60" s="11" t="str">
        <f>CONCATENATE("          ", "4181", " - ", "NON-TAXABLE SALES-ELECTRONICS")</f>
        <v xml:space="preserve">          4181 - NON-TAXABLE SALES-ELECTRONICS</v>
      </c>
      <c r="C60" s="11"/>
      <c r="D60" s="2">
        <f>--2038.6</f>
        <v>2038.6</v>
      </c>
      <c r="E60" s="2"/>
      <c r="F60" s="22"/>
      <c r="G60" s="2"/>
      <c r="H60" s="2"/>
      <c r="I60" s="2"/>
      <c r="J60" s="22"/>
      <c r="K60" s="2"/>
      <c r="L60" s="2">
        <f t="shared" si="0"/>
        <v>2038.6</v>
      </c>
      <c r="M60" s="2"/>
      <c r="N60" s="22">
        <f t="shared" si="1"/>
        <v>0</v>
      </c>
      <c r="O60" s="11"/>
      <c r="P60" s="2">
        <f>--5572.72</f>
        <v>5572.72</v>
      </c>
      <c r="Q60" s="2"/>
      <c r="R60" s="22"/>
      <c r="S60" s="2"/>
      <c r="T60" s="2"/>
      <c r="U60" s="2"/>
      <c r="V60" s="22"/>
      <c r="W60" s="2"/>
      <c r="X60" s="2">
        <f t="shared" si="2"/>
        <v>5572.72</v>
      </c>
      <c r="Y60" s="2"/>
      <c r="Z60" s="22">
        <f t="shared" si="3"/>
        <v>0</v>
      </c>
    </row>
    <row r="61" spans="1:26" s="24" customFormat="1" hidden="1" outlineLevel="1" x14ac:dyDescent="0.35">
      <c r="A61" s="51"/>
      <c r="B61" s="11" t="str">
        <f>CONCATENATE("          ", "4182", " - ", "NON-TAXABLE SALES-COMPUTER HAR")</f>
        <v xml:space="preserve">          4182 - NON-TAXABLE SALES-COMPUTER HAR</v>
      </c>
      <c r="C61" s="11"/>
      <c r="D61" s="2">
        <f>--22090.89</f>
        <v>22090.89</v>
      </c>
      <c r="E61" s="2"/>
      <c r="F61" s="22"/>
      <c r="G61" s="2"/>
      <c r="H61" s="2"/>
      <c r="I61" s="2"/>
      <c r="J61" s="22"/>
      <c r="K61" s="2"/>
      <c r="L61" s="2">
        <f t="shared" si="0"/>
        <v>22090.89</v>
      </c>
      <c r="M61" s="2"/>
      <c r="N61" s="22">
        <f t="shared" si="1"/>
        <v>0</v>
      </c>
      <c r="O61" s="11"/>
      <c r="P61" s="2">
        <f>--186399.2</f>
        <v>186399.2</v>
      </c>
      <c r="Q61" s="2"/>
      <c r="R61" s="22"/>
      <c r="S61" s="2"/>
      <c r="T61" s="2"/>
      <c r="U61" s="2"/>
      <c r="V61" s="22"/>
      <c r="W61" s="2"/>
      <c r="X61" s="2">
        <f t="shared" si="2"/>
        <v>186399.2</v>
      </c>
      <c r="Y61" s="2"/>
      <c r="Z61" s="22">
        <f t="shared" si="3"/>
        <v>0</v>
      </c>
    </row>
    <row r="62" spans="1:26" s="24" customFormat="1" hidden="1" outlineLevel="1" x14ac:dyDescent="0.35">
      <c r="A62" s="51"/>
      <c r="B62" s="11" t="str">
        <f>CONCATENATE("          ", "4183", " - ", "NON-TAXABLE SALES-COMPUTER EQU")</f>
        <v xml:space="preserve">          4183 - NON-TAXABLE SALES-COMPUTER EQU</v>
      </c>
      <c r="C62" s="11"/>
      <c r="D62" s="2">
        <f>--2888.95</f>
        <v>2888.95</v>
      </c>
      <c r="E62" s="2"/>
      <c r="F62" s="22"/>
      <c r="G62" s="2"/>
      <c r="H62" s="2"/>
      <c r="I62" s="2"/>
      <c r="J62" s="22"/>
      <c r="K62" s="2"/>
      <c r="L62" s="2">
        <f t="shared" si="0"/>
        <v>2888.95</v>
      </c>
      <c r="M62" s="2"/>
      <c r="N62" s="22">
        <f t="shared" si="1"/>
        <v>0</v>
      </c>
      <c r="O62" s="11"/>
      <c r="P62" s="2">
        <f>--10518.14</f>
        <v>10518.14</v>
      </c>
      <c r="Q62" s="2"/>
      <c r="R62" s="22"/>
      <c r="S62" s="2"/>
      <c r="T62" s="2"/>
      <c r="U62" s="2"/>
      <c r="V62" s="22"/>
      <c r="W62" s="2"/>
      <c r="X62" s="2">
        <f t="shared" si="2"/>
        <v>10518.14</v>
      </c>
      <c r="Y62" s="2"/>
      <c r="Z62" s="22">
        <f t="shared" si="3"/>
        <v>0</v>
      </c>
    </row>
    <row r="63" spans="1:26" s="24" customFormat="1" hidden="1" outlineLevel="1" x14ac:dyDescent="0.35">
      <c r="A63" s="51"/>
      <c r="B63" s="11" t="str">
        <f>CONCATENATE("          ", "4185", " - ", "NON-TAXABLE SALES-SOFTWARE")</f>
        <v xml:space="preserve">          4185 - NON-TAXABLE SALES-SOFTWARE</v>
      </c>
      <c r="C63" s="11"/>
      <c r="D63" s="2">
        <f>--3149.85</f>
        <v>3149.85</v>
      </c>
      <c r="E63" s="2"/>
      <c r="F63" s="22"/>
      <c r="G63" s="2"/>
      <c r="H63" s="2"/>
      <c r="I63" s="2"/>
      <c r="J63" s="22"/>
      <c r="K63" s="2"/>
      <c r="L63" s="2">
        <f t="shared" si="0"/>
        <v>3149.85</v>
      </c>
      <c r="M63" s="2"/>
      <c r="N63" s="22">
        <f t="shared" si="1"/>
        <v>0</v>
      </c>
      <c r="O63" s="11"/>
      <c r="P63" s="2">
        <f>--29830.52</f>
        <v>29830.52</v>
      </c>
      <c r="Q63" s="2"/>
      <c r="R63" s="22"/>
      <c r="S63" s="2"/>
      <c r="T63" s="2"/>
      <c r="U63" s="2"/>
      <c r="V63" s="22"/>
      <c r="W63" s="2"/>
      <c r="X63" s="2">
        <f t="shared" si="2"/>
        <v>29830.52</v>
      </c>
      <c r="Y63" s="2"/>
      <c r="Z63" s="22">
        <f t="shared" si="3"/>
        <v>0</v>
      </c>
    </row>
    <row r="64" spans="1:26" s="24" customFormat="1" hidden="1" outlineLevel="1" x14ac:dyDescent="0.35">
      <c r="A64" s="51"/>
      <c r="B64" s="11" t="str">
        <f>CONCATENATE("          ", "4186", " - ", "NON-TAXABLE SALES-COMPUTER SUP")</f>
        <v xml:space="preserve">          4186 - NON-TAXABLE SALES-COMPUTER SUP</v>
      </c>
      <c r="C64" s="11"/>
      <c r="D64" s="2">
        <f>--535.04</f>
        <v>535.04</v>
      </c>
      <c r="E64" s="2"/>
      <c r="F64" s="22"/>
      <c r="G64" s="2"/>
      <c r="H64" s="2"/>
      <c r="I64" s="2"/>
      <c r="J64" s="22"/>
      <c r="K64" s="2"/>
      <c r="L64" s="2">
        <f t="shared" si="0"/>
        <v>535.04</v>
      </c>
      <c r="M64" s="2"/>
      <c r="N64" s="22">
        <f t="shared" si="1"/>
        <v>0</v>
      </c>
      <c r="O64" s="11"/>
      <c r="P64" s="2">
        <f>--2485.03</f>
        <v>2485.0300000000002</v>
      </c>
      <c r="Q64" s="2"/>
      <c r="R64" s="22"/>
      <c r="S64" s="2"/>
      <c r="T64" s="2"/>
      <c r="U64" s="2"/>
      <c r="V64" s="22"/>
      <c r="W64" s="2"/>
      <c r="X64" s="2">
        <f t="shared" si="2"/>
        <v>2485.0300000000002</v>
      </c>
      <c r="Y64" s="2"/>
      <c r="Z64" s="22">
        <f t="shared" si="3"/>
        <v>0</v>
      </c>
    </row>
    <row r="65" spans="1:26" s="24" customFormat="1" hidden="1" outlineLevel="1" x14ac:dyDescent="0.35">
      <c r="A65" s="51"/>
      <c r="B65" s="11" t="str">
        <f>CONCATENATE("          ", "4201", " - ", "SALES RETURN TAXABLE-NEW TEXT")</f>
        <v xml:space="preserve">          4201 - SALES RETURN TAXABLE-NEW TEXT</v>
      </c>
      <c r="C65" s="11"/>
      <c r="D65" s="2">
        <f>-12741.9</f>
        <v>-12741.9</v>
      </c>
      <c r="E65" s="2"/>
      <c r="F65" s="22"/>
      <c r="G65" s="2"/>
      <c r="H65" s="2"/>
      <c r="I65" s="2"/>
      <c r="J65" s="22"/>
      <c r="K65" s="2"/>
      <c r="L65" s="2">
        <f t="shared" si="0"/>
        <v>-12741.9</v>
      </c>
      <c r="M65" s="2"/>
      <c r="N65" s="22">
        <f t="shared" si="1"/>
        <v>0</v>
      </c>
      <c r="O65" s="11"/>
      <c r="P65" s="2">
        <f>-48517.74</f>
        <v>-48517.74</v>
      </c>
      <c r="Q65" s="2"/>
      <c r="R65" s="22"/>
      <c r="S65" s="2"/>
      <c r="T65" s="2"/>
      <c r="U65" s="2"/>
      <c r="V65" s="22"/>
      <c r="W65" s="2"/>
      <c r="X65" s="2">
        <f t="shared" si="2"/>
        <v>-48517.74</v>
      </c>
      <c r="Y65" s="2"/>
      <c r="Z65" s="22">
        <f t="shared" si="3"/>
        <v>0</v>
      </c>
    </row>
    <row r="66" spans="1:26" s="24" customFormat="1" hidden="1" outlineLevel="1" x14ac:dyDescent="0.35">
      <c r="A66" s="51"/>
      <c r="B66" s="11" t="str">
        <f>CONCATENATE("          ", "4202", " - ", "SALES RETURN TAXABLE-USED TEXT")</f>
        <v xml:space="preserve">          4202 - SALES RETURN TAXABLE-USED TEXT</v>
      </c>
      <c r="C66" s="11"/>
      <c r="D66" s="2">
        <f>-4670.3</f>
        <v>-4670.3</v>
      </c>
      <c r="E66" s="2"/>
      <c r="F66" s="22"/>
      <c r="G66" s="2"/>
      <c r="H66" s="2"/>
      <c r="I66" s="2"/>
      <c r="J66" s="22"/>
      <c r="K66" s="2"/>
      <c r="L66" s="2">
        <f t="shared" si="0"/>
        <v>-4670.3</v>
      </c>
      <c r="M66" s="2"/>
      <c r="N66" s="22">
        <f t="shared" si="1"/>
        <v>0</v>
      </c>
      <c r="O66" s="11"/>
      <c r="P66" s="2">
        <f>-18536.3</f>
        <v>-18536.3</v>
      </c>
      <c r="Q66" s="2"/>
      <c r="R66" s="22"/>
      <c r="S66" s="2"/>
      <c r="T66" s="2"/>
      <c r="U66" s="2"/>
      <c r="V66" s="22"/>
      <c r="W66" s="2"/>
      <c r="X66" s="2">
        <f t="shared" si="2"/>
        <v>-18536.3</v>
      </c>
      <c r="Y66" s="2"/>
      <c r="Z66" s="22">
        <f t="shared" si="3"/>
        <v>0</v>
      </c>
    </row>
    <row r="67" spans="1:26" s="24" customFormat="1" hidden="1" outlineLevel="1" x14ac:dyDescent="0.35">
      <c r="A67" s="51"/>
      <c r="B67" s="11" t="str">
        <f>CONCATENATE("          ", "4204", " - ", "SALES RETURN TAXABLE-DIGITAL T")</f>
        <v xml:space="preserve">          4204 - SALES RETURN TAXABLE-DIGITAL T</v>
      </c>
      <c r="C67" s="11"/>
      <c r="D67" s="2">
        <f t="shared" ref="D67:D68" si="5">0</f>
        <v>0</v>
      </c>
      <c r="E67" s="2"/>
      <c r="F67" s="22"/>
      <c r="G67" s="2"/>
      <c r="H67" s="2"/>
      <c r="I67" s="2"/>
      <c r="J67" s="22"/>
      <c r="K67" s="2"/>
      <c r="L67" s="2">
        <f t="shared" si="0"/>
        <v>0</v>
      </c>
      <c r="M67" s="2"/>
      <c r="N67" s="22">
        <f t="shared" si="1"/>
        <v>0</v>
      </c>
      <c r="O67" s="11"/>
      <c r="P67" s="2">
        <f>-1630.85</f>
        <v>-1630.85</v>
      </c>
      <c r="Q67" s="2"/>
      <c r="R67" s="22"/>
      <c r="S67" s="2"/>
      <c r="T67" s="2"/>
      <c r="U67" s="2"/>
      <c r="V67" s="22"/>
      <c r="W67" s="2"/>
      <c r="X67" s="2">
        <f t="shared" si="2"/>
        <v>-1630.85</v>
      </c>
      <c r="Y67" s="2"/>
      <c r="Z67" s="22">
        <f t="shared" si="3"/>
        <v>0</v>
      </c>
    </row>
    <row r="68" spans="1:26" s="24" customFormat="1" hidden="1" outlineLevel="1" x14ac:dyDescent="0.35">
      <c r="A68" s="51"/>
      <c r="B68" s="11" t="str">
        <f>CONCATENATE("          ", "4226", " - ", "SALES RETURN TAXABLE-WRITING I")</f>
        <v xml:space="preserve">          4226 - SALES RETURN TAXABLE-WRITING I</v>
      </c>
      <c r="C68" s="11"/>
      <c r="D68" s="2">
        <f t="shared" si="5"/>
        <v>0</v>
      </c>
      <c r="E68" s="2"/>
      <c r="F68" s="22"/>
      <c r="G68" s="2"/>
      <c r="H68" s="2"/>
      <c r="I68" s="2"/>
      <c r="J68" s="22"/>
      <c r="K68" s="2"/>
      <c r="L68" s="2">
        <f t="shared" si="0"/>
        <v>0</v>
      </c>
      <c r="M68" s="2"/>
      <c r="N68" s="22">
        <f t="shared" si="1"/>
        <v>0</v>
      </c>
      <c r="O68" s="11"/>
      <c r="P68" s="2">
        <f>-34.23</f>
        <v>-34.229999999999997</v>
      </c>
      <c r="Q68" s="2"/>
      <c r="R68" s="22"/>
      <c r="S68" s="2"/>
      <c r="T68" s="2"/>
      <c r="U68" s="2"/>
      <c r="V68" s="22"/>
      <c r="W68" s="2"/>
      <c r="X68" s="2">
        <f t="shared" si="2"/>
        <v>-34.229999999999997</v>
      </c>
      <c r="Y68" s="2"/>
      <c r="Z68" s="22">
        <f t="shared" si="3"/>
        <v>0</v>
      </c>
    </row>
    <row r="69" spans="1:26" s="24" customFormat="1" hidden="1" outlineLevel="1" x14ac:dyDescent="0.35">
      <c r="A69" s="51"/>
      <c r="B69" s="11" t="str">
        <f>CONCATENATE("          ", "4227", " - ", "SALES RETURN TAXABLE-SCHOOL SU")</f>
        <v xml:space="preserve">          4227 - SALES RETURN TAXABLE-SCHOOL SU</v>
      </c>
      <c r="C69" s="11"/>
      <c r="D69" s="2">
        <f>-126.22</f>
        <v>-126.22</v>
      </c>
      <c r="E69" s="2"/>
      <c r="F69" s="22"/>
      <c r="G69" s="2"/>
      <c r="H69" s="2"/>
      <c r="I69" s="2"/>
      <c r="J69" s="22"/>
      <c r="K69" s="2"/>
      <c r="L69" s="2">
        <f t="shared" si="0"/>
        <v>-126.22</v>
      </c>
      <c r="M69" s="2"/>
      <c r="N69" s="22">
        <f t="shared" si="1"/>
        <v>0</v>
      </c>
      <c r="O69" s="11"/>
      <c r="P69" s="2">
        <f>-762.68</f>
        <v>-762.68</v>
      </c>
      <c r="Q69" s="2"/>
      <c r="R69" s="22"/>
      <c r="S69" s="2"/>
      <c r="T69" s="2"/>
      <c r="U69" s="2"/>
      <c r="V69" s="22"/>
      <c r="W69" s="2"/>
      <c r="X69" s="2">
        <f t="shared" si="2"/>
        <v>-762.68</v>
      </c>
      <c r="Y69" s="2"/>
      <c r="Z69" s="22">
        <f t="shared" si="3"/>
        <v>0</v>
      </c>
    </row>
    <row r="70" spans="1:26" s="24" customFormat="1" hidden="1" outlineLevel="1" x14ac:dyDescent="0.35">
      <c r="A70" s="51"/>
      <c r="B70" s="11" t="str">
        <f>CONCATENATE("          ", "4228", " - ", "SALES RETURN TAXABLE-ART/TECH")</f>
        <v xml:space="preserve">          4228 - SALES RETURN TAXABLE-ART/TECH</v>
      </c>
      <c r="C70" s="11"/>
      <c r="D70" s="2">
        <f>-12473.84</f>
        <v>-12473.84</v>
      </c>
      <c r="E70" s="2"/>
      <c r="F70" s="22"/>
      <c r="G70" s="2"/>
      <c r="H70" s="2"/>
      <c r="I70" s="2"/>
      <c r="J70" s="22"/>
      <c r="K70" s="2"/>
      <c r="L70" s="2">
        <f t="shared" si="0"/>
        <v>-12473.84</v>
      </c>
      <c r="M70" s="2"/>
      <c r="N70" s="22">
        <f t="shared" si="1"/>
        <v>0</v>
      </c>
      <c r="O70" s="11"/>
      <c r="P70" s="2">
        <f>-12728.53</f>
        <v>-12728.53</v>
      </c>
      <c r="Q70" s="2"/>
      <c r="R70" s="22"/>
      <c r="S70" s="2"/>
      <c r="T70" s="2"/>
      <c r="U70" s="2"/>
      <c r="V70" s="22"/>
      <c r="W70" s="2"/>
      <c r="X70" s="2">
        <f t="shared" si="2"/>
        <v>-12728.53</v>
      </c>
      <c r="Y70" s="2"/>
      <c r="Z70" s="22">
        <f t="shared" si="3"/>
        <v>0</v>
      </c>
    </row>
    <row r="71" spans="1:26" s="24" customFormat="1" hidden="1" outlineLevel="1" x14ac:dyDescent="0.35">
      <c r="A71" s="51"/>
      <c r="B71" s="11" t="str">
        <f>CONCATENATE("          ", "4240", " - ", "SALES RETURN TAXABLE-LOGO CLOT")</f>
        <v xml:space="preserve">          4240 - SALES RETURN TAXABLE-LOGO CLOT</v>
      </c>
      <c r="C71" s="11"/>
      <c r="D71" s="2">
        <f>-7168.03</f>
        <v>-7168.03</v>
      </c>
      <c r="E71" s="2"/>
      <c r="F71" s="22"/>
      <c r="G71" s="2"/>
      <c r="H71" s="2"/>
      <c r="I71" s="2"/>
      <c r="J71" s="22"/>
      <c r="K71" s="2"/>
      <c r="L71" s="2">
        <f t="shared" si="0"/>
        <v>-7168.03</v>
      </c>
      <c r="M71" s="2"/>
      <c r="N71" s="22">
        <f t="shared" si="1"/>
        <v>0</v>
      </c>
      <c r="O71" s="11"/>
      <c r="P71" s="2">
        <f>-27586.87</f>
        <v>-27586.87</v>
      </c>
      <c r="Q71" s="2"/>
      <c r="R71" s="22"/>
      <c r="S71" s="2"/>
      <c r="T71" s="2"/>
      <c r="U71" s="2"/>
      <c r="V71" s="22"/>
      <c r="W71" s="2"/>
      <c r="X71" s="2">
        <f t="shared" si="2"/>
        <v>-27586.87</v>
      </c>
      <c r="Y71" s="2"/>
      <c r="Z71" s="22">
        <f t="shared" si="3"/>
        <v>0</v>
      </c>
    </row>
    <row r="72" spans="1:26" s="24" customFormat="1" hidden="1" outlineLevel="1" x14ac:dyDescent="0.35">
      <c r="A72" s="51"/>
      <c r="B72" s="11" t="str">
        <f>CONCATENATE("          ", "4241", " - ", "SALES RETURN TAXABLE-LOGO GIFT")</f>
        <v xml:space="preserve">          4241 - SALES RETURN TAXABLE-LOGO GIFT</v>
      </c>
      <c r="C72" s="11"/>
      <c r="D72" s="2">
        <f>-1397.46</f>
        <v>-1397.46</v>
      </c>
      <c r="E72" s="2"/>
      <c r="F72" s="22"/>
      <c r="G72" s="2"/>
      <c r="H72" s="2"/>
      <c r="I72" s="2"/>
      <c r="J72" s="22"/>
      <c r="K72" s="2"/>
      <c r="L72" s="2">
        <f t="shared" si="0"/>
        <v>-1397.46</v>
      </c>
      <c r="M72" s="2"/>
      <c r="N72" s="22">
        <f t="shared" si="1"/>
        <v>0</v>
      </c>
      <c r="O72" s="11"/>
      <c r="P72" s="2">
        <f>-4957.47</f>
        <v>-4957.47</v>
      </c>
      <c r="Q72" s="2"/>
      <c r="R72" s="22"/>
      <c r="S72" s="2"/>
      <c r="T72" s="2"/>
      <c r="U72" s="2"/>
      <c r="V72" s="22"/>
      <c r="W72" s="2"/>
      <c r="X72" s="2">
        <f t="shared" si="2"/>
        <v>-4957.47</v>
      </c>
      <c r="Y72" s="2"/>
      <c r="Z72" s="22">
        <f t="shared" si="3"/>
        <v>0</v>
      </c>
    </row>
    <row r="73" spans="1:26" s="24" customFormat="1" hidden="1" outlineLevel="1" x14ac:dyDescent="0.35">
      <c r="A73" s="51"/>
      <c r="B73" s="11" t="str">
        <f>CONCATENATE("          ", "4242", " - ", "SALES RETURN TAXABLE-EVERYDAY")</f>
        <v xml:space="preserve">          4242 - SALES RETURN TAXABLE-EVERYDAY</v>
      </c>
      <c r="C73" s="11"/>
      <c r="D73" s="2">
        <f>-76.86</f>
        <v>-76.86</v>
      </c>
      <c r="E73" s="2"/>
      <c r="F73" s="22"/>
      <c r="G73" s="2"/>
      <c r="H73" s="2"/>
      <c r="I73" s="2"/>
      <c r="J73" s="22"/>
      <c r="K73" s="2"/>
      <c r="L73" s="2">
        <f t="shared" si="0"/>
        <v>-76.86</v>
      </c>
      <c r="M73" s="2"/>
      <c r="N73" s="22">
        <f t="shared" si="1"/>
        <v>0</v>
      </c>
      <c r="O73" s="11"/>
      <c r="P73" s="2">
        <f>-1693.78</f>
        <v>-1693.78</v>
      </c>
      <c r="Q73" s="2"/>
      <c r="R73" s="22"/>
      <c r="S73" s="2"/>
      <c r="T73" s="2"/>
      <c r="U73" s="2"/>
      <c r="V73" s="22"/>
      <c r="W73" s="2"/>
      <c r="X73" s="2">
        <f t="shared" si="2"/>
        <v>-1693.78</v>
      </c>
      <c r="Y73" s="2"/>
      <c r="Z73" s="22">
        <f t="shared" si="3"/>
        <v>0</v>
      </c>
    </row>
    <row r="74" spans="1:26" s="24" customFormat="1" hidden="1" outlineLevel="1" x14ac:dyDescent="0.35">
      <c r="A74" s="51"/>
      <c r="B74" s="11" t="str">
        <f>CONCATENATE("          ", "4243", " - ", "SALES RETURN TAXABLE-CARDS")</f>
        <v xml:space="preserve">          4243 - SALES RETURN TAXABLE-CARDS</v>
      </c>
      <c r="C74" s="11"/>
      <c r="D74" s="2">
        <f>-1422.25</f>
        <v>-1422.25</v>
      </c>
      <c r="E74" s="2"/>
      <c r="F74" s="22"/>
      <c r="G74" s="2"/>
      <c r="H74" s="2"/>
      <c r="I74" s="2"/>
      <c r="J74" s="22"/>
      <c r="K74" s="2"/>
      <c r="L74" s="2">
        <f t="shared" si="0"/>
        <v>-1422.25</v>
      </c>
      <c r="M74" s="2"/>
      <c r="N74" s="22">
        <f t="shared" si="1"/>
        <v>0</v>
      </c>
      <c r="O74" s="11"/>
      <c r="P74" s="2">
        <f>-4999.79</f>
        <v>-4999.79</v>
      </c>
      <c r="Q74" s="2"/>
      <c r="R74" s="22"/>
      <c r="S74" s="2"/>
      <c r="T74" s="2"/>
      <c r="U74" s="2"/>
      <c r="V74" s="22"/>
      <c r="W74" s="2"/>
      <c r="X74" s="2">
        <f t="shared" si="2"/>
        <v>-4999.79</v>
      </c>
      <c r="Y74" s="2"/>
      <c r="Z74" s="22">
        <f t="shared" si="3"/>
        <v>0</v>
      </c>
    </row>
    <row r="75" spans="1:26" s="24" customFormat="1" hidden="1" outlineLevel="1" x14ac:dyDescent="0.35">
      <c r="A75" s="51"/>
      <c r="B75" s="11" t="str">
        <f>CONCATENATE("          ", "4244", " - ", "SALES RETURN TAXABLE-ACCESSORI")</f>
        <v xml:space="preserve">          4244 - SALES RETURN TAXABLE-ACCESSORI</v>
      </c>
      <c r="C75" s="11"/>
      <c r="D75" s="2">
        <f>-93.98</f>
        <v>-93.98</v>
      </c>
      <c r="E75" s="2"/>
      <c r="F75" s="22"/>
      <c r="G75" s="2"/>
      <c r="H75" s="2"/>
      <c r="I75" s="2"/>
      <c r="J75" s="22"/>
      <c r="K75" s="2"/>
      <c r="L75" s="2">
        <f t="shared" si="0"/>
        <v>-93.98</v>
      </c>
      <c r="M75" s="2"/>
      <c r="N75" s="22">
        <f t="shared" si="1"/>
        <v>0</v>
      </c>
      <c r="O75" s="11"/>
      <c r="P75" s="2">
        <f>-984.85</f>
        <v>-984.85</v>
      </c>
      <c r="Q75" s="2"/>
      <c r="R75" s="22"/>
      <c r="S75" s="2"/>
      <c r="T75" s="2"/>
      <c r="U75" s="2"/>
      <c r="V75" s="22"/>
      <c r="W75" s="2"/>
      <c r="X75" s="2">
        <f t="shared" si="2"/>
        <v>-984.85</v>
      </c>
      <c r="Y75" s="2"/>
      <c r="Z75" s="22">
        <f t="shared" si="3"/>
        <v>0</v>
      </c>
    </row>
    <row r="76" spans="1:26" s="24" customFormat="1" hidden="1" outlineLevel="1" x14ac:dyDescent="0.35">
      <c r="A76" s="51"/>
      <c r="B76" s="11" t="str">
        <f>CONCATENATE("          ", "4245", " - ", "SALES RETURN TAXABLE-SPECIAL O")</f>
        <v xml:space="preserve">          4245 - SALES RETURN TAXABLE-SPECIAL O</v>
      </c>
      <c r="C76" s="11"/>
      <c r="D76" s="2">
        <f>0</f>
        <v>0</v>
      </c>
      <c r="E76" s="2"/>
      <c r="F76" s="22"/>
      <c r="G76" s="2"/>
      <c r="H76" s="2"/>
      <c r="I76" s="2"/>
      <c r="J76" s="22"/>
      <c r="K76" s="2"/>
      <c r="L76" s="2">
        <f t="shared" si="0"/>
        <v>0</v>
      </c>
      <c r="M76" s="2"/>
      <c r="N76" s="22">
        <f t="shared" si="1"/>
        <v>0</v>
      </c>
      <c r="O76" s="11"/>
      <c r="P76" s="2">
        <f>-11345.61</f>
        <v>-11345.61</v>
      </c>
      <c r="Q76" s="2"/>
      <c r="R76" s="22"/>
      <c r="S76" s="2"/>
      <c r="T76" s="2"/>
      <c r="U76" s="2"/>
      <c r="V76" s="22"/>
      <c r="W76" s="2"/>
      <c r="X76" s="2">
        <f t="shared" si="2"/>
        <v>-11345.61</v>
      </c>
      <c r="Y76" s="2"/>
      <c r="Z76" s="22">
        <f t="shared" si="3"/>
        <v>0</v>
      </c>
    </row>
    <row r="77" spans="1:26" s="24" customFormat="1" hidden="1" outlineLevel="1" x14ac:dyDescent="0.35">
      <c r="A77" s="51"/>
      <c r="B77" s="11" t="str">
        <f>CONCATENATE("          ", "4281", " - ", "SALES RETURN TAXABLE-ELECTRONI")</f>
        <v xml:space="preserve">          4281 - SALES RETURN TAXABLE-ELECTRONI</v>
      </c>
      <c r="C77" s="11"/>
      <c r="D77" s="2">
        <f>-129.99</f>
        <v>-129.99</v>
      </c>
      <c r="E77" s="2"/>
      <c r="F77" s="22"/>
      <c r="G77" s="2"/>
      <c r="H77" s="2"/>
      <c r="I77" s="2"/>
      <c r="J77" s="22"/>
      <c r="K77" s="2"/>
      <c r="L77" s="2">
        <f t="shared" si="0"/>
        <v>-129.99</v>
      </c>
      <c r="M77" s="2"/>
      <c r="N77" s="22">
        <f t="shared" si="1"/>
        <v>0</v>
      </c>
      <c r="O77" s="11"/>
      <c r="P77" s="2">
        <f>-14762.14</f>
        <v>-14762.14</v>
      </c>
      <c r="Q77" s="2"/>
      <c r="R77" s="22"/>
      <c r="S77" s="2"/>
      <c r="T77" s="2"/>
      <c r="U77" s="2"/>
      <c r="V77" s="22"/>
      <c r="W77" s="2"/>
      <c r="X77" s="2">
        <f t="shared" si="2"/>
        <v>-14762.14</v>
      </c>
      <c r="Y77" s="2"/>
      <c r="Z77" s="22">
        <f t="shared" si="3"/>
        <v>0</v>
      </c>
    </row>
    <row r="78" spans="1:26" s="24" customFormat="1" hidden="1" outlineLevel="1" x14ac:dyDescent="0.35">
      <c r="A78" s="51"/>
      <c r="B78" s="11" t="str">
        <f>CONCATENATE("          ", "4282", " - ", "SALES RETURN TAXABLE-COMPUTER")</f>
        <v xml:space="preserve">          4282 - SALES RETURN TAXABLE-COMPUTER</v>
      </c>
      <c r="C78" s="11"/>
      <c r="D78" s="2">
        <f>-4897</f>
        <v>-4897</v>
      </c>
      <c r="E78" s="2"/>
      <c r="F78" s="22"/>
      <c r="G78" s="2"/>
      <c r="H78" s="2"/>
      <c r="I78" s="2"/>
      <c r="J78" s="22"/>
      <c r="K78" s="2"/>
      <c r="L78" s="2">
        <f t="shared" si="0"/>
        <v>-4897</v>
      </c>
      <c r="M78" s="2"/>
      <c r="N78" s="22">
        <f t="shared" si="1"/>
        <v>0</v>
      </c>
      <c r="O78" s="11"/>
      <c r="P78" s="2">
        <f>-96917.01</f>
        <v>-96917.01</v>
      </c>
      <c r="Q78" s="2"/>
      <c r="R78" s="22"/>
      <c r="S78" s="2"/>
      <c r="T78" s="2"/>
      <c r="U78" s="2"/>
      <c r="V78" s="22"/>
      <c r="W78" s="2"/>
      <c r="X78" s="2">
        <f t="shared" si="2"/>
        <v>-96917.01</v>
      </c>
      <c r="Y78" s="2"/>
      <c r="Z78" s="22">
        <f t="shared" si="3"/>
        <v>0</v>
      </c>
    </row>
    <row r="79" spans="1:26" s="24" customFormat="1" hidden="1" outlineLevel="1" x14ac:dyDescent="0.35">
      <c r="A79" s="51"/>
      <c r="B79" s="11" t="str">
        <f>CONCATENATE("          ", "4283", " - ", "SALES RETURN TAXABLE-COMPUTER")</f>
        <v xml:space="preserve">          4283 - SALES RETURN TAXABLE-COMPUTER</v>
      </c>
      <c r="C79" s="11"/>
      <c r="D79" s="2">
        <f>--264.97</f>
        <v>264.97000000000003</v>
      </c>
      <c r="E79" s="2"/>
      <c r="F79" s="22"/>
      <c r="G79" s="2"/>
      <c r="H79" s="2"/>
      <c r="I79" s="2"/>
      <c r="J79" s="22"/>
      <c r="K79" s="2"/>
      <c r="L79" s="2">
        <f t="shared" si="0"/>
        <v>264.97000000000003</v>
      </c>
      <c r="M79" s="2"/>
      <c r="N79" s="22">
        <f t="shared" si="1"/>
        <v>0</v>
      </c>
      <c r="O79" s="11"/>
      <c r="P79" s="2">
        <f>-3146.29</f>
        <v>-3146.29</v>
      </c>
      <c r="Q79" s="2"/>
      <c r="R79" s="22"/>
      <c r="S79" s="2"/>
      <c r="T79" s="2"/>
      <c r="U79" s="2"/>
      <c r="V79" s="22"/>
      <c r="W79" s="2"/>
      <c r="X79" s="2">
        <f t="shared" si="2"/>
        <v>-3146.29</v>
      </c>
      <c r="Y79" s="2"/>
      <c r="Z79" s="22">
        <f t="shared" si="3"/>
        <v>0</v>
      </c>
    </row>
    <row r="80" spans="1:26" s="24" customFormat="1" hidden="1" outlineLevel="1" x14ac:dyDescent="0.35">
      <c r="A80" s="51"/>
      <c r="B80" s="11" t="str">
        <f>CONCATENATE("          ", "4285", " - ", "SALES RETURN TAXABLE-SOFTWARE")</f>
        <v xml:space="preserve">          4285 - SALES RETURN TAXABLE-SOFTWARE</v>
      </c>
      <c r="C80" s="11"/>
      <c r="D80" s="2">
        <f>0</f>
        <v>0</v>
      </c>
      <c r="E80" s="2"/>
      <c r="F80" s="22"/>
      <c r="G80" s="2"/>
      <c r="H80" s="2"/>
      <c r="I80" s="2"/>
      <c r="J80" s="22"/>
      <c r="K80" s="2"/>
      <c r="L80" s="2">
        <f t="shared" si="0"/>
        <v>0</v>
      </c>
      <c r="M80" s="2"/>
      <c r="N80" s="22">
        <f t="shared" si="1"/>
        <v>0</v>
      </c>
      <c r="O80" s="11"/>
      <c r="P80" s="2">
        <f>-691.98</f>
        <v>-691.98</v>
      </c>
      <c r="Q80" s="2"/>
      <c r="R80" s="22"/>
      <c r="S80" s="2"/>
      <c r="T80" s="2"/>
      <c r="U80" s="2"/>
      <c r="V80" s="22"/>
      <c r="W80" s="2"/>
      <c r="X80" s="2">
        <f t="shared" si="2"/>
        <v>-691.98</v>
      </c>
      <c r="Y80" s="2"/>
      <c r="Z80" s="22">
        <f t="shared" si="3"/>
        <v>0</v>
      </c>
    </row>
    <row r="81" spans="1:26" s="24" customFormat="1" hidden="1" outlineLevel="1" x14ac:dyDescent="0.35">
      <c r="A81" s="51"/>
      <c r="B81" s="11" t="str">
        <f>CONCATENATE("          ", "4286", " - ", "SALES RETURN TAXABLE-COMPUTER")</f>
        <v xml:space="preserve">          4286 - SALES RETURN TAXABLE-COMPUTER</v>
      </c>
      <c r="C81" s="11"/>
      <c r="D81" s="2">
        <f>-18.99</f>
        <v>-18.989999999999998</v>
      </c>
      <c r="E81" s="2"/>
      <c r="F81" s="22"/>
      <c r="G81" s="2"/>
      <c r="H81" s="2"/>
      <c r="I81" s="2"/>
      <c r="J81" s="22"/>
      <c r="K81" s="2"/>
      <c r="L81" s="2">
        <f t="shared" si="0"/>
        <v>-18.989999999999998</v>
      </c>
      <c r="M81" s="2"/>
      <c r="N81" s="22">
        <f t="shared" si="1"/>
        <v>0</v>
      </c>
      <c r="O81" s="11"/>
      <c r="P81" s="2">
        <f>-4727.34</f>
        <v>-4727.34</v>
      </c>
      <c r="Q81" s="2"/>
      <c r="R81" s="22"/>
      <c r="S81" s="2"/>
      <c r="T81" s="2"/>
      <c r="U81" s="2"/>
      <c r="V81" s="22"/>
      <c r="W81" s="2"/>
      <c r="X81" s="2">
        <f t="shared" si="2"/>
        <v>-4727.34</v>
      </c>
      <c r="Y81" s="2"/>
      <c r="Z81" s="22">
        <f t="shared" si="3"/>
        <v>0</v>
      </c>
    </row>
    <row r="82" spans="1:26" s="24" customFormat="1" hidden="1" outlineLevel="1" x14ac:dyDescent="0.35">
      <c r="A82" s="51"/>
      <c r="B82" s="11" t="str">
        <f>CONCATENATE("          ", "4301", " - ", "SALES RETURN NON TAXABLE-NEW T")</f>
        <v xml:space="preserve">          4301 - SALES RETURN NON TAXABLE-NEW T</v>
      </c>
      <c r="C82" s="11"/>
      <c r="D82" s="2">
        <f>-256.69</f>
        <v>-256.69</v>
      </c>
      <c r="E82" s="2"/>
      <c r="F82" s="22"/>
      <c r="G82" s="2"/>
      <c r="H82" s="2"/>
      <c r="I82" s="2"/>
      <c r="J82" s="22"/>
      <c r="K82" s="2"/>
      <c r="L82" s="2">
        <f t="shared" si="0"/>
        <v>-256.69</v>
      </c>
      <c r="M82" s="2"/>
      <c r="N82" s="22">
        <f t="shared" si="1"/>
        <v>0</v>
      </c>
      <c r="O82" s="11"/>
      <c r="P82" s="2">
        <f>-3005.79</f>
        <v>-3005.79</v>
      </c>
      <c r="Q82" s="2"/>
      <c r="R82" s="22"/>
      <c r="S82" s="2"/>
      <c r="T82" s="2"/>
      <c r="U82" s="2"/>
      <c r="V82" s="22"/>
      <c r="W82" s="2"/>
      <c r="X82" s="2">
        <f t="shared" si="2"/>
        <v>-3005.79</v>
      </c>
      <c r="Y82" s="2"/>
      <c r="Z82" s="22">
        <f t="shared" si="3"/>
        <v>0</v>
      </c>
    </row>
    <row r="83" spans="1:26" s="24" customFormat="1" hidden="1" outlineLevel="1" x14ac:dyDescent="0.35">
      <c r="A83" s="51"/>
      <c r="B83" s="11" t="str">
        <f>CONCATENATE("          ", "4302", " - ", "SALES RETURN NON TAXABLE-TEXT")</f>
        <v xml:space="preserve">          4302 - SALES RETURN NON TAXABLE-TEXT</v>
      </c>
      <c r="C83" s="11"/>
      <c r="D83" s="2">
        <f>-532.96</f>
        <v>-532.96</v>
      </c>
      <c r="E83" s="2"/>
      <c r="F83" s="22"/>
      <c r="G83" s="2"/>
      <c r="H83" s="2"/>
      <c r="I83" s="2"/>
      <c r="J83" s="22"/>
      <c r="K83" s="2"/>
      <c r="L83" s="2">
        <f t="shared" si="0"/>
        <v>-532.96</v>
      </c>
      <c r="M83" s="2"/>
      <c r="N83" s="22">
        <f t="shared" si="1"/>
        <v>0</v>
      </c>
      <c r="O83" s="11"/>
      <c r="P83" s="2">
        <f>-2003.16</f>
        <v>-2003.16</v>
      </c>
      <c r="Q83" s="2"/>
      <c r="R83" s="22"/>
      <c r="S83" s="2"/>
      <c r="T83" s="2"/>
      <c r="U83" s="2"/>
      <c r="V83" s="22"/>
      <c r="W83" s="2"/>
      <c r="X83" s="2">
        <f t="shared" si="2"/>
        <v>-2003.16</v>
      </c>
      <c r="Y83" s="2"/>
      <c r="Z83" s="22">
        <f t="shared" si="3"/>
        <v>0</v>
      </c>
    </row>
    <row r="84" spans="1:26" s="24" customFormat="1" hidden="1" outlineLevel="1" x14ac:dyDescent="0.35">
      <c r="A84" s="51"/>
      <c r="B84" s="11" t="str">
        <f>CONCATENATE("          ", "4304", " - ", "SALES RETURN NON TAXABLE-DIGIT")</f>
        <v xml:space="preserve">          4304 - SALES RETURN NON TAXABLE-DIGIT</v>
      </c>
      <c r="C84" s="11"/>
      <c r="D84" s="2">
        <f>-10673</f>
        <v>-10673</v>
      </c>
      <c r="E84" s="2"/>
      <c r="F84" s="22"/>
      <c r="G84" s="2"/>
      <c r="H84" s="2"/>
      <c r="I84" s="2"/>
      <c r="J84" s="22"/>
      <c r="K84" s="2"/>
      <c r="L84" s="2">
        <f t="shared" si="0"/>
        <v>-10673</v>
      </c>
      <c r="M84" s="2"/>
      <c r="N84" s="22">
        <f t="shared" si="1"/>
        <v>0</v>
      </c>
      <c r="O84" s="11"/>
      <c r="P84" s="2">
        <f>-25095.77</f>
        <v>-25095.77</v>
      </c>
      <c r="Q84" s="2"/>
      <c r="R84" s="22"/>
      <c r="S84" s="2"/>
      <c r="T84" s="2"/>
      <c r="U84" s="2"/>
      <c r="V84" s="22"/>
      <c r="W84" s="2"/>
      <c r="X84" s="2">
        <f t="shared" si="2"/>
        <v>-25095.77</v>
      </c>
      <c r="Y84" s="2"/>
      <c r="Z84" s="22">
        <f t="shared" si="3"/>
        <v>0</v>
      </c>
    </row>
    <row r="85" spans="1:26" s="24" customFormat="1" hidden="1" outlineLevel="1" x14ac:dyDescent="0.35">
      <c r="A85" s="51"/>
      <c r="B85" s="11" t="str">
        <f>CONCATENATE("          ", "4340", " - ", "SALES RETURN NON TAXABLE-LOGO")</f>
        <v xml:space="preserve">          4340 - SALES RETURN NON TAXABLE-LOGO</v>
      </c>
      <c r="C85" s="11"/>
      <c r="D85" s="2">
        <f>-732.22</f>
        <v>-732.22</v>
      </c>
      <c r="E85" s="2"/>
      <c r="F85" s="22"/>
      <c r="G85" s="2"/>
      <c r="H85" s="2"/>
      <c r="I85" s="2"/>
      <c r="J85" s="22"/>
      <c r="K85" s="2"/>
      <c r="L85" s="2">
        <f t="shared" si="0"/>
        <v>-732.22</v>
      </c>
      <c r="M85" s="2"/>
      <c r="N85" s="22">
        <f t="shared" si="1"/>
        <v>0</v>
      </c>
      <c r="O85" s="11"/>
      <c r="P85" s="2">
        <f>-2215.94</f>
        <v>-2215.94</v>
      </c>
      <c r="Q85" s="2"/>
      <c r="R85" s="22"/>
      <c r="S85" s="2"/>
      <c r="T85" s="2"/>
      <c r="U85" s="2"/>
      <c r="V85" s="22"/>
      <c r="W85" s="2"/>
      <c r="X85" s="2">
        <f t="shared" si="2"/>
        <v>-2215.94</v>
      </c>
      <c r="Y85" s="2"/>
      <c r="Z85" s="22">
        <f t="shared" si="3"/>
        <v>0</v>
      </c>
    </row>
    <row r="86" spans="1:26" s="24" customFormat="1" hidden="1" outlineLevel="1" x14ac:dyDescent="0.35">
      <c r="A86" s="51"/>
      <c r="B86" s="11" t="str">
        <f>CONCATENATE("          ", "4341", " - ", "SALES RETURN NON TAXABLE-LOGO")</f>
        <v xml:space="preserve">          4341 - SALES RETURN NON TAXABLE-LOGO</v>
      </c>
      <c r="C86" s="11"/>
      <c r="D86" s="2">
        <f>-27</f>
        <v>-27</v>
      </c>
      <c r="E86" s="2"/>
      <c r="F86" s="22"/>
      <c r="G86" s="2"/>
      <c r="H86" s="2"/>
      <c r="I86" s="2"/>
      <c r="J86" s="22"/>
      <c r="K86" s="2"/>
      <c r="L86" s="2">
        <f t="shared" si="0"/>
        <v>-27</v>
      </c>
      <c r="M86" s="2"/>
      <c r="N86" s="22">
        <f t="shared" si="1"/>
        <v>0</v>
      </c>
      <c r="O86" s="11"/>
      <c r="P86" s="2">
        <f>-362.64</f>
        <v>-362.64</v>
      </c>
      <c r="Q86" s="2"/>
      <c r="R86" s="22"/>
      <c r="S86" s="2"/>
      <c r="T86" s="2"/>
      <c r="U86" s="2"/>
      <c r="V86" s="22"/>
      <c r="W86" s="2"/>
      <c r="X86" s="2">
        <f t="shared" si="2"/>
        <v>-362.64</v>
      </c>
      <c r="Y86" s="2"/>
      <c r="Z86" s="22">
        <f t="shared" si="3"/>
        <v>0</v>
      </c>
    </row>
    <row r="87" spans="1:26" s="24" customFormat="1" hidden="1" outlineLevel="1" x14ac:dyDescent="0.35">
      <c r="A87" s="51"/>
      <c r="B87" s="11" t="str">
        <f>CONCATENATE("          ", "4342", " - ", "SALES RETURN NON TAXABLE-EVERY")</f>
        <v xml:space="preserve">          4342 - SALES RETURN NON TAXABLE-EVERY</v>
      </c>
      <c r="C87" s="11"/>
      <c r="D87" s="2">
        <f t="shared" ref="D87:D88" si="6">0</f>
        <v>0</v>
      </c>
      <c r="E87" s="2"/>
      <c r="F87" s="22"/>
      <c r="G87" s="2"/>
      <c r="H87" s="2"/>
      <c r="I87" s="2"/>
      <c r="J87" s="22"/>
      <c r="K87" s="2"/>
      <c r="L87" s="2">
        <f t="shared" si="0"/>
        <v>0</v>
      </c>
      <c r="M87" s="2"/>
      <c r="N87" s="22">
        <f t="shared" si="1"/>
        <v>0</v>
      </c>
      <c r="O87" s="11"/>
      <c r="P87" s="2">
        <f>-118.7</f>
        <v>-118.7</v>
      </c>
      <c r="Q87" s="2"/>
      <c r="R87" s="22"/>
      <c r="S87" s="2"/>
      <c r="T87" s="2"/>
      <c r="U87" s="2"/>
      <c r="V87" s="22"/>
      <c r="W87" s="2"/>
      <c r="X87" s="2">
        <f t="shared" si="2"/>
        <v>-118.7</v>
      </c>
      <c r="Y87" s="2"/>
      <c r="Z87" s="22">
        <f t="shared" si="3"/>
        <v>0</v>
      </c>
    </row>
    <row r="88" spans="1:26" s="24" customFormat="1" hidden="1" outlineLevel="1" x14ac:dyDescent="0.35">
      <c r="A88" s="51"/>
      <c r="B88" s="11" t="str">
        <f>CONCATENATE("          ", "4381", " - ", "SALES RETURN NON TAXABLE-ELECT")</f>
        <v xml:space="preserve">          4381 - SALES RETURN NON TAXABLE-ELECT</v>
      </c>
      <c r="C88" s="11"/>
      <c r="D88" s="2">
        <f t="shared" si="6"/>
        <v>0</v>
      </c>
      <c r="E88" s="2"/>
      <c r="F88" s="22"/>
      <c r="G88" s="2"/>
      <c r="H88" s="2"/>
      <c r="I88" s="2"/>
      <c r="J88" s="22"/>
      <c r="K88" s="2"/>
      <c r="L88" s="2">
        <f t="shared" si="0"/>
        <v>0</v>
      </c>
      <c r="M88" s="2"/>
      <c r="N88" s="22">
        <f t="shared" si="1"/>
        <v>0</v>
      </c>
      <c r="O88" s="11"/>
      <c r="P88" s="2">
        <f>-5624.15</f>
        <v>-5624.15</v>
      </c>
      <c r="Q88" s="2"/>
      <c r="R88" s="22"/>
      <c r="S88" s="2"/>
      <c r="T88" s="2"/>
      <c r="U88" s="2"/>
      <c r="V88" s="22"/>
      <c r="W88" s="2"/>
      <c r="X88" s="2">
        <f t="shared" si="2"/>
        <v>-5624.15</v>
      </c>
      <c r="Y88" s="2"/>
      <c r="Z88" s="22">
        <f t="shared" si="3"/>
        <v>0</v>
      </c>
    </row>
    <row r="89" spans="1:26" x14ac:dyDescent="0.3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collapsed="1" x14ac:dyDescent="0.35">
      <c r="A90" s="10"/>
      <c r="B90" s="25" t="s">
        <v>8</v>
      </c>
      <c r="C90" s="10"/>
      <c r="D90" s="4">
        <f>SUM(OSRRefD16x_0)</f>
        <v>882162.34</v>
      </c>
      <c r="E90" s="4"/>
      <c r="F90" s="12">
        <f t="shared" ref="F90:F133" si="7">IF(D$12=0,0,D90/D$12)</f>
        <v>0.67442802705539706</v>
      </c>
      <c r="G90" s="4"/>
      <c r="H90" s="4">
        <f>SUM(OSRRefH16x_0)</f>
        <v>1401210</v>
      </c>
      <c r="I90" s="4"/>
      <c r="J90" s="12">
        <f t="shared" ref="J90:J133" si="8">IF(H$12=0,0,H90/H$12)</f>
        <v>0.65970804878565514</v>
      </c>
      <c r="K90" s="4"/>
      <c r="L90" s="4">
        <f t="shared" ref="L90:L133" si="9">+D90-H90</f>
        <v>-519047.66000000003</v>
      </c>
      <c r="M90" s="4"/>
      <c r="N90" s="12">
        <f t="shared" ref="N90:N133" si="10">IF(H90=0,0,L90/H90)</f>
        <v>-0.3704281727935142</v>
      </c>
      <c r="O90" s="10"/>
      <c r="P90" s="4">
        <f>SUM(OSRRefP16x_0)</f>
        <v>3832752.6100000008</v>
      </c>
      <c r="Q90" s="4"/>
      <c r="R90" s="12">
        <f t="shared" ref="R90:R133" si="11">IF(P$12=0,0,P90/P$12)</f>
        <v>0.72562873038513931</v>
      </c>
      <c r="S90" s="4"/>
      <c r="T90" s="4">
        <f>SUM(OSRRefT16x_0)</f>
        <v>5327208</v>
      </c>
      <c r="U90" s="4"/>
      <c r="V90" s="12">
        <f t="shared" ref="V90:V133" si="12">IF(T$12=0,0,T90/T$12)</f>
        <v>0.64490030523524322</v>
      </c>
      <c r="W90" s="4"/>
      <c r="X90" s="4">
        <f t="shared" ref="X90:X133" si="13">+P90-T90</f>
        <v>-1494455.3899999992</v>
      </c>
      <c r="Y90" s="4"/>
      <c r="Z90" s="12">
        <f t="shared" ref="Z90:Z133" si="14">IF(T90=0,0,X90/T90)</f>
        <v>-0.28053257729001746</v>
      </c>
    </row>
    <row r="91" spans="1:26" s="24" customFormat="1" hidden="1" outlineLevel="1" x14ac:dyDescent="0.35">
      <c r="A91" s="51"/>
      <c r="B91" s="11" t="str">
        <f>CONCATENATE("          ", "5000", " - ", "PURCHASES @ COST")</f>
        <v xml:space="preserve">          5000 - PURCHASES @ COST</v>
      </c>
      <c r="C91" s="11"/>
      <c r="D91" s="2"/>
      <c r="E91" s="2"/>
      <c r="F91" s="22">
        <f t="shared" si="7"/>
        <v>0</v>
      </c>
      <c r="G91" s="2"/>
      <c r="H91" s="2">
        <v>1401210</v>
      </c>
      <c r="I91" s="2"/>
      <c r="J91" s="22">
        <f t="shared" si="8"/>
        <v>0.65970804878565514</v>
      </c>
      <c r="K91" s="2"/>
      <c r="L91" s="2">
        <f t="shared" si="9"/>
        <v>-1401210</v>
      </c>
      <c r="M91" s="2"/>
      <c r="N91" s="22">
        <f t="shared" si="10"/>
        <v>-1</v>
      </c>
      <c r="O91" s="11"/>
      <c r="P91" s="2"/>
      <c r="Q91" s="2"/>
      <c r="R91" s="22">
        <f t="shared" si="11"/>
        <v>0</v>
      </c>
      <c r="S91" s="2"/>
      <c r="T91" s="2">
        <v>5327208</v>
      </c>
      <c r="U91" s="2"/>
      <c r="V91" s="22">
        <f t="shared" si="12"/>
        <v>0.64490030523524322</v>
      </c>
      <c r="W91" s="2"/>
      <c r="X91" s="2">
        <f t="shared" si="13"/>
        <v>-5327208</v>
      </c>
      <c r="Y91" s="2"/>
      <c r="Z91" s="22">
        <f t="shared" si="14"/>
        <v>-1</v>
      </c>
    </row>
    <row r="92" spans="1:26" s="24" customFormat="1" hidden="1" outlineLevel="1" x14ac:dyDescent="0.35">
      <c r="A92" s="51"/>
      <c r="B92" s="11" t="str">
        <f>CONCATENATE("          ", "5001", " - ", "PURCHASES @ COST-NEW TEXT")</f>
        <v xml:space="preserve">          5001 - PURCHASES @ COST-NEW TEXT</v>
      </c>
      <c r="C92" s="11"/>
      <c r="D92" s="2">
        <v>381096.17</v>
      </c>
      <c r="E92" s="2"/>
      <c r="F92" s="22">
        <f t="shared" si="7"/>
        <v>0.29135446662965481</v>
      </c>
      <c r="G92" s="2"/>
      <c r="H92" s="2"/>
      <c r="I92" s="2"/>
      <c r="J92" s="22">
        <f t="shared" si="8"/>
        <v>0</v>
      </c>
      <c r="K92" s="2"/>
      <c r="L92" s="2">
        <f t="shared" si="9"/>
        <v>381096.17</v>
      </c>
      <c r="M92" s="2"/>
      <c r="N92" s="22">
        <f t="shared" si="10"/>
        <v>0</v>
      </c>
      <c r="O92" s="11"/>
      <c r="P92" s="2">
        <v>1659009.21</v>
      </c>
      <c r="Q92" s="2"/>
      <c r="R92" s="22">
        <f t="shared" si="11"/>
        <v>0.31408882055384019</v>
      </c>
      <c r="S92" s="2"/>
      <c r="T92" s="2"/>
      <c r="U92" s="2"/>
      <c r="V92" s="22">
        <f t="shared" si="12"/>
        <v>0</v>
      </c>
      <c r="W92" s="2"/>
      <c r="X92" s="2">
        <f t="shared" si="13"/>
        <v>1659009.21</v>
      </c>
      <c r="Y92" s="2"/>
      <c r="Z92" s="22">
        <f t="shared" si="14"/>
        <v>0</v>
      </c>
    </row>
    <row r="93" spans="1:26" s="24" customFormat="1" hidden="1" outlineLevel="1" x14ac:dyDescent="0.35">
      <c r="A93" s="51"/>
      <c r="B93" s="11" t="str">
        <f>CONCATENATE("          ", "5002", " - ", "PURCHASES @ COST-USED TEXT")</f>
        <v xml:space="preserve">          5002 - PURCHASES @ COST-USED TEXT</v>
      </c>
      <c r="C93" s="11"/>
      <c r="D93" s="2">
        <v>95863.360000000001</v>
      </c>
      <c r="E93" s="2"/>
      <c r="F93" s="22">
        <f t="shared" si="7"/>
        <v>7.3289159852030494E-2</v>
      </c>
      <c r="G93" s="2"/>
      <c r="H93" s="2"/>
      <c r="I93" s="2"/>
      <c r="J93" s="22">
        <f t="shared" si="8"/>
        <v>0</v>
      </c>
      <c r="K93" s="2"/>
      <c r="L93" s="2">
        <f t="shared" si="9"/>
        <v>95863.360000000001</v>
      </c>
      <c r="M93" s="2"/>
      <c r="N93" s="22">
        <f t="shared" si="10"/>
        <v>0</v>
      </c>
      <c r="O93" s="11"/>
      <c r="P93" s="2">
        <v>260336.28</v>
      </c>
      <c r="Q93" s="2"/>
      <c r="R93" s="22">
        <f t="shared" si="11"/>
        <v>4.9287680044027178E-2</v>
      </c>
      <c r="S93" s="2"/>
      <c r="T93" s="2"/>
      <c r="U93" s="2"/>
      <c r="V93" s="22">
        <f t="shared" si="12"/>
        <v>0</v>
      </c>
      <c r="W93" s="2"/>
      <c r="X93" s="2">
        <f t="shared" si="13"/>
        <v>260336.28</v>
      </c>
      <c r="Y93" s="2"/>
      <c r="Z93" s="22">
        <f t="shared" si="14"/>
        <v>0</v>
      </c>
    </row>
    <row r="94" spans="1:26" s="24" customFormat="1" hidden="1" outlineLevel="1" x14ac:dyDescent="0.35">
      <c r="A94" s="51"/>
      <c r="B94" s="11" t="str">
        <f>CONCATENATE("          ", "5003", " - ", "PURCHASES @ COST-RENTAL TEXT")</f>
        <v xml:space="preserve">          5003 - PURCHASES @ COST-RENTAL TEXT</v>
      </c>
      <c r="C94" s="11"/>
      <c r="D94" s="2"/>
      <c r="E94" s="2"/>
      <c r="F94" s="22">
        <f t="shared" si="7"/>
        <v>0</v>
      </c>
      <c r="G94" s="2"/>
      <c r="H94" s="2"/>
      <c r="I94" s="2"/>
      <c r="J94" s="22">
        <f t="shared" si="8"/>
        <v>0</v>
      </c>
      <c r="K94" s="2"/>
      <c r="L94" s="2">
        <f t="shared" si="9"/>
        <v>0</v>
      </c>
      <c r="M94" s="2"/>
      <c r="N94" s="22">
        <f t="shared" si="10"/>
        <v>0</v>
      </c>
      <c r="O94" s="11"/>
      <c r="P94" s="2">
        <v>32.520000000000003</v>
      </c>
      <c r="Q94" s="2"/>
      <c r="R94" s="22">
        <f t="shared" si="11"/>
        <v>6.1567882702778269E-6</v>
      </c>
      <c r="S94" s="2"/>
      <c r="T94" s="2"/>
      <c r="U94" s="2"/>
      <c r="V94" s="22">
        <f t="shared" si="12"/>
        <v>0</v>
      </c>
      <c r="W94" s="2"/>
      <c r="X94" s="2">
        <f t="shared" si="13"/>
        <v>32.520000000000003</v>
      </c>
      <c r="Y94" s="2"/>
      <c r="Z94" s="22">
        <f t="shared" si="14"/>
        <v>0</v>
      </c>
    </row>
    <row r="95" spans="1:26" s="24" customFormat="1" hidden="1" outlineLevel="1" x14ac:dyDescent="0.35">
      <c r="A95" s="51"/>
      <c r="B95" s="11" t="str">
        <f>CONCATENATE("          ", "5004", " - ", "PURCHASES @ COST-DIGITAL TEXT")</f>
        <v xml:space="preserve">          5004 - PURCHASES @ COST-DIGITAL TEXT</v>
      </c>
      <c r="C95" s="11"/>
      <c r="D95" s="2">
        <v>18888.449999999997</v>
      </c>
      <c r="E95" s="2"/>
      <c r="F95" s="22">
        <f t="shared" si="7"/>
        <v>1.444053944496714E-2</v>
      </c>
      <c r="G95" s="2"/>
      <c r="H95" s="2"/>
      <c r="I95" s="2"/>
      <c r="J95" s="22">
        <f t="shared" si="8"/>
        <v>0</v>
      </c>
      <c r="K95" s="2"/>
      <c r="L95" s="2">
        <f t="shared" si="9"/>
        <v>18888.449999999997</v>
      </c>
      <c r="M95" s="2"/>
      <c r="N95" s="22">
        <f t="shared" si="10"/>
        <v>0</v>
      </c>
      <c r="O95" s="11"/>
      <c r="P95" s="2">
        <v>216726.56</v>
      </c>
      <c r="Q95" s="2"/>
      <c r="R95" s="22">
        <f t="shared" si="11"/>
        <v>4.1031351244331597E-2</v>
      </c>
      <c r="S95" s="2"/>
      <c r="T95" s="2"/>
      <c r="U95" s="2"/>
      <c r="V95" s="22">
        <f t="shared" si="12"/>
        <v>0</v>
      </c>
      <c r="W95" s="2"/>
      <c r="X95" s="2">
        <f t="shared" si="13"/>
        <v>216726.56</v>
      </c>
      <c r="Y95" s="2"/>
      <c r="Z95" s="22">
        <f t="shared" si="14"/>
        <v>0</v>
      </c>
    </row>
    <row r="96" spans="1:26" s="24" customFormat="1" hidden="1" outlineLevel="1" x14ac:dyDescent="0.35">
      <c r="A96" s="51"/>
      <c r="B96" s="11" t="str">
        <f>CONCATENATE("          ", "5011", " - ", "PURCHASES @ COST-NO VALUE TEXT")</f>
        <v xml:space="preserve">          5011 - PURCHASES @ COST-NO VALUE TEXT</v>
      </c>
      <c r="C96" s="11"/>
      <c r="D96" s="2"/>
      <c r="E96" s="2"/>
      <c r="F96" s="22">
        <f t="shared" si="7"/>
        <v>0</v>
      </c>
      <c r="G96" s="2"/>
      <c r="H96" s="2"/>
      <c r="I96" s="2"/>
      <c r="J96" s="22">
        <f t="shared" si="8"/>
        <v>0</v>
      </c>
      <c r="K96" s="2"/>
      <c r="L96" s="2">
        <f t="shared" si="9"/>
        <v>0</v>
      </c>
      <c r="M96" s="2"/>
      <c r="N96" s="22">
        <f t="shared" si="10"/>
        <v>0</v>
      </c>
      <c r="O96" s="11"/>
      <c r="P96" s="2">
        <v>67.17</v>
      </c>
      <c r="Q96" s="2"/>
      <c r="R96" s="22">
        <f t="shared" si="11"/>
        <v>1.2716834812870899E-5</v>
      </c>
      <c r="S96" s="2"/>
      <c r="T96" s="2"/>
      <c r="U96" s="2"/>
      <c r="V96" s="22">
        <f t="shared" si="12"/>
        <v>0</v>
      </c>
      <c r="W96" s="2"/>
      <c r="X96" s="2">
        <f t="shared" si="13"/>
        <v>67.17</v>
      </c>
      <c r="Y96" s="2"/>
      <c r="Z96" s="22">
        <f t="shared" si="14"/>
        <v>0</v>
      </c>
    </row>
    <row r="97" spans="1:26" s="24" customFormat="1" hidden="1" outlineLevel="1" x14ac:dyDescent="0.35">
      <c r="A97" s="51"/>
      <c r="B97" s="11" t="str">
        <f>CONCATENATE("          ", "5013", " - ", "PURCHASES @ COST-TRADE BOOKS")</f>
        <v xml:space="preserve">          5013 - PURCHASES @ COST-TRADE BOOKS</v>
      </c>
      <c r="C97" s="11"/>
      <c r="D97" s="2">
        <v>3531.13</v>
      </c>
      <c r="E97" s="2"/>
      <c r="F97" s="22">
        <f t="shared" si="7"/>
        <v>2.6996085994513484E-3</v>
      </c>
      <c r="G97" s="2"/>
      <c r="H97" s="2"/>
      <c r="I97" s="2"/>
      <c r="J97" s="22">
        <f t="shared" si="8"/>
        <v>0</v>
      </c>
      <c r="K97" s="2"/>
      <c r="L97" s="2">
        <f t="shared" si="9"/>
        <v>3531.13</v>
      </c>
      <c r="M97" s="2"/>
      <c r="N97" s="22">
        <f t="shared" si="10"/>
        <v>0</v>
      </c>
      <c r="O97" s="11"/>
      <c r="P97" s="2">
        <v>5656.98</v>
      </c>
      <c r="Q97" s="2"/>
      <c r="R97" s="22">
        <f t="shared" si="11"/>
        <v>1.0709971743295282E-3</v>
      </c>
      <c r="S97" s="2"/>
      <c r="T97" s="2"/>
      <c r="U97" s="2"/>
      <c r="V97" s="22">
        <f t="shared" si="12"/>
        <v>0</v>
      </c>
      <c r="W97" s="2"/>
      <c r="X97" s="2">
        <f t="shared" si="13"/>
        <v>5656.98</v>
      </c>
      <c r="Y97" s="2"/>
      <c r="Z97" s="22">
        <f t="shared" si="14"/>
        <v>0</v>
      </c>
    </row>
    <row r="98" spans="1:26" s="24" customFormat="1" hidden="1" outlineLevel="1" x14ac:dyDescent="0.35">
      <c r="A98" s="51"/>
      <c r="B98" s="11" t="str">
        <f>CONCATENATE("          ", "5014", " - ", "PURCHASES @ COST-REMAINDERS")</f>
        <v xml:space="preserve">          5014 - PURCHASES @ COST-REMAINDERS</v>
      </c>
      <c r="C98" s="11"/>
      <c r="D98" s="2"/>
      <c r="E98" s="2"/>
      <c r="F98" s="22">
        <f t="shared" si="7"/>
        <v>0</v>
      </c>
      <c r="G98" s="2"/>
      <c r="H98" s="2"/>
      <c r="I98" s="2"/>
      <c r="J98" s="22">
        <f t="shared" si="8"/>
        <v>0</v>
      </c>
      <c r="K98" s="2"/>
      <c r="L98" s="2">
        <f t="shared" si="9"/>
        <v>0</v>
      </c>
      <c r="M98" s="2"/>
      <c r="N98" s="22">
        <f t="shared" si="10"/>
        <v>0</v>
      </c>
      <c r="O98" s="11"/>
      <c r="P98" s="2">
        <v>90.41</v>
      </c>
      <c r="Q98" s="2"/>
      <c r="R98" s="22">
        <f t="shared" si="11"/>
        <v>1.7116704413155542E-5</v>
      </c>
      <c r="S98" s="2"/>
      <c r="T98" s="2"/>
      <c r="U98" s="2"/>
      <c r="V98" s="22">
        <f t="shared" si="12"/>
        <v>0</v>
      </c>
      <c r="W98" s="2"/>
      <c r="X98" s="2">
        <f t="shared" si="13"/>
        <v>90.41</v>
      </c>
      <c r="Y98" s="2"/>
      <c r="Z98" s="22">
        <f t="shared" si="14"/>
        <v>0</v>
      </c>
    </row>
    <row r="99" spans="1:26" s="24" customFormat="1" hidden="1" outlineLevel="1" x14ac:dyDescent="0.35">
      <c r="A99" s="51"/>
      <c r="B99" s="11" t="str">
        <f>CONCATENATE("          ", "5018", " - ", "PURCHASES @ COST-STUDY GUIDES")</f>
        <v xml:space="preserve">          5018 - PURCHASES @ COST-STUDY GUIDES</v>
      </c>
      <c r="C99" s="11"/>
      <c r="D99" s="2">
        <v>416</v>
      </c>
      <c r="E99" s="2"/>
      <c r="F99" s="22">
        <f t="shared" si="7"/>
        <v>3.1803903491849946E-4</v>
      </c>
      <c r="G99" s="2"/>
      <c r="H99" s="2"/>
      <c r="I99" s="2"/>
      <c r="J99" s="22">
        <f t="shared" si="8"/>
        <v>0</v>
      </c>
      <c r="K99" s="2"/>
      <c r="L99" s="2">
        <f t="shared" si="9"/>
        <v>416</v>
      </c>
      <c r="M99" s="2"/>
      <c r="N99" s="22">
        <f t="shared" si="10"/>
        <v>0</v>
      </c>
      <c r="O99" s="11"/>
      <c r="P99" s="2">
        <v>522.34</v>
      </c>
      <c r="Q99" s="2"/>
      <c r="R99" s="22">
        <f t="shared" si="11"/>
        <v>9.8891045052180816E-5</v>
      </c>
      <c r="S99" s="2"/>
      <c r="T99" s="2"/>
      <c r="U99" s="2"/>
      <c r="V99" s="22">
        <f t="shared" si="12"/>
        <v>0</v>
      </c>
      <c r="W99" s="2"/>
      <c r="X99" s="2">
        <f t="shared" si="13"/>
        <v>522.34</v>
      </c>
      <c r="Y99" s="2"/>
      <c r="Z99" s="22">
        <f t="shared" si="14"/>
        <v>0</v>
      </c>
    </row>
    <row r="100" spans="1:26" s="24" customFormat="1" hidden="1" outlineLevel="1" x14ac:dyDescent="0.35">
      <c r="A100" s="51"/>
      <c r="B100" s="11" t="str">
        <f>CONCATENATE("          ", "5025", " - ", "PURCHASES @ COST-TEST FORMS")</f>
        <v xml:space="preserve">          5025 - PURCHASES @ COST-TEST FORMS</v>
      </c>
      <c r="C100" s="11"/>
      <c r="D100" s="2"/>
      <c r="E100" s="2"/>
      <c r="F100" s="22">
        <f t="shared" si="7"/>
        <v>0</v>
      </c>
      <c r="G100" s="2"/>
      <c r="H100" s="2"/>
      <c r="I100" s="2"/>
      <c r="J100" s="22">
        <f t="shared" si="8"/>
        <v>0</v>
      </c>
      <c r="K100" s="2"/>
      <c r="L100" s="2">
        <f t="shared" si="9"/>
        <v>0</v>
      </c>
      <c r="M100" s="2"/>
      <c r="N100" s="22">
        <f t="shared" si="10"/>
        <v>0</v>
      </c>
      <c r="O100" s="11"/>
      <c r="P100" s="2">
        <v>599.29</v>
      </c>
      <c r="Q100" s="2"/>
      <c r="R100" s="22">
        <f t="shared" si="11"/>
        <v>1.1345946010131607E-4</v>
      </c>
      <c r="S100" s="2"/>
      <c r="T100" s="2"/>
      <c r="U100" s="2"/>
      <c r="V100" s="22">
        <f t="shared" si="12"/>
        <v>0</v>
      </c>
      <c r="W100" s="2"/>
      <c r="X100" s="2">
        <f t="shared" si="13"/>
        <v>599.29</v>
      </c>
      <c r="Y100" s="2"/>
      <c r="Z100" s="22">
        <f t="shared" si="14"/>
        <v>0</v>
      </c>
    </row>
    <row r="101" spans="1:26" s="24" customFormat="1" hidden="1" outlineLevel="1" x14ac:dyDescent="0.35">
      <c r="A101" s="51"/>
      <c r="B101" s="11" t="str">
        <f>CONCATENATE("          ", "5026", " - ", "PURCHASES @ COST-WRITING INSTR")</f>
        <v xml:space="preserve">          5026 - PURCHASES @ COST-WRITING INSTR</v>
      </c>
      <c r="C101" s="11"/>
      <c r="D101" s="2"/>
      <c r="E101" s="2"/>
      <c r="F101" s="22">
        <f t="shared" si="7"/>
        <v>0</v>
      </c>
      <c r="G101" s="2"/>
      <c r="H101" s="2"/>
      <c r="I101" s="2"/>
      <c r="J101" s="22">
        <f t="shared" si="8"/>
        <v>0</v>
      </c>
      <c r="K101" s="2"/>
      <c r="L101" s="2">
        <f t="shared" si="9"/>
        <v>0</v>
      </c>
      <c r="M101" s="2"/>
      <c r="N101" s="22">
        <f t="shared" si="10"/>
        <v>0</v>
      </c>
      <c r="O101" s="11"/>
      <c r="P101" s="2">
        <v>374.91</v>
      </c>
      <c r="Q101" s="2"/>
      <c r="R101" s="22">
        <f t="shared" si="11"/>
        <v>7.0979135621459415E-5</v>
      </c>
      <c r="S101" s="2"/>
      <c r="T101" s="2"/>
      <c r="U101" s="2"/>
      <c r="V101" s="22">
        <f t="shared" si="12"/>
        <v>0</v>
      </c>
      <c r="W101" s="2"/>
      <c r="X101" s="2">
        <f t="shared" si="13"/>
        <v>374.91</v>
      </c>
      <c r="Y101" s="2"/>
      <c r="Z101" s="22">
        <f t="shared" si="14"/>
        <v>0</v>
      </c>
    </row>
    <row r="102" spans="1:26" s="24" customFormat="1" hidden="1" outlineLevel="1" x14ac:dyDescent="0.35">
      <c r="A102" s="51"/>
      <c r="B102" s="11" t="str">
        <f>CONCATENATE("          ", "5027", " - ", "PURCHASES @ COST-SCHOOL SUPPLI")</f>
        <v xml:space="preserve">          5027 - PURCHASES @ COST-SCHOOL SUPPLI</v>
      </c>
      <c r="C102" s="11"/>
      <c r="D102" s="2"/>
      <c r="E102" s="2"/>
      <c r="F102" s="22">
        <f t="shared" si="7"/>
        <v>0</v>
      </c>
      <c r="G102" s="2"/>
      <c r="H102" s="2"/>
      <c r="I102" s="2"/>
      <c r="J102" s="22">
        <f t="shared" si="8"/>
        <v>0</v>
      </c>
      <c r="K102" s="2"/>
      <c r="L102" s="2">
        <f t="shared" si="9"/>
        <v>0</v>
      </c>
      <c r="M102" s="2"/>
      <c r="N102" s="22">
        <f t="shared" si="10"/>
        <v>0</v>
      </c>
      <c r="O102" s="11"/>
      <c r="P102" s="2">
        <v>19071.350000000002</v>
      </c>
      <c r="Q102" s="2"/>
      <c r="R102" s="22">
        <f t="shared" si="11"/>
        <v>3.6106477238119017E-3</v>
      </c>
      <c r="S102" s="2"/>
      <c r="T102" s="2"/>
      <c r="U102" s="2"/>
      <c r="V102" s="22">
        <f t="shared" si="12"/>
        <v>0</v>
      </c>
      <c r="W102" s="2"/>
      <c r="X102" s="2">
        <f t="shared" si="13"/>
        <v>19071.350000000002</v>
      </c>
      <c r="Y102" s="2"/>
      <c r="Z102" s="22">
        <f t="shared" si="14"/>
        <v>0</v>
      </c>
    </row>
    <row r="103" spans="1:26" s="24" customFormat="1" hidden="1" outlineLevel="1" x14ac:dyDescent="0.35">
      <c r="A103" s="51"/>
      <c r="B103" s="11" t="str">
        <f>CONCATENATE("          ", "5028", " - ", "PURCHASES @ COST-ART/TECH")</f>
        <v xml:space="preserve">          5028 - PURCHASES @ COST-ART/TECH</v>
      </c>
      <c r="C103" s="11"/>
      <c r="D103" s="2"/>
      <c r="E103" s="2"/>
      <c r="F103" s="22">
        <f t="shared" si="7"/>
        <v>0</v>
      </c>
      <c r="G103" s="2"/>
      <c r="H103" s="2"/>
      <c r="I103" s="2"/>
      <c r="J103" s="22">
        <f t="shared" si="8"/>
        <v>0</v>
      </c>
      <c r="K103" s="2"/>
      <c r="L103" s="2">
        <f t="shared" si="9"/>
        <v>0</v>
      </c>
      <c r="M103" s="2"/>
      <c r="N103" s="22">
        <f t="shared" si="10"/>
        <v>0</v>
      </c>
      <c r="O103" s="11"/>
      <c r="P103" s="2">
        <v>41358.449999999997</v>
      </c>
      <c r="Q103" s="2"/>
      <c r="R103" s="22">
        <f t="shared" si="11"/>
        <v>7.8301113110969232E-3</v>
      </c>
      <c r="S103" s="2"/>
      <c r="T103" s="2"/>
      <c r="U103" s="2"/>
      <c r="V103" s="22">
        <f t="shared" si="12"/>
        <v>0</v>
      </c>
      <c r="W103" s="2"/>
      <c r="X103" s="2">
        <f t="shared" si="13"/>
        <v>41358.449999999997</v>
      </c>
      <c r="Y103" s="2"/>
      <c r="Z103" s="22">
        <f t="shared" si="14"/>
        <v>0</v>
      </c>
    </row>
    <row r="104" spans="1:26" s="24" customFormat="1" hidden="1" outlineLevel="1" x14ac:dyDescent="0.35">
      <c r="A104" s="51"/>
      <c r="B104" s="11" t="str">
        <f>CONCATENATE("          ", "5031", " - ", "PURCHASES @ COST-FOOD")</f>
        <v xml:space="preserve">          5031 - PURCHASES @ COST-FOOD</v>
      </c>
      <c r="C104" s="11"/>
      <c r="D104" s="2">
        <v>239.16</v>
      </c>
      <c r="E104" s="2"/>
      <c r="F104" s="22">
        <f t="shared" si="7"/>
        <v>1.8284186440170272E-4</v>
      </c>
      <c r="G104" s="2"/>
      <c r="H104" s="2"/>
      <c r="I104" s="2"/>
      <c r="J104" s="22">
        <f t="shared" si="8"/>
        <v>0</v>
      </c>
      <c r="K104" s="2"/>
      <c r="L104" s="2">
        <f t="shared" si="9"/>
        <v>239.16</v>
      </c>
      <c r="M104" s="2"/>
      <c r="N104" s="22">
        <f t="shared" si="10"/>
        <v>0</v>
      </c>
      <c r="O104" s="11"/>
      <c r="P104" s="2">
        <v>7514.26</v>
      </c>
      <c r="Q104" s="2"/>
      <c r="R104" s="22">
        <f t="shared" si="11"/>
        <v>1.4226232419378186E-3</v>
      </c>
      <c r="S104" s="2"/>
      <c r="T104" s="2"/>
      <c r="U104" s="2"/>
      <c r="V104" s="22">
        <f t="shared" si="12"/>
        <v>0</v>
      </c>
      <c r="W104" s="2"/>
      <c r="X104" s="2">
        <f t="shared" si="13"/>
        <v>7514.26</v>
      </c>
      <c r="Y104" s="2"/>
      <c r="Z104" s="22">
        <f t="shared" si="14"/>
        <v>0</v>
      </c>
    </row>
    <row r="105" spans="1:26" s="24" customFormat="1" hidden="1" outlineLevel="1" x14ac:dyDescent="0.35">
      <c r="A105" s="51"/>
      <c r="B105" s="11" t="str">
        <f>CONCATENATE("          ", "5040", " - ", "PURCHASES @ COST-LOGO CLOTHING")</f>
        <v xml:space="preserve">          5040 - PURCHASES @ COST-LOGO CLOTHING</v>
      </c>
      <c r="C105" s="11"/>
      <c r="D105" s="2">
        <v>34900.79</v>
      </c>
      <c r="E105" s="2"/>
      <c r="F105" s="22">
        <f t="shared" si="7"/>
        <v>2.6682244157435617E-2</v>
      </c>
      <c r="G105" s="2"/>
      <c r="H105" s="2"/>
      <c r="I105" s="2"/>
      <c r="J105" s="22">
        <f t="shared" si="8"/>
        <v>0</v>
      </c>
      <c r="K105" s="2"/>
      <c r="L105" s="2">
        <f t="shared" si="9"/>
        <v>34900.79</v>
      </c>
      <c r="M105" s="2"/>
      <c r="N105" s="22">
        <f t="shared" si="10"/>
        <v>0</v>
      </c>
      <c r="O105" s="11"/>
      <c r="P105" s="2">
        <v>167371.19</v>
      </c>
      <c r="Q105" s="2"/>
      <c r="R105" s="22">
        <f t="shared" si="11"/>
        <v>3.1687237988143956E-2</v>
      </c>
      <c r="S105" s="2"/>
      <c r="T105" s="2"/>
      <c r="U105" s="2"/>
      <c r="V105" s="22">
        <f t="shared" si="12"/>
        <v>0</v>
      </c>
      <c r="W105" s="2"/>
      <c r="X105" s="2">
        <f t="shared" si="13"/>
        <v>167371.19</v>
      </c>
      <c r="Y105" s="2"/>
      <c r="Z105" s="22">
        <f t="shared" si="14"/>
        <v>0</v>
      </c>
    </row>
    <row r="106" spans="1:26" s="24" customFormat="1" hidden="1" outlineLevel="1" x14ac:dyDescent="0.35">
      <c r="A106" s="51"/>
      <c r="B106" s="11" t="str">
        <f>CONCATENATE("          ", "5041", " - ", "PURCHASES @ COST-LOGO GIFTS")</f>
        <v xml:space="preserve">          5041 - PURCHASES @ COST-LOGO GIFTS</v>
      </c>
      <c r="C106" s="11"/>
      <c r="D106" s="2">
        <v>8769.24</v>
      </c>
      <c r="E106" s="2"/>
      <c r="F106" s="22">
        <f t="shared" si="7"/>
        <v>6.7042322754055335E-3</v>
      </c>
      <c r="G106" s="2"/>
      <c r="H106" s="2"/>
      <c r="I106" s="2"/>
      <c r="J106" s="22">
        <f t="shared" si="8"/>
        <v>0</v>
      </c>
      <c r="K106" s="2"/>
      <c r="L106" s="2">
        <f t="shared" si="9"/>
        <v>8769.24</v>
      </c>
      <c r="M106" s="2"/>
      <c r="N106" s="22">
        <f t="shared" si="10"/>
        <v>0</v>
      </c>
      <c r="O106" s="11"/>
      <c r="P106" s="2">
        <v>40971</v>
      </c>
      <c r="Q106" s="2"/>
      <c r="R106" s="22">
        <f t="shared" si="11"/>
        <v>7.7567580633933833E-3</v>
      </c>
      <c r="S106" s="2"/>
      <c r="T106" s="2"/>
      <c r="U106" s="2"/>
      <c r="V106" s="22">
        <f t="shared" si="12"/>
        <v>0</v>
      </c>
      <c r="W106" s="2"/>
      <c r="X106" s="2">
        <f t="shared" si="13"/>
        <v>40971</v>
      </c>
      <c r="Y106" s="2"/>
      <c r="Z106" s="22">
        <f t="shared" si="14"/>
        <v>0</v>
      </c>
    </row>
    <row r="107" spans="1:26" s="24" customFormat="1" hidden="1" outlineLevel="1" x14ac:dyDescent="0.35">
      <c r="A107" s="51"/>
      <c r="B107" s="11" t="str">
        <f>CONCATENATE("          ", "5042", " - ", "PURCHASES @ COST-EVERYDAY GIFT")</f>
        <v xml:space="preserve">          5042 - PURCHASES @ COST-EVERYDAY GIFT</v>
      </c>
      <c r="C107" s="11"/>
      <c r="D107" s="2">
        <v>6760.7</v>
      </c>
      <c r="E107" s="2"/>
      <c r="F107" s="22">
        <f t="shared" si="7"/>
        <v>5.1686694792632193E-3</v>
      </c>
      <c r="G107" s="2"/>
      <c r="H107" s="2"/>
      <c r="I107" s="2"/>
      <c r="J107" s="22">
        <f t="shared" si="8"/>
        <v>0</v>
      </c>
      <c r="K107" s="2"/>
      <c r="L107" s="2">
        <f t="shared" si="9"/>
        <v>6760.7</v>
      </c>
      <c r="M107" s="2"/>
      <c r="N107" s="22">
        <f t="shared" si="10"/>
        <v>0</v>
      </c>
      <c r="O107" s="11"/>
      <c r="P107" s="2">
        <v>17821.98</v>
      </c>
      <c r="Q107" s="2"/>
      <c r="R107" s="22">
        <f t="shared" si="11"/>
        <v>3.3741130817074422E-3</v>
      </c>
      <c r="S107" s="2"/>
      <c r="T107" s="2"/>
      <c r="U107" s="2"/>
      <c r="V107" s="22">
        <f t="shared" si="12"/>
        <v>0</v>
      </c>
      <c r="W107" s="2"/>
      <c r="X107" s="2">
        <f t="shared" si="13"/>
        <v>17821.98</v>
      </c>
      <c r="Y107" s="2"/>
      <c r="Z107" s="22">
        <f t="shared" si="14"/>
        <v>0</v>
      </c>
    </row>
    <row r="108" spans="1:26" s="24" customFormat="1" hidden="1" outlineLevel="1" x14ac:dyDescent="0.35">
      <c r="A108" s="51"/>
      <c r="B108" s="11" t="str">
        <f>CONCATENATE("          ", "5043", " - ", "PURCHASES @ COST-CARDS")</f>
        <v xml:space="preserve">          5043 - PURCHASES @ COST-CARDS</v>
      </c>
      <c r="C108" s="11"/>
      <c r="D108" s="2">
        <v>8743.1</v>
      </c>
      <c r="E108" s="2"/>
      <c r="F108" s="22">
        <f t="shared" si="7"/>
        <v>6.6842478033556077E-3</v>
      </c>
      <c r="G108" s="2"/>
      <c r="H108" s="2"/>
      <c r="I108" s="2"/>
      <c r="J108" s="22">
        <f t="shared" si="8"/>
        <v>0</v>
      </c>
      <c r="K108" s="2"/>
      <c r="L108" s="2">
        <f t="shared" si="9"/>
        <v>8743.1</v>
      </c>
      <c r="M108" s="2"/>
      <c r="N108" s="22">
        <f t="shared" si="10"/>
        <v>0</v>
      </c>
      <c r="O108" s="11"/>
      <c r="P108" s="2">
        <v>55364.33</v>
      </c>
      <c r="Q108" s="2"/>
      <c r="R108" s="22">
        <f t="shared" si="11"/>
        <v>1.0481748386709434E-2</v>
      </c>
      <c r="S108" s="2"/>
      <c r="T108" s="2"/>
      <c r="U108" s="2"/>
      <c r="V108" s="22">
        <f t="shared" si="12"/>
        <v>0</v>
      </c>
      <c r="W108" s="2"/>
      <c r="X108" s="2">
        <f t="shared" si="13"/>
        <v>55364.33</v>
      </c>
      <c r="Y108" s="2"/>
      <c r="Z108" s="22">
        <f t="shared" si="14"/>
        <v>0</v>
      </c>
    </row>
    <row r="109" spans="1:26" s="24" customFormat="1" hidden="1" outlineLevel="1" x14ac:dyDescent="0.35">
      <c r="A109" s="51"/>
      <c r="B109" s="11" t="str">
        <f>CONCATENATE("          ", "5044", " - ", "PURCHASES @ COST-ACCESSORIES")</f>
        <v xml:space="preserve">          5044 - PURCHASES @ COST-ACCESSORIES</v>
      </c>
      <c r="C109" s="11"/>
      <c r="D109" s="2">
        <v>782.5</v>
      </c>
      <c r="E109" s="2"/>
      <c r="F109" s="22">
        <f t="shared" si="7"/>
        <v>5.9823448274934094E-4</v>
      </c>
      <c r="G109" s="2"/>
      <c r="H109" s="2"/>
      <c r="I109" s="2"/>
      <c r="J109" s="22">
        <f t="shared" si="8"/>
        <v>0</v>
      </c>
      <c r="K109" s="2"/>
      <c r="L109" s="2">
        <f t="shared" si="9"/>
        <v>782.5</v>
      </c>
      <c r="M109" s="2"/>
      <c r="N109" s="22">
        <f t="shared" si="10"/>
        <v>0</v>
      </c>
      <c r="O109" s="11"/>
      <c r="P109" s="2">
        <v>1064.83</v>
      </c>
      <c r="Q109" s="2"/>
      <c r="R109" s="22">
        <f t="shared" si="11"/>
        <v>2.0159695122509033E-4</v>
      </c>
      <c r="S109" s="2"/>
      <c r="T109" s="2"/>
      <c r="U109" s="2"/>
      <c r="V109" s="22">
        <f t="shared" si="12"/>
        <v>0</v>
      </c>
      <c r="W109" s="2"/>
      <c r="X109" s="2">
        <f t="shared" si="13"/>
        <v>1064.83</v>
      </c>
      <c r="Y109" s="2"/>
      <c r="Z109" s="22">
        <f t="shared" si="14"/>
        <v>0</v>
      </c>
    </row>
    <row r="110" spans="1:26" s="24" customFormat="1" hidden="1" outlineLevel="1" x14ac:dyDescent="0.35">
      <c r="A110" s="51"/>
      <c r="B110" s="11" t="str">
        <f>CONCATENATE("          ", "5045", " - ", "PURCHASES @ COST-SPECIAL ORDER")</f>
        <v xml:space="preserve">          5045 - PURCHASES @ COST-SPECIAL ORDER</v>
      </c>
      <c r="C110" s="11"/>
      <c r="D110" s="2">
        <v>5855.38</v>
      </c>
      <c r="E110" s="2"/>
      <c r="F110" s="22">
        <f t="shared" si="7"/>
        <v>4.4765370295218347E-3</v>
      </c>
      <c r="G110" s="2"/>
      <c r="H110" s="2"/>
      <c r="I110" s="2"/>
      <c r="J110" s="22">
        <f t="shared" si="8"/>
        <v>0</v>
      </c>
      <c r="K110" s="2"/>
      <c r="L110" s="2">
        <f t="shared" si="9"/>
        <v>5855.38</v>
      </c>
      <c r="M110" s="2"/>
      <c r="N110" s="22">
        <f t="shared" si="10"/>
        <v>0</v>
      </c>
      <c r="O110" s="11"/>
      <c r="P110" s="2">
        <v>93464.38</v>
      </c>
      <c r="Q110" s="2"/>
      <c r="R110" s="22">
        <f t="shared" si="11"/>
        <v>1.7694969202730306E-2</v>
      </c>
      <c r="S110" s="2"/>
      <c r="T110" s="2"/>
      <c r="U110" s="2"/>
      <c r="V110" s="22">
        <f t="shared" si="12"/>
        <v>0</v>
      </c>
      <c r="W110" s="2"/>
      <c r="X110" s="2">
        <f t="shared" si="13"/>
        <v>93464.38</v>
      </c>
      <c r="Y110" s="2"/>
      <c r="Z110" s="22">
        <f t="shared" si="14"/>
        <v>0</v>
      </c>
    </row>
    <row r="111" spans="1:26" s="24" customFormat="1" hidden="1" outlineLevel="1" x14ac:dyDescent="0.35">
      <c r="A111" s="51"/>
      <c r="B111" s="11" t="str">
        <f>CONCATENATE("          ", "5081", " - ", "PURCHASES @ COST-ELECTRONICS")</f>
        <v xml:space="preserve">          5081 - PURCHASES @ COST-ELECTRONICS</v>
      </c>
      <c r="C111" s="11"/>
      <c r="D111" s="2">
        <v>313.26</v>
      </c>
      <c r="E111" s="2"/>
      <c r="F111" s="22">
        <f t="shared" si="7"/>
        <v>2.3949256749656041E-4</v>
      </c>
      <c r="G111" s="2"/>
      <c r="H111" s="2"/>
      <c r="I111" s="2"/>
      <c r="J111" s="22">
        <f t="shared" si="8"/>
        <v>0</v>
      </c>
      <c r="K111" s="2"/>
      <c r="L111" s="2">
        <f t="shared" si="9"/>
        <v>313.26</v>
      </c>
      <c r="M111" s="2"/>
      <c r="N111" s="22">
        <f t="shared" si="10"/>
        <v>0</v>
      </c>
      <c r="O111" s="11"/>
      <c r="P111" s="2">
        <v>25573.769999999997</v>
      </c>
      <c r="Q111" s="2"/>
      <c r="R111" s="22">
        <f t="shared" si="11"/>
        <v>4.8417062473180492E-3</v>
      </c>
      <c r="S111" s="2"/>
      <c r="T111" s="2"/>
      <c r="U111" s="2"/>
      <c r="V111" s="22">
        <f t="shared" si="12"/>
        <v>0</v>
      </c>
      <c r="W111" s="2"/>
      <c r="X111" s="2">
        <f t="shared" si="13"/>
        <v>25573.769999999997</v>
      </c>
      <c r="Y111" s="2"/>
      <c r="Z111" s="22">
        <f t="shared" si="14"/>
        <v>0</v>
      </c>
    </row>
    <row r="112" spans="1:26" s="24" customFormat="1" hidden="1" outlineLevel="1" x14ac:dyDescent="0.35">
      <c r="A112" s="51"/>
      <c r="B112" s="11" t="str">
        <f>CONCATENATE("          ", "5082", " - ", "PURCHASES @ COST-COMPUTER HARD")</f>
        <v xml:space="preserve">          5082 - PURCHASES @ COST-COMPUTER HARD</v>
      </c>
      <c r="C112" s="11"/>
      <c r="D112" s="2">
        <v>98264.71</v>
      </c>
      <c r="E112" s="2"/>
      <c r="F112" s="22">
        <f t="shared" si="7"/>
        <v>7.5125032535928421E-2</v>
      </c>
      <c r="G112" s="2"/>
      <c r="H112" s="2"/>
      <c r="I112" s="2"/>
      <c r="J112" s="22">
        <f t="shared" si="8"/>
        <v>0</v>
      </c>
      <c r="K112" s="2"/>
      <c r="L112" s="2">
        <f t="shared" si="9"/>
        <v>98264.71</v>
      </c>
      <c r="M112" s="2"/>
      <c r="N112" s="22">
        <f t="shared" si="10"/>
        <v>0</v>
      </c>
      <c r="O112" s="11"/>
      <c r="P112" s="2">
        <v>1079201.53</v>
      </c>
      <c r="Q112" s="2"/>
      <c r="R112" s="22">
        <f t="shared" si="11"/>
        <v>0.20431781430411697</v>
      </c>
      <c r="S112" s="2"/>
      <c r="T112" s="2"/>
      <c r="U112" s="2"/>
      <c r="V112" s="22">
        <f t="shared" si="12"/>
        <v>0</v>
      </c>
      <c r="W112" s="2"/>
      <c r="X112" s="2">
        <f t="shared" si="13"/>
        <v>1079201.53</v>
      </c>
      <c r="Y112" s="2"/>
      <c r="Z112" s="22">
        <f t="shared" si="14"/>
        <v>0</v>
      </c>
    </row>
    <row r="113" spans="1:26" s="24" customFormat="1" hidden="1" outlineLevel="1" x14ac:dyDescent="0.35">
      <c r="A113" s="51"/>
      <c r="B113" s="11" t="str">
        <f>CONCATENATE("          ", "5083", " - ", "PURCHASES @ COST-COMPUTER EQUI")</f>
        <v xml:space="preserve">          5083 - PURCHASES @ COST-COMPUTER EQUI</v>
      </c>
      <c r="C113" s="11"/>
      <c r="D113" s="2">
        <v>8829.83</v>
      </c>
      <c r="E113" s="2"/>
      <c r="F113" s="22">
        <f t="shared" si="7"/>
        <v>6.750554355034649E-3</v>
      </c>
      <c r="G113" s="2"/>
      <c r="H113" s="2"/>
      <c r="I113" s="2"/>
      <c r="J113" s="22">
        <f t="shared" si="8"/>
        <v>0</v>
      </c>
      <c r="K113" s="2"/>
      <c r="L113" s="2">
        <f t="shared" si="9"/>
        <v>8829.83</v>
      </c>
      <c r="M113" s="2"/>
      <c r="N113" s="22">
        <f t="shared" si="10"/>
        <v>0</v>
      </c>
      <c r="O113" s="11"/>
      <c r="P113" s="2">
        <v>90556.67</v>
      </c>
      <c r="Q113" s="2"/>
      <c r="R113" s="22">
        <f t="shared" si="11"/>
        <v>1.7144472437005533E-2</v>
      </c>
      <c r="S113" s="2"/>
      <c r="T113" s="2"/>
      <c r="U113" s="2"/>
      <c r="V113" s="22">
        <f t="shared" si="12"/>
        <v>0</v>
      </c>
      <c r="W113" s="2"/>
      <c r="X113" s="2">
        <f t="shared" si="13"/>
        <v>90556.67</v>
      </c>
      <c r="Y113" s="2"/>
      <c r="Z113" s="22">
        <f t="shared" si="14"/>
        <v>0</v>
      </c>
    </row>
    <row r="114" spans="1:26" s="24" customFormat="1" hidden="1" outlineLevel="1" x14ac:dyDescent="0.35">
      <c r="A114" s="51"/>
      <c r="B114" s="11" t="str">
        <f>CONCATENATE("          ", "5085", " - ", "PURCHASES @ COST-SOFTWARE")</f>
        <v xml:space="preserve">          5085 - PURCHASES @ COST-SOFTWARE</v>
      </c>
      <c r="C114" s="11"/>
      <c r="D114" s="2">
        <v>4174.1400000000003</v>
      </c>
      <c r="E114" s="2"/>
      <c r="F114" s="22">
        <f t="shared" si="7"/>
        <v>3.1912006183045802E-3</v>
      </c>
      <c r="G114" s="2"/>
      <c r="H114" s="2"/>
      <c r="I114" s="2"/>
      <c r="J114" s="22">
        <f t="shared" si="8"/>
        <v>0</v>
      </c>
      <c r="K114" s="2"/>
      <c r="L114" s="2">
        <f t="shared" si="9"/>
        <v>4174.1400000000003</v>
      </c>
      <c r="M114" s="2"/>
      <c r="N114" s="22">
        <f t="shared" si="10"/>
        <v>0</v>
      </c>
      <c r="O114" s="11"/>
      <c r="P114" s="2">
        <v>28746.22</v>
      </c>
      <c r="Q114" s="2"/>
      <c r="R114" s="22">
        <f t="shared" si="11"/>
        <v>5.4423244191520873E-3</v>
      </c>
      <c r="S114" s="2"/>
      <c r="T114" s="2"/>
      <c r="U114" s="2"/>
      <c r="V114" s="22">
        <f t="shared" si="12"/>
        <v>0</v>
      </c>
      <c r="W114" s="2"/>
      <c r="X114" s="2">
        <f t="shared" si="13"/>
        <v>28746.22</v>
      </c>
      <c r="Y114" s="2"/>
      <c r="Z114" s="22">
        <f t="shared" si="14"/>
        <v>0</v>
      </c>
    </row>
    <row r="115" spans="1:26" s="24" customFormat="1" hidden="1" outlineLevel="1" x14ac:dyDescent="0.35">
      <c r="A115" s="51"/>
      <c r="B115" s="11" t="str">
        <f>CONCATENATE("          ", "5086", " - ", "PURCHASES @ COST-COMPUTER SUPP")</f>
        <v xml:space="preserve">          5086 - PURCHASES @ COST-COMPUTER SUPP</v>
      </c>
      <c r="C115" s="11"/>
      <c r="D115" s="2">
        <v>21.24</v>
      </c>
      <c r="E115" s="2"/>
      <c r="F115" s="22">
        <f t="shared" si="7"/>
        <v>1.6238339186704154E-5</v>
      </c>
      <c r="G115" s="2"/>
      <c r="H115" s="2"/>
      <c r="I115" s="2"/>
      <c r="J115" s="22">
        <f t="shared" si="8"/>
        <v>0</v>
      </c>
      <c r="K115" s="2"/>
      <c r="L115" s="2">
        <f t="shared" si="9"/>
        <v>21.24</v>
      </c>
      <c r="M115" s="2"/>
      <c r="N115" s="22">
        <f t="shared" si="10"/>
        <v>0</v>
      </c>
      <c r="O115" s="11"/>
      <c r="P115" s="2">
        <v>22739.85</v>
      </c>
      <c r="Q115" s="2"/>
      <c r="R115" s="22">
        <f t="shared" si="11"/>
        <v>4.3051796355435797E-3</v>
      </c>
      <c r="S115" s="2"/>
      <c r="T115" s="2"/>
      <c r="U115" s="2"/>
      <c r="V115" s="22">
        <f t="shared" si="12"/>
        <v>0</v>
      </c>
      <c r="W115" s="2"/>
      <c r="X115" s="2">
        <f t="shared" si="13"/>
        <v>22739.85</v>
      </c>
      <c r="Y115" s="2"/>
      <c r="Z115" s="22">
        <f t="shared" si="14"/>
        <v>0</v>
      </c>
    </row>
    <row r="116" spans="1:26" s="24" customFormat="1" hidden="1" outlineLevel="1" x14ac:dyDescent="0.35">
      <c r="A116" s="51"/>
      <c r="B116" s="11" t="str">
        <f>CONCATENATE("          ", "5200", " - ", "PURCHASES OFFSET")</f>
        <v xml:space="preserve">          5200 - PURCHASES OFFSET</v>
      </c>
      <c r="C116" s="11"/>
      <c r="D116" s="2">
        <v>-502374.21</v>
      </c>
      <c r="E116" s="2"/>
      <c r="F116" s="22">
        <f t="shared" si="7"/>
        <v>-0.3840735791258259</v>
      </c>
      <c r="G116" s="2"/>
      <c r="H116" s="2"/>
      <c r="I116" s="2"/>
      <c r="J116" s="22">
        <f t="shared" si="8"/>
        <v>0</v>
      </c>
      <c r="K116" s="2"/>
      <c r="L116" s="2">
        <f t="shared" si="9"/>
        <v>-502374.21</v>
      </c>
      <c r="M116" s="2"/>
      <c r="N116" s="22">
        <f t="shared" si="10"/>
        <v>0</v>
      </c>
      <c r="O116" s="11"/>
      <c r="P116" s="2">
        <v>-3379047.18</v>
      </c>
      <c r="Q116" s="2"/>
      <c r="R116" s="22">
        <f t="shared" si="11"/>
        <v>-0.63973179712605688</v>
      </c>
      <c r="S116" s="2"/>
      <c r="T116" s="2"/>
      <c r="U116" s="2"/>
      <c r="V116" s="22">
        <f t="shared" si="12"/>
        <v>0</v>
      </c>
      <c r="W116" s="2"/>
      <c r="X116" s="2">
        <f t="shared" si="13"/>
        <v>-3379047.18</v>
      </c>
      <c r="Y116" s="2"/>
      <c r="Z116" s="22">
        <f t="shared" si="14"/>
        <v>0</v>
      </c>
    </row>
    <row r="117" spans="1:26" s="24" customFormat="1" hidden="1" outlineLevel="1" x14ac:dyDescent="0.35">
      <c r="A117" s="51"/>
      <c r="B117" s="11" t="str">
        <f>CONCATENATE("          ", "5300", " - ", "COG$ OFFSET")</f>
        <v xml:space="preserve">          5300 - COG$ OFFSET</v>
      </c>
      <c r="C117" s="11"/>
      <c r="D117" s="2">
        <v>695026</v>
      </c>
      <c r="E117" s="2"/>
      <c r="F117" s="22">
        <f t="shared" si="7"/>
        <v>0.53135913048861783</v>
      </c>
      <c r="G117" s="2"/>
      <c r="H117" s="2"/>
      <c r="I117" s="2"/>
      <c r="J117" s="22">
        <f t="shared" si="8"/>
        <v>0</v>
      </c>
      <c r="K117" s="2"/>
      <c r="L117" s="2">
        <f t="shared" si="9"/>
        <v>695026</v>
      </c>
      <c r="M117" s="2"/>
      <c r="N117" s="22">
        <f t="shared" si="10"/>
        <v>0</v>
      </c>
      <c r="O117" s="11"/>
      <c r="P117" s="2">
        <v>3298180</v>
      </c>
      <c r="Q117" s="2"/>
      <c r="R117" s="22">
        <f t="shared" si="11"/>
        <v>0.62442176928858928</v>
      </c>
      <c r="S117" s="2"/>
      <c r="T117" s="2"/>
      <c r="U117" s="2"/>
      <c r="V117" s="22">
        <f t="shared" si="12"/>
        <v>0</v>
      </c>
      <c r="W117" s="2"/>
      <c r="X117" s="2">
        <f t="shared" si="13"/>
        <v>3298180</v>
      </c>
      <c r="Y117" s="2"/>
      <c r="Z117" s="22">
        <f t="shared" si="14"/>
        <v>0</v>
      </c>
    </row>
    <row r="118" spans="1:26" s="24" customFormat="1" hidden="1" outlineLevel="1" x14ac:dyDescent="0.35">
      <c r="A118" s="51"/>
      <c r="B118" s="11" t="str">
        <f>CONCATENATE("          ", "5501", " - ", "FREIGHT-IN-NEW TEXT")</f>
        <v xml:space="preserve">          5501 - FREIGHT-IN-NEW TEXT</v>
      </c>
      <c r="C118" s="11"/>
      <c r="D118" s="2">
        <v>7155.21</v>
      </c>
      <c r="E118" s="2"/>
      <c r="F118" s="22">
        <f t="shared" si="7"/>
        <v>5.4702790457672994E-3</v>
      </c>
      <c r="G118" s="2"/>
      <c r="H118" s="2"/>
      <c r="I118" s="2"/>
      <c r="J118" s="22">
        <f t="shared" si="8"/>
        <v>0</v>
      </c>
      <c r="K118" s="2"/>
      <c r="L118" s="2">
        <f t="shared" si="9"/>
        <v>7155.21</v>
      </c>
      <c r="M118" s="2"/>
      <c r="N118" s="22">
        <f t="shared" si="10"/>
        <v>0</v>
      </c>
      <c r="O118" s="11"/>
      <c r="P118" s="2">
        <v>44618.79</v>
      </c>
      <c r="Q118" s="2"/>
      <c r="R118" s="22">
        <f t="shared" si="11"/>
        <v>8.4473690930501107E-3</v>
      </c>
      <c r="S118" s="2"/>
      <c r="T118" s="2"/>
      <c r="U118" s="2"/>
      <c r="V118" s="22">
        <f t="shared" si="12"/>
        <v>0</v>
      </c>
      <c r="W118" s="2"/>
      <c r="X118" s="2">
        <f t="shared" si="13"/>
        <v>44618.79</v>
      </c>
      <c r="Y118" s="2"/>
      <c r="Z118" s="22">
        <f t="shared" si="14"/>
        <v>0</v>
      </c>
    </row>
    <row r="119" spans="1:26" s="24" customFormat="1" hidden="1" outlineLevel="1" x14ac:dyDescent="0.35">
      <c r="A119" s="51"/>
      <c r="B119" s="11" t="str">
        <f>CONCATENATE("          ", "5502", " - ", "FREIGHT-IN-USED TEXT")</f>
        <v xml:space="preserve">          5502 - FREIGHT-IN-USED TEXT</v>
      </c>
      <c r="C119" s="11"/>
      <c r="D119" s="2">
        <v>2129.7399999999998</v>
      </c>
      <c r="E119" s="2"/>
      <c r="F119" s="22">
        <f t="shared" si="7"/>
        <v>1.6282222457387619E-3</v>
      </c>
      <c r="G119" s="2"/>
      <c r="H119" s="2"/>
      <c r="I119" s="2"/>
      <c r="J119" s="22">
        <f t="shared" si="8"/>
        <v>0</v>
      </c>
      <c r="K119" s="2"/>
      <c r="L119" s="2">
        <f t="shared" si="9"/>
        <v>2129.7399999999998</v>
      </c>
      <c r="M119" s="2"/>
      <c r="N119" s="22">
        <f t="shared" si="10"/>
        <v>0</v>
      </c>
      <c r="O119" s="11"/>
      <c r="P119" s="2">
        <v>15652.310000000001</v>
      </c>
      <c r="Q119" s="2"/>
      <c r="R119" s="22">
        <f t="shared" si="11"/>
        <v>2.9633443607242414E-3</v>
      </c>
      <c r="S119" s="2"/>
      <c r="T119" s="2"/>
      <c r="U119" s="2"/>
      <c r="V119" s="22">
        <f t="shared" si="12"/>
        <v>0</v>
      </c>
      <c r="W119" s="2"/>
      <c r="X119" s="2">
        <f t="shared" si="13"/>
        <v>15652.310000000001</v>
      </c>
      <c r="Y119" s="2"/>
      <c r="Z119" s="22">
        <f t="shared" si="14"/>
        <v>0</v>
      </c>
    </row>
    <row r="120" spans="1:26" s="24" customFormat="1" hidden="1" outlineLevel="1" x14ac:dyDescent="0.35">
      <c r="A120" s="51"/>
      <c r="B120" s="11" t="str">
        <f>CONCATENATE("          ", "5504", " - ", "FREIGHT-IN-DIGITAL TEXT")</f>
        <v xml:space="preserve">          5504 - FREIGHT-IN-DIGITAL TEXT</v>
      </c>
      <c r="C120" s="11"/>
      <c r="D120" s="2"/>
      <c r="E120" s="2"/>
      <c r="F120" s="22">
        <f t="shared" si="7"/>
        <v>0</v>
      </c>
      <c r="G120" s="2"/>
      <c r="H120" s="2"/>
      <c r="I120" s="2"/>
      <c r="J120" s="22">
        <f t="shared" si="8"/>
        <v>0</v>
      </c>
      <c r="K120" s="2"/>
      <c r="L120" s="2">
        <f t="shared" si="9"/>
        <v>0</v>
      </c>
      <c r="M120" s="2"/>
      <c r="N120" s="22">
        <f t="shared" si="10"/>
        <v>0</v>
      </c>
      <c r="O120" s="11"/>
      <c r="P120" s="2">
        <v>21.98</v>
      </c>
      <c r="Q120" s="2"/>
      <c r="R120" s="22">
        <f t="shared" si="11"/>
        <v>4.1613224532812618E-6</v>
      </c>
      <c r="S120" s="2"/>
      <c r="T120" s="2"/>
      <c r="U120" s="2"/>
      <c r="V120" s="22">
        <f t="shared" si="12"/>
        <v>0</v>
      </c>
      <c r="W120" s="2"/>
      <c r="X120" s="2">
        <f t="shared" si="13"/>
        <v>21.98</v>
      </c>
      <c r="Y120" s="2"/>
      <c r="Z120" s="22">
        <f t="shared" si="14"/>
        <v>0</v>
      </c>
    </row>
    <row r="121" spans="1:26" s="24" customFormat="1" hidden="1" outlineLevel="1" x14ac:dyDescent="0.35">
      <c r="A121" s="51"/>
      <c r="B121" s="11" t="str">
        <f>CONCATENATE("          ", "5513", " - ", "FREIGHT-IN-TRADE BOOKS")</f>
        <v xml:space="preserve">          5513 - FREIGHT-IN-TRADE BOOKS</v>
      </c>
      <c r="C121" s="11"/>
      <c r="D121" s="2">
        <v>7.06</v>
      </c>
      <c r="E121" s="2"/>
      <c r="F121" s="22">
        <f t="shared" si="7"/>
        <v>5.3974893906841488E-6</v>
      </c>
      <c r="G121" s="2"/>
      <c r="H121" s="2"/>
      <c r="I121" s="2"/>
      <c r="J121" s="22">
        <f t="shared" si="8"/>
        <v>0</v>
      </c>
      <c r="K121" s="2"/>
      <c r="L121" s="2">
        <f t="shared" si="9"/>
        <v>7.06</v>
      </c>
      <c r="M121" s="2"/>
      <c r="N121" s="22">
        <f t="shared" si="10"/>
        <v>0</v>
      </c>
      <c r="O121" s="11"/>
      <c r="P121" s="2">
        <v>33.520000000000003</v>
      </c>
      <c r="Q121" s="2"/>
      <c r="R121" s="22">
        <f t="shared" si="11"/>
        <v>6.3461114028201962E-6</v>
      </c>
      <c r="S121" s="2"/>
      <c r="T121" s="2"/>
      <c r="U121" s="2"/>
      <c r="V121" s="22">
        <f t="shared" si="12"/>
        <v>0</v>
      </c>
      <c r="W121" s="2"/>
      <c r="X121" s="2">
        <f t="shared" si="13"/>
        <v>33.520000000000003</v>
      </c>
      <c r="Y121" s="2"/>
      <c r="Z121" s="22">
        <f t="shared" si="14"/>
        <v>0</v>
      </c>
    </row>
    <row r="122" spans="1:26" s="24" customFormat="1" hidden="1" outlineLevel="1" x14ac:dyDescent="0.35">
      <c r="A122" s="51"/>
      <c r="B122" s="11" t="str">
        <f>CONCATENATE("          ", "5525", " - ", "FREIGHT-IN-TEST FORMS")</f>
        <v xml:space="preserve">          5525 - FREIGHT-IN-TEST FORMS</v>
      </c>
      <c r="C122" s="11"/>
      <c r="D122" s="2"/>
      <c r="E122" s="2"/>
      <c r="F122" s="22">
        <f t="shared" si="7"/>
        <v>0</v>
      </c>
      <c r="G122" s="2"/>
      <c r="H122" s="2"/>
      <c r="I122" s="2"/>
      <c r="J122" s="22">
        <f t="shared" si="8"/>
        <v>0</v>
      </c>
      <c r="K122" s="2"/>
      <c r="L122" s="2">
        <f t="shared" si="9"/>
        <v>0</v>
      </c>
      <c r="M122" s="2"/>
      <c r="N122" s="22">
        <f t="shared" si="10"/>
        <v>0</v>
      </c>
      <c r="O122" s="11"/>
      <c r="P122" s="2">
        <v>48.14</v>
      </c>
      <c r="Q122" s="2"/>
      <c r="R122" s="22">
        <f t="shared" si="11"/>
        <v>9.1140156005896249E-6</v>
      </c>
      <c r="S122" s="2"/>
      <c r="T122" s="2"/>
      <c r="U122" s="2"/>
      <c r="V122" s="22">
        <f t="shared" si="12"/>
        <v>0</v>
      </c>
      <c r="W122" s="2"/>
      <c r="X122" s="2">
        <f t="shared" si="13"/>
        <v>48.14</v>
      </c>
      <c r="Y122" s="2"/>
      <c r="Z122" s="22">
        <f t="shared" si="14"/>
        <v>0</v>
      </c>
    </row>
    <row r="123" spans="1:26" s="24" customFormat="1" hidden="1" outlineLevel="1" x14ac:dyDescent="0.35">
      <c r="A123" s="51"/>
      <c r="B123" s="11" t="str">
        <f>CONCATENATE("          ", "5527", " - ", "FREIGHT-IN-SCHOOL SUPPLIES")</f>
        <v xml:space="preserve">          5527 - FREIGHT-IN-SCHOOL SUPPLIES</v>
      </c>
      <c r="C123" s="11"/>
      <c r="D123" s="2"/>
      <c r="E123" s="2"/>
      <c r="F123" s="22">
        <f t="shared" si="7"/>
        <v>0</v>
      </c>
      <c r="G123" s="2"/>
      <c r="H123" s="2"/>
      <c r="I123" s="2"/>
      <c r="J123" s="22">
        <f t="shared" si="8"/>
        <v>0</v>
      </c>
      <c r="K123" s="2"/>
      <c r="L123" s="2">
        <f t="shared" si="9"/>
        <v>0</v>
      </c>
      <c r="M123" s="2"/>
      <c r="N123" s="22">
        <f t="shared" si="10"/>
        <v>0</v>
      </c>
      <c r="O123" s="11"/>
      <c r="P123" s="2">
        <v>177.5</v>
      </c>
      <c r="Q123" s="2"/>
      <c r="R123" s="22">
        <f t="shared" si="11"/>
        <v>3.3604856026270422E-5</v>
      </c>
      <c r="S123" s="2"/>
      <c r="T123" s="2"/>
      <c r="U123" s="2"/>
      <c r="V123" s="22">
        <f t="shared" si="12"/>
        <v>0</v>
      </c>
      <c r="W123" s="2"/>
      <c r="X123" s="2">
        <f t="shared" si="13"/>
        <v>177.5</v>
      </c>
      <c r="Y123" s="2"/>
      <c r="Z123" s="22">
        <f t="shared" si="14"/>
        <v>0</v>
      </c>
    </row>
    <row r="124" spans="1:26" s="24" customFormat="1" hidden="1" outlineLevel="1" x14ac:dyDescent="0.35">
      <c r="A124" s="51"/>
      <c r="B124" s="11" t="str">
        <f>CONCATENATE("          ", "5528", " - ", "FREIGHT-IN-ART/TECH")</f>
        <v xml:space="preserve">          5528 - FREIGHT-IN-ART/TECH</v>
      </c>
      <c r="C124" s="11"/>
      <c r="D124" s="2">
        <v>48.53</v>
      </c>
      <c r="E124" s="2"/>
      <c r="F124" s="22">
        <f t="shared" si="7"/>
        <v>3.7102005684122062E-5</v>
      </c>
      <c r="G124" s="2"/>
      <c r="H124" s="2"/>
      <c r="I124" s="2"/>
      <c r="J124" s="22">
        <f t="shared" si="8"/>
        <v>0</v>
      </c>
      <c r="K124" s="2"/>
      <c r="L124" s="2">
        <f t="shared" si="9"/>
        <v>48.53</v>
      </c>
      <c r="M124" s="2"/>
      <c r="N124" s="22">
        <f t="shared" si="10"/>
        <v>0</v>
      </c>
      <c r="O124" s="11"/>
      <c r="P124" s="2">
        <v>338.74</v>
      </c>
      <c r="Q124" s="2"/>
      <c r="R124" s="22">
        <f t="shared" si="11"/>
        <v>6.4131317917401944E-5</v>
      </c>
      <c r="S124" s="2"/>
      <c r="T124" s="2"/>
      <c r="U124" s="2"/>
      <c r="V124" s="22">
        <f t="shared" si="12"/>
        <v>0</v>
      </c>
      <c r="W124" s="2"/>
      <c r="X124" s="2">
        <f t="shared" si="13"/>
        <v>338.74</v>
      </c>
      <c r="Y124" s="2"/>
      <c r="Z124" s="22">
        <f t="shared" si="14"/>
        <v>0</v>
      </c>
    </row>
    <row r="125" spans="1:26" s="24" customFormat="1" hidden="1" outlineLevel="1" x14ac:dyDescent="0.35">
      <c r="A125" s="51"/>
      <c r="B125" s="11" t="str">
        <f>CONCATENATE("          ", "5540", " - ", "FREIGHT-IN-LOGO CLOTHING")</f>
        <v xml:space="preserve">          5540 - FREIGHT-IN-LOGO CLOTHING</v>
      </c>
      <c r="C125" s="11"/>
      <c r="D125" s="2">
        <v>347.67</v>
      </c>
      <c r="E125" s="2"/>
      <c r="F125" s="22">
        <f t="shared" si="7"/>
        <v>2.6579959439931421E-4</v>
      </c>
      <c r="G125" s="2"/>
      <c r="H125" s="2"/>
      <c r="I125" s="2"/>
      <c r="J125" s="22">
        <f t="shared" si="8"/>
        <v>0</v>
      </c>
      <c r="K125" s="2"/>
      <c r="L125" s="2">
        <f t="shared" si="9"/>
        <v>347.67</v>
      </c>
      <c r="M125" s="2"/>
      <c r="N125" s="22">
        <f t="shared" si="10"/>
        <v>0</v>
      </c>
      <c r="O125" s="11"/>
      <c r="P125" s="2">
        <v>5790.63</v>
      </c>
      <c r="Q125" s="2"/>
      <c r="R125" s="22">
        <f t="shared" si="11"/>
        <v>1.0963002109938159E-3</v>
      </c>
      <c r="S125" s="2"/>
      <c r="T125" s="2"/>
      <c r="U125" s="2"/>
      <c r="V125" s="22">
        <f t="shared" si="12"/>
        <v>0</v>
      </c>
      <c r="W125" s="2"/>
      <c r="X125" s="2">
        <f t="shared" si="13"/>
        <v>5790.63</v>
      </c>
      <c r="Y125" s="2"/>
      <c r="Z125" s="22">
        <f t="shared" si="14"/>
        <v>0</v>
      </c>
    </row>
    <row r="126" spans="1:26" s="24" customFormat="1" hidden="1" outlineLevel="1" x14ac:dyDescent="0.35">
      <c r="A126" s="51"/>
      <c r="B126" s="11" t="str">
        <f>CONCATENATE("          ", "5541", " - ", "FREIGHT-IN-LOGO GIFTS")</f>
        <v xml:space="preserve">          5541 - FREIGHT-IN-LOGO GIFTS</v>
      </c>
      <c r="C126" s="11"/>
      <c r="D126" s="2">
        <v>182.93</v>
      </c>
      <c r="E126" s="2"/>
      <c r="F126" s="22">
        <f t="shared" si="7"/>
        <v>1.3985307850394497E-4</v>
      </c>
      <c r="G126" s="2"/>
      <c r="H126" s="2"/>
      <c r="I126" s="2"/>
      <c r="J126" s="22">
        <f t="shared" si="8"/>
        <v>0</v>
      </c>
      <c r="K126" s="2"/>
      <c r="L126" s="2">
        <f t="shared" si="9"/>
        <v>182.93</v>
      </c>
      <c r="M126" s="2"/>
      <c r="N126" s="22">
        <f t="shared" si="10"/>
        <v>0</v>
      </c>
      <c r="O126" s="11"/>
      <c r="P126" s="2">
        <v>1702.87</v>
      </c>
      <c r="Q126" s="2"/>
      <c r="R126" s="22">
        <f t="shared" si="11"/>
        <v>3.2239268271242317E-4</v>
      </c>
      <c r="S126" s="2"/>
      <c r="T126" s="2"/>
      <c r="U126" s="2"/>
      <c r="V126" s="22">
        <f t="shared" si="12"/>
        <v>0</v>
      </c>
      <c r="W126" s="2"/>
      <c r="X126" s="2">
        <f t="shared" si="13"/>
        <v>1702.87</v>
      </c>
      <c r="Y126" s="2"/>
      <c r="Z126" s="22">
        <f t="shared" si="14"/>
        <v>0</v>
      </c>
    </row>
    <row r="127" spans="1:26" s="24" customFormat="1" hidden="1" outlineLevel="1" x14ac:dyDescent="0.35">
      <c r="A127" s="51"/>
      <c r="B127" s="11" t="str">
        <f>CONCATENATE("          ", "5542", " - ", "FREIGHT-IN-EVERYDAY GIFTS")</f>
        <v xml:space="preserve">          5542 - FREIGHT-IN-EVERYDAY GIFTS</v>
      </c>
      <c r="C127" s="11"/>
      <c r="D127" s="2">
        <v>187.38</v>
      </c>
      <c r="E127" s="2"/>
      <c r="F127" s="22">
        <f t="shared" si="7"/>
        <v>1.4325517875727988E-4</v>
      </c>
      <c r="G127" s="2"/>
      <c r="H127" s="2"/>
      <c r="I127" s="2"/>
      <c r="J127" s="22">
        <f t="shared" si="8"/>
        <v>0</v>
      </c>
      <c r="K127" s="2"/>
      <c r="L127" s="2">
        <f t="shared" si="9"/>
        <v>187.38</v>
      </c>
      <c r="M127" s="2"/>
      <c r="N127" s="22">
        <f t="shared" si="10"/>
        <v>0</v>
      </c>
      <c r="O127" s="11"/>
      <c r="P127" s="2">
        <v>383.93</v>
      </c>
      <c r="Q127" s="2"/>
      <c r="R127" s="22">
        <f t="shared" si="11"/>
        <v>7.268683027699157E-5</v>
      </c>
      <c r="S127" s="2"/>
      <c r="T127" s="2"/>
      <c r="U127" s="2"/>
      <c r="V127" s="22">
        <f t="shared" si="12"/>
        <v>0</v>
      </c>
      <c r="W127" s="2"/>
      <c r="X127" s="2">
        <f t="shared" si="13"/>
        <v>383.93</v>
      </c>
      <c r="Y127" s="2"/>
      <c r="Z127" s="22">
        <f t="shared" si="14"/>
        <v>0</v>
      </c>
    </row>
    <row r="128" spans="1:26" s="24" customFormat="1" hidden="1" outlineLevel="1" x14ac:dyDescent="0.35">
      <c r="A128" s="51"/>
      <c r="B128" s="11" t="str">
        <f>CONCATENATE("          ", "5543", " - ", "FREIGHT-IN-CARDS")</f>
        <v xml:space="preserve">          5543 - FREIGHT-IN-CARDS</v>
      </c>
      <c r="C128" s="11"/>
      <c r="D128" s="2">
        <v>1992.81</v>
      </c>
      <c r="E128" s="2"/>
      <c r="F128" s="22">
        <f t="shared" si="7"/>
        <v>1.5235369451344588E-3</v>
      </c>
      <c r="G128" s="2"/>
      <c r="H128" s="2"/>
      <c r="I128" s="2"/>
      <c r="J128" s="22">
        <f t="shared" si="8"/>
        <v>0</v>
      </c>
      <c r="K128" s="2"/>
      <c r="L128" s="2">
        <f t="shared" si="9"/>
        <v>1992.81</v>
      </c>
      <c r="M128" s="2"/>
      <c r="N128" s="22">
        <f t="shared" si="10"/>
        <v>0</v>
      </c>
      <c r="O128" s="11"/>
      <c r="P128" s="2">
        <v>9110.5300000000007</v>
      </c>
      <c r="Q128" s="2"/>
      <c r="R128" s="22">
        <f t="shared" si="11"/>
        <v>1.7248340787212255E-3</v>
      </c>
      <c r="S128" s="2"/>
      <c r="T128" s="2"/>
      <c r="U128" s="2"/>
      <c r="V128" s="22">
        <f t="shared" si="12"/>
        <v>0</v>
      </c>
      <c r="W128" s="2"/>
      <c r="X128" s="2">
        <f t="shared" si="13"/>
        <v>9110.5300000000007</v>
      </c>
      <c r="Y128" s="2"/>
      <c r="Z128" s="22">
        <f t="shared" si="14"/>
        <v>0</v>
      </c>
    </row>
    <row r="129" spans="1:26" s="24" customFormat="1" hidden="1" outlineLevel="1" x14ac:dyDescent="0.35">
      <c r="A129" s="51"/>
      <c r="B129" s="11" t="str">
        <f>CONCATENATE("          ", "5545", " - ", "FREIGHT-IN-SPECIAL ORDERS")</f>
        <v xml:space="preserve">          5545 - FREIGHT-IN-SPECIAL ORDERS</v>
      </c>
      <c r="C129" s="11"/>
      <c r="D129" s="2"/>
      <c r="E129" s="2"/>
      <c r="F129" s="22">
        <f t="shared" si="7"/>
        <v>0</v>
      </c>
      <c r="G129" s="2"/>
      <c r="H129" s="2"/>
      <c r="I129" s="2"/>
      <c r="J129" s="22">
        <f t="shared" si="8"/>
        <v>0</v>
      </c>
      <c r="K129" s="2"/>
      <c r="L129" s="2">
        <f t="shared" si="9"/>
        <v>0</v>
      </c>
      <c r="M129" s="2"/>
      <c r="N129" s="22">
        <f t="shared" si="10"/>
        <v>0</v>
      </c>
      <c r="O129" s="11"/>
      <c r="P129" s="2">
        <v>1113.79</v>
      </c>
      <c r="Q129" s="2"/>
      <c r="R129" s="22">
        <f t="shared" si="11"/>
        <v>2.1086621179436472E-4</v>
      </c>
      <c r="S129" s="2"/>
      <c r="T129" s="2"/>
      <c r="U129" s="2"/>
      <c r="V129" s="22">
        <f t="shared" si="12"/>
        <v>0</v>
      </c>
      <c r="W129" s="2"/>
      <c r="X129" s="2">
        <f t="shared" si="13"/>
        <v>1113.79</v>
      </c>
      <c r="Y129" s="2"/>
      <c r="Z129" s="22">
        <f t="shared" si="14"/>
        <v>0</v>
      </c>
    </row>
    <row r="130" spans="1:26" s="24" customFormat="1" hidden="1" outlineLevel="1" x14ac:dyDescent="0.35">
      <c r="A130" s="51"/>
      <c r="B130" s="11" t="str">
        <f>CONCATENATE("          ", "5581", " - ", "FREIGHT-IN-ELECTRONICS")</f>
        <v xml:space="preserve">          5581 - FREIGHT-IN-ELECTRONICS</v>
      </c>
      <c r="C130" s="11"/>
      <c r="D130" s="2"/>
      <c r="E130" s="2"/>
      <c r="F130" s="22">
        <f t="shared" si="7"/>
        <v>0</v>
      </c>
      <c r="G130" s="2"/>
      <c r="H130" s="2"/>
      <c r="I130" s="2"/>
      <c r="J130" s="22">
        <f t="shared" si="8"/>
        <v>0</v>
      </c>
      <c r="K130" s="2"/>
      <c r="L130" s="2">
        <f t="shared" si="9"/>
        <v>0</v>
      </c>
      <c r="M130" s="2"/>
      <c r="N130" s="22">
        <f t="shared" si="10"/>
        <v>0</v>
      </c>
      <c r="O130" s="11"/>
      <c r="P130" s="2">
        <v>31</v>
      </c>
      <c r="Q130" s="2"/>
      <c r="R130" s="22">
        <f t="shared" si="11"/>
        <v>5.8690171088134259E-6</v>
      </c>
      <c r="S130" s="2"/>
      <c r="T130" s="2"/>
      <c r="U130" s="2"/>
      <c r="V130" s="22">
        <f t="shared" si="12"/>
        <v>0</v>
      </c>
      <c r="W130" s="2"/>
      <c r="X130" s="2">
        <f t="shared" si="13"/>
        <v>31</v>
      </c>
      <c r="Y130" s="2"/>
      <c r="Z130" s="22">
        <f t="shared" si="14"/>
        <v>0</v>
      </c>
    </row>
    <row r="131" spans="1:26" s="24" customFormat="1" hidden="1" outlineLevel="1" x14ac:dyDescent="0.35">
      <c r="A131" s="51"/>
      <c r="B131" s="11" t="str">
        <f>CONCATENATE("          ", "5582", " - ", "FREIGHT-IN-COMPUTER HARDWARE")</f>
        <v xml:space="preserve">          5582 - FREIGHT-IN-COMPUTER HARDWARE</v>
      </c>
      <c r="C131" s="11"/>
      <c r="D131" s="2"/>
      <c r="E131" s="2"/>
      <c r="F131" s="22">
        <f t="shared" si="7"/>
        <v>0</v>
      </c>
      <c r="G131" s="2"/>
      <c r="H131" s="2"/>
      <c r="I131" s="2"/>
      <c r="J131" s="22">
        <f t="shared" si="8"/>
        <v>0</v>
      </c>
      <c r="K131" s="2"/>
      <c r="L131" s="2">
        <f t="shared" si="9"/>
        <v>0</v>
      </c>
      <c r="M131" s="2"/>
      <c r="N131" s="22">
        <f t="shared" si="10"/>
        <v>0</v>
      </c>
      <c r="O131" s="11"/>
      <c r="P131" s="2">
        <v>94</v>
      </c>
      <c r="Q131" s="2"/>
      <c r="R131" s="22">
        <f t="shared" si="11"/>
        <v>1.7796374458982648E-5</v>
      </c>
      <c r="S131" s="2"/>
      <c r="T131" s="2"/>
      <c r="U131" s="2"/>
      <c r="V131" s="22">
        <f t="shared" si="12"/>
        <v>0</v>
      </c>
      <c r="W131" s="2"/>
      <c r="X131" s="2">
        <f t="shared" si="13"/>
        <v>94</v>
      </c>
      <c r="Y131" s="2"/>
      <c r="Z131" s="22">
        <f t="shared" si="14"/>
        <v>0</v>
      </c>
    </row>
    <row r="132" spans="1:26" s="24" customFormat="1" hidden="1" outlineLevel="1" x14ac:dyDescent="0.35">
      <c r="A132" s="51"/>
      <c r="B132" s="11" t="str">
        <f>CONCATENATE("          ", "5583", " - ", "FREIGHT-IN-COMPUTER EQUIPMENT")</f>
        <v xml:space="preserve">          5583 - FREIGHT-IN-COMPUTER EQUIPMENT</v>
      </c>
      <c r="C132" s="11"/>
      <c r="D132" s="2">
        <v>10.06</v>
      </c>
      <c r="E132" s="2"/>
      <c r="F132" s="22">
        <f t="shared" si="7"/>
        <v>7.6910401232694815E-6</v>
      </c>
      <c r="G132" s="2"/>
      <c r="H132" s="2"/>
      <c r="I132" s="2"/>
      <c r="J132" s="22">
        <f t="shared" si="8"/>
        <v>0</v>
      </c>
      <c r="K132" s="2"/>
      <c r="L132" s="2">
        <f t="shared" si="9"/>
        <v>10.06</v>
      </c>
      <c r="M132" s="2"/>
      <c r="N132" s="22">
        <f t="shared" si="10"/>
        <v>0</v>
      </c>
      <c r="O132" s="11"/>
      <c r="P132" s="2">
        <v>242.46</v>
      </c>
      <c r="Q132" s="2"/>
      <c r="R132" s="22">
        <f t="shared" si="11"/>
        <v>4.5903286716222688E-5</v>
      </c>
      <c r="S132" s="2"/>
      <c r="T132" s="2"/>
      <c r="U132" s="2"/>
      <c r="V132" s="22">
        <f t="shared" si="12"/>
        <v>0</v>
      </c>
      <c r="W132" s="2"/>
      <c r="X132" s="2">
        <f t="shared" si="13"/>
        <v>242.46</v>
      </c>
      <c r="Y132" s="2"/>
      <c r="Z132" s="22">
        <f t="shared" si="14"/>
        <v>0</v>
      </c>
    </row>
    <row r="133" spans="1:26" s="24" customFormat="1" hidden="1" outlineLevel="1" x14ac:dyDescent="0.35">
      <c r="A133" s="51"/>
      <c r="B133" s="11" t="str">
        <f>CONCATENATE("          ", "5586", " - ", "FREIGHT-IN-COMPUTER SUPPLIES")</f>
        <v xml:space="preserve">          5586 - FREIGHT-IN-COMPUTER SUPPLIES</v>
      </c>
      <c r="C133" s="11"/>
      <c r="D133" s="2"/>
      <c r="E133" s="2"/>
      <c r="F133" s="22">
        <f t="shared" si="7"/>
        <v>0</v>
      </c>
      <c r="G133" s="2"/>
      <c r="H133" s="2"/>
      <c r="I133" s="2"/>
      <c r="J133" s="22">
        <f t="shared" si="8"/>
        <v>0</v>
      </c>
      <c r="K133" s="2"/>
      <c r="L133" s="2">
        <f t="shared" si="9"/>
        <v>0</v>
      </c>
      <c r="M133" s="2"/>
      <c r="N133" s="22">
        <f t="shared" si="10"/>
        <v>0</v>
      </c>
      <c r="O133" s="11"/>
      <c r="P133" s="2">
        <v>24.12</v>
      </c>
      <c r="Q133" s="2"/>
      <c r="R133" s="22">
        <f t="shared" si="11"/>
        <v>4.5664739569219304E-6</v>
      </c>
      <c r="S133" s="2"/>
      <c r="T133" s="2"/>
      <c r="U133" s="2"/>
      <c r="V133" s="22">
        <f t="shared" si="12"/>
        <v>0</v>
      </c>
      <c r="W133" s="2"/>
      <c r="X133" s="2">
        <f t="shared" si="13"/>
        <v>24.12</v>
      </c>
      <c r="Y133" s="2"/>
      <c r="Z133" s="22">
        <f t="shared" si="14"/>
        <v>0</v>
      </c>
    </row>
    <row r="134" spans="1:26" x14ac:dyDescent="0.35">
      <c r="A134" s="9"/>
      <c r="B134" s="10"/>
      <c r="C134" s="10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O134" s="10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3" customFormat="1" x14ac:dyDescent="0.35">
      <c r="A135" s="10"/>
      <c r="B135" s="26" t="s">
        <v>6</v>
      </c>
      <c r="C135" s="26"/>
      <c r="D135" s="19">
        <f>D12-D90</f>
        <v>425853.2000000003</v>
      </c>
      <c r="E135" s="13"/>
      <c r="F135" s="21">
        <f>IF(D$12=0,0,D135/D$12)</f>
        <v>0.32557197294460294</v>
      </c>
      <c r="G135" s="13"/>
      <c r="H135" s="19">
        <f>H12-H90</f>
        <v>722775.00000000047</v>
      </c>
      <c r="I135" s="13"/>
      <c r="J135" s="21">
        <f>IF(H$12=0,0,H135/H$12)</f>
        <v>0.34029195121434486</v>
      </c>
      <c r="K135" s="16"/>
      <c r="L135" s="19">
        <f>+D135-H135</f>
        <v>-296921.80000000016</v>
      </c>
      <c r="M135" s="16"/>
      <c r="N135" s="21">
        <f>IF(H135=0,0,L135/H135)</f>
        <v>-0.4108080661339974</v>
      </c>
      <c r="O135" s="25"/>
      <c r="P135" s="19">
        <f>P12-P90</f>
        <v>1449222.109999998</v>
      </c>
      <c r="Q135" s="13"/>
      <c r="R135" s="21">
        <f>IF(P$12=0,0,P135/P$12)</f>
        <v>0.27437126961486069</v>
      </c>
      <c r="S135" s="13"/>
      <c r="T135" s="19">
        <f>T12-T90</f>
        <v>2933306</v>
      </c>
      <c r="U135" s="13"/>
      <c r="V135" s="21">
        <f>IF(T$12=0,0,T135/T$12)</f>
        <v>0.35509969476475678</v>
      </c>
      <c r="W135" s="16"/>
      <c r="X135" s="19">
        <f>+P135-T135</f>
        <v>-1484083.890000002</v>
      </c>
      <c r="Y135" s="16"/>
      <c r="Z135" s="21">
        <f>IF(T135=0,0,X135/T135)</f>
        <v>-0.5059424042360402</v>
      </c>
    </row>
    <row r="136" spans="1:26" x14ac:dyDescent="0.35">
      <c r="A136" s="9"/>
      <c r="B136" s="10"/>
      <c r="C136" s="9"/>
      <c r="D136" s="1"/>
      <c r="E136" s="1"/>
      <c r="F136" s="5"/>
      <c r="G136" s="1"/>
      <c r="H136" s="1"/>
      <c r="I136" s="1"/>
      <c r="J136" s="5"/>
      <c r="K136" s="1"/>
      <c r="L136" s="1"/>
      <c r="M136" s="1"/>
      <c r="N136" s="5"/>
      <c r="O136" s="36"/>
      <c r="P136" s="1"/>
      <c r="Q136" s="1"/>
      <c r="R136" s="5"/>
      <c r="S136" s="1"/>
      <c r="T136" s="1"/>
      <c r="U136" s="1"/>
      <c r="V136" s="5"/>
      <c r="W136" s="1"/>
      <c r="X136" s="1"/>
      <c r="Y136" s="1"/>
      <c r="Z136" s="5"/>
    </row>
    <row r="137" spans="1:26" s="23" customFormat="1" x14ac:dyDescent="0.35">
      <c r="A137" s="10"/>
      <c r="B137" s="25" t="s">
        <v>9</v>
      </c>
      <c r="C137" s="10"/>
      <c r="D137" s="20">
        <f>SUM(OSRRefD22x_0)</f>
        <v>313228.53000000014</v>
      </c>
      <c r="E137" s="20"/>
      <c r="F137" s="30">
        <f t="shared" ref="F137:F148" si="15">IF(D$12=0,0,D137/D$12)</f>
        <v>0.23946850814937573</v>
      </c>
      <c r="G137" s="20"/>
      <c r="H137" s="20">
        <f>SUM(OSRRefH22x_0)</f>
        <v>466151.06611613079</v>
      </c>
      <c r="I137" s="20"/>
      <c r="J137" s="30">
        <f t="shared" ref="J137:J148" si="16">IF(H$12=0,0,H137/H$12)</f>
        <v>0.21947003680163971</v>
      </c>
      <c r="K137" s="4"/>
      <c r="L137" s="20">
        <f t="shared" ref="L137:L148" si="17">+D137-H137</f>
        <v>-152922.53611613065</v>
      </c>
      <c r="M137" s="4"/>
      <c r="N137" s="30">
        <f t="shared" ref="N137:N148" si="18">IF(H137=0,0,L137/H137)</f>
        <v>-0.32805360157222835</v>
      </c>
      <c r="O137" s="10"/>
      <c r="P137" s="20">
        <f>SUM(OSRRefP22x_0)</f>
        <v>2000880.1299999994</v>
      </c>
      <c r="Q137" s="20"/>
      <c r="R137" s="30">
        <f t="shared" ref="R137:R148" si="19">IF(P$12=0,0,P137/P$12)</f>
        <v>0.37881289405338159</v>
      </c>
      <c r="S137" s="20"/>
      <c r="T137" s="20">
        <f>SUM(OSRRefT22x_0)</f>
        <v>2809557.6873813812</v>
      </c>
      <c r="U137" s="20"/>
      <c r="V137" s="30">
        <f t="shared" ref="V137:V148" si="20">IF(T$12=0,0,T137/T$12)</f>
        <v>0.34011899106779325</v>
      </c>
      <c r="W137" s="4"/>
      <c r="X137" s="20">
        <f t="shared" ref="X137:X148" si="21">+P137-T137</f>
        <v>-808677.55738138175</v>
      </c>
      <c r="Y137" s="4"/>
      <c r="Z137" s="30">
        <f t="shared" ref="Z137:Z148" si="22">IF(T137=0,0,X137/T137)</f>
        <v>-0.28783091410203476</v>
      </c>
    </row>
    <row r="138" spans="1:26" s="28" customFormat="1" outlineLevel="1" collapsed="1" x14ac:dyDescent="0.35">
      <c r="A138" s="27"/>
      <c r="B138" s="14" t="str">
        <f>CONCATENATE("     ","*Benefits                                         ")</f>
        <v xml:space="preserve">     *Benefits                                         </v>
      </c>
      <c r="C138" s="14"/>
      <c r="D138" s="1">
        <f>SUM(OSRRefD22_0x_0)</f>
        <v>54338.799999999996</v>
      </c>
      <c r="E138" s="1"/>
      <c r="F138" s="5">
        <f t="shared" si="15"/>
        <v>4.1542931515935952E-2</v>
      </c>
      <c r="G138" s="1"/>
      <c r="H138" s="1">
        <f>SUM(OSRRefH22_0x_0)</f>
        <v>55045.635641515364</v>
      </c>
      <c r="I138" s="1"/>
      <c r="J138" s="5">
        <f t="shared" si="16"/>
        <v>2.5916207337394262E-2</v>
      </c>
      <c r="K138" s="1"/>
      <c r="L138" s="1">
        <f t="shared" si="17"/>
        <v>-706.83564151536848</v>
      </c>
      <c r="M138" s="1"/>
      <c r="N138" s="5">
        <f t="shared" si="18"/>
        <v>-1.2840902521657389E-2</v>
      </c>
      <c r="O138" s="14"/>
      <c r="P138" s="1">
        <f>SUM(OSRRefP22_0x_0)</f>
        <v>340022.27999999997</v>
      </c>
      <c r="Q138" s="1"/>
      <c r="R138" s="5">
        <f t="shared" si="19"/>
        <v>6.4374083183798364E-2</v>
      </c>
      <c r="S138" s="1"/>
      <c r="T138" s="1">
        <f>SUM(OSRRefT22_0x_0)</f>
        <v>341525.10882276529</v>
      </c>
      <c r="U138" s="1"/>
      <c r="V138" s="5">
        <f t="shared" si="20"/>
        <v>4.1344292718681341E-2</v>
      </c>
      <c r="W138" s="1"/>
      <c r="X138" s="1">
        <f t="shared" si="21"/>
        <v>-1502.8288227653247</v>
      </c>
      <c r="Y138" s="1"/>
      <c r="Z138" s="5">
        <f t="shared" si="22"/>
        <v>-4.4003465160894475E-3</v>
      </c>
    </row>
    <row r="139" spans="1:26" s="24" customFormat="1" hidden="1" outlineLevel="2" x14ac:dyDescent="0.35">
      <c r="A139" s="29"/>
      <c r="B139" s="11" t="str">
        <f>CONCATENATE("          ", "6111", " - ", "F.I.C.A.")</f>
        <v xml:space="preserve">          6111 - F.I.C.A.</v>
      </c>
      <c r="C139" s="11"/>
      <c r="D139" s="7">
        <v>8380.7099999999991</v>
      </c>
      <c r="E139" s="2"/>
      <c r="F139" s="6">
        <f t="shared" si="15"/>
        <v>6.4071945200284072E-3</v>
      </c>
      <c r="G139" s="2"/>
      <c r="H139" s="7">
        <v>9786.6801978865351</v>
      </c>
      <c r="I139" s="2"/>
      <c r="J139" s="6">
        <f t="shared" si="16"/>
        <v>4.6076974168304079E-3</v>
      </c>
      <c r="K139" s="2"/>
      <c r="L139" s="7">
        <f t="shared" si="17"/>
        <v>-1405.970197886536</v>
      </c>
      <c r="M139" s="2"/>
      <c r="N139" s="6">
        <f t="shared" si="18"/>
        <v>-0.14366160633205935</v>
      </c>
      <c r="O139" s="11"/>
      <c r="P139" s="7">
        <v>67288.31</v>
      </c>
      <c r="Q139" s="2"/>
      <c r="R139" s="6">
        <f t="shared" si="19"/>
        <v>1.2739233632681986E-2</v>
      </c>
      <c r="S139" s="2"/>
      <c r="T139" s="7">
        <v>64559.314079636533</v>
      </c>
      <c r="U139" s="2"/>
      <c r="V139" s="6">
        <f t="shared" si="20"/>
        <v>7.8154112540256612E-3</v>
      </c>
      <c r="W139" s="2"/>
      <c r="X139" s="7">
        <f t="shared" si="21"/>
        <v>2728.9959203634644</v>
      </c>
      <c r="Y139" s="2"/>
      <c r="Z139" s="6">
        <f t="shared" si="22"/>
        <v>4.227114180607832E-2</v>
      </c>
    </row>
    <row r="140" spans="1:26" s="24" customFormat="1" hidden="1" outlineLevel="2" x14ac:dyDescent="0.35">
      <c r="A140" s="29"/>
      <c r="B140" s="11" t="str">
        <f>CONCATENATE("          ", "6112", " - ", "COMPENSATION INSURANCE")</f>
        <v xml:space="preserve">          6112 - COMPENSATION INSURANCE</v>
      </c>
      <c r="C140" s="11"/>
      <c r="D140" s="7">
        <v>850.35</v>
      </c>
      <c r="E140" s="2"/>
      <c r="F140" s="6">
        <f t="shared" si="15"/>
        <v>6.5010695515131255E-4</v>
      </c>
      <c r="G140" s="2"/>
      <c r="H140" s="7">
        <v>5143.1212806634612</v>
      </c>
      <c r="I140" s="2"/>
      <c r="J140" s="6">
        <f t="shared" si="16"/>
        <v>2.4214489653474297E-3</v>
      </c>
      <c r="K140" s="2"/>
      <c r="L140" s="7">
        <f t="shared" si="17"/>
        <v>-4292.7712806634609</v>
      </c>
      <c r="M140" s="2"/>
      <c r="N140" s="6">
        <f t="shared" si="18"/>
        <v>-0.83466265841386</v>
      </c>
      <c r="O140" s="11"/>
      <c r="P140" s="7">
        <v>17518.289999999997</v>
      </c>
      <c r="Q140" s="2"/>
      <c r="R140" s="6">
        <f t="shared" si="19"/>
        <v>3.3166175395856496E-3</v>
      </c>
      <c r="S140" s="2"/>
      <c r="T140" s="7">
        <v>24875.703113163458</v>
      </c>
      <c r="U140" s="2"/>
      <c r="V140" s="6">
        <f t="shared" si="20"/>
        <v>3.0113989411752655E-3</v>
      </c>
      <c r="W140" s="2"/>
      <c r="X140" s="7">
        <f t="shared" si="21"/>
        <v>-7357.4131131634604</v>
      </c>
      <c r="Y140" s="2"/>
      <c r="Z140" s="6">
        <f t="shared" si="22"/>
        <v>-0.29576704142566101</v>
      </c>
    </row>
    <row r="141" spans="1:26" s="24" customFormat="1" hidden="1" outlineLevel="2" x14ac:dyDescent="0.35">
      <c r="A141" s="29"/>
      <c r="B141" s="11" t="str">
        <f>CONCATENATE("          ", "6113", " - ", "GROUP INSURANCE")</f>
        <v xml:space="preserve">          6113 - GROUP INSURANCE</v>
      </c>
      <c r="C141" s="11"/>
      <c r="D141" s="7">
        <v>22674.14</v>
      </c>
      <c r="E141" s="2"/>
      <c r="F141" s="6">
        <f t="shared" si="15"/>
        <v>1.7334763469247463E-2</v>
      </c>
      <c r="G141" s="2"/>
      <c r="H141" s="7">
        <v>19167.307692307681</v>
      </c>
      <c r="I141" s="2"/>
      <c r="J141" s="6">
        <f t="shared" si="16"/>
        <v>9.0242198943531506E-3</v>
      </c>
      <c r="K141" s="2"/>
      <c r="L141" s="7">
        <f t="shared" si="17"/>
        <v>3506.8323076923189</v>
      </c>
      <c r="M141" s="2"/>
      <c r="N141" s="6">
        <f t="shared" si="18"/>
        <v>0.1829590448479991</v>
      </c>
      <c r="O141" s="11"/>
      <c r="P141" s="7">
        <v>117286.62000000001</v>
      </c>
      <c r="Q141" s="2"/>
      <c r="R141" s="6">
        <f t="shared" si="19"/>
        <v>2.2205070303706421E-2</v>
      </c>
      <c r="S141" s="2"/>
      <c r="T141" s="7">
        <v>130437.30769230766</v>
      </c>
      <c r="U141" s="2"/>
      <c r="V141" s="6">
        <f t="shared" si="20"/>
        <v>1.5790459006825443E-2</v>
      </c>
      <c r="W141" s="2"/>
      <c r="X141" s="7">
        <f t="shared" si="21"/>
        <v>-13150.687692307649</v>
      </c>
      <c r="Y141" s="2"/>
      <c r="Z141" s="6">
        <f t="shared" si="22"/>
        <v>-0.10081998720281153</v>
      </c>
    </row>
    <row r="142" spans="1:26" s="24" customFormat="1" hidden="1" outlineLevel="2" x14ac:dyDescent="0.35">
      <c r="A142" s="29"/>
      <c r="B142" s="11" t="str">
        <f>CONCATENATE("          ", "6114", " - ", "STATE UNEMPLOYMENT INSURANCE")</f>
        <v xml:space="preserve">          6114 - STATE UNEMPLOYMENT INSURANCE</v>
      </c>
      <c r="C142" s="11"/>
      <c r="D142" s="7">
        <v>710.58</v>
      </c>
      <c r="E142" s="2"/>
      <c r="F142" s="6">
        <f t="shared" si="15"/>
        <v>5.4325042652016186E-4</v>
      </c>
      <c r="G142" s="2"/>
      <c r="H142" s="7">
        <v>727.89110084999993</v>
      </c>
      <c r="I142" s="2"/>
      <c r="J142" s="6">
        <f t="shared" si="16"/>
        <v>3.4270067860648723E-4</v>
      </c>
      <c r="K142" s="2"/>
      <c r="L142" s="7">
        <f t="shared" si="17"/>
        <v>-17.311100849999889</v>
      </c>
      <c r="M142" s="2"/>
      <c r="N142" s="6">
        <f t="shared" si="18"/>
        <v>-2.37825422371351E-2</v>
      </c>
      <c r="O142" s="11"/>
      <c r="P142" s="7">
        <v>2775.54</v>
      </c>
      <c r="Q142" s="2"/>
      <c r="R142" s="6">
        <f t="shared" si="19"/>
        <v>5.2547392729664576E-4</v>
      </c>
      <c r="S142" s="2"/>
      <c r="T142" s="7">
        <v>3522.2438178500001</v>
      </c>
      <c r="U142" s="2"/>
      <c r="V142" s="6">
        <f t="shared" si="20"/>
        <v>4.2639523616205967E-4</v>
      </c>
      <c r="W142" s="2"/>
      <c r="X142" s="7">
        <f t="shared" si="21"/>
        <v>-746.70381785000018</v>
      </c>
      <c r="Y142" s="2"/>
      <c r="Z142" s="6">
        <f t="shared" si="22"/>
        <v>-0.21199662955354207</v>
      </c>
    </row>
    <row r="143" spans="1:26" s="24" customFormat="1" hidden="1" outlineLevel="2" x14ac:dyDescent="0.35">
      <c r="A143" s="29"/>
      <c r="B143" s="11" t="str">
        <f>CONCATENATE("          ", "6115", " - ", "P.E.R.S.")</f>
        <v xml:space="preserve">          6115 - P.E.R.S.</v>
      </c>
      <c r="C143" s="11"/>
      <c r="D143" s="7">
        <v>9771.85</v>
      </c>
      <c r="E143" s="2"/>
      <c r="F143" s="6">
        <f t="shared" si="15"/>
        <v>7.4707445754046611E-3</v>
      </c>
      <c r="G143" s="2"/>
      <c r="H143" s="7">
        <v>6170.0612676923074</v>
      </c>
      <c r="I143" s="2"/>
      <c r="J143" s="6">
        <f t="shared" si="16"/>
        <v>2.9049457824289276E-3</v>
      </c>
      <c r="K143" s="2"/>
      <c r="L143" s="7">
        <f t="shared" si="17"/>
        <v>3601.788732307693</v>
      </c>
      <c r="M143" s="2"/>
      <c r="N143" s="6">
        <f t="shared" si="18"/>
        <v>0.58375250682961444</v>
      </c>
      <c r="O143" s="11"/>
      <c r="P143" s="7">
        <v>50936.630000000005</v>
      </c>
      <c r="Q143" s="2"/>
      <c r="R143" s="6">
        <f t="shared" si="19"/>
        <v>9.6434823527515885E-3</v>
      </c>
      <c r="S143" s="2"/>
      <c r="T143" s="7">
        <v>37948.779117692306</v>
      </c>
      <c r="U143" s="2"/>
      <c r="V143" s="6">
        <f t="shared" si="20"/>
        <v>4.593997312720771E-3</v>
      </c>
      <c r="W143" s="2"/>
      <c r="X143" s="7">
        <f t="shared" si="21"/>
        <v>12987.850882307699</v>
      </c>
      <c r="Y143" s="2"/>
      <c r="Z143" s="6">
        <f t="shared" si="22"/>
        <v>0.34224687023600614</v>
      </c>
    </row>
    <row r="144" spans="1:26" s="24" customFormat="1" hidden="1" outlineLevel="2" x14ac:dyDescent="0.35">
      <c r="A144" s="29"/>
      <c r="B144" s="11" t="str">
        <f>CONCATENATE("          ", "6116", " - ", "EDUCATIONAL BENEFITS")</f>
        <v xml:space="preserve">          6116 - EDUCATIONAL BENEFITS</v>
      </c>
      <c r="C144" s="11"/>
      <c r="D144" s="7"/>
      <c r="E144" s="2"/>
      <c r="F144" s="6">
        <f t="shared" si="15"/>
        <v>0</v>
      </c>
      <c r="G144" s="2"/>
      <c r="H144" s="7">
        <v>0</v>
      </c>
      <c r="I144" s="2"/>
      <c r="J144" s="6">
        <f t="shared" si="16"/>
        <v>0</v>
      </c>
      <c r="K144" s="2"/>
      <c r="L144" s="7">
        <f t="shared" si="17"/>
        <v>0</v>
      </c>
      <c r="M144" s="2"/>
      <c r="N144" s="6">
        <f t="shared" si="18"/>
        <v>0</v>
      </c>
      <c r="O144" s="11"/>
      <c r="P144" s="7">
        <v>0</v>
      </c>
      <c r="Q144" s="2"/>
      <c r="R144" s="6">
        <f t="shared" si="19"/>
        <v>0</v>
      </c>
      <c r="S144" s="2"/>
      <c r="T144" s="7">
        <v>0</v>
      </c>
      <c r="U144" s="2"/>
      <c r="V144" s="6">
        <f t="shared" si="20"/>
        <v>0</v>
      </c>
      <c r="W144" s="2"/>
      <c r="X144" s="7">
        <f t="shared" si="21"/>
        <v>0</v>
      </c>
      <c r="Y144" s="2"/>
      <c r="Z144" s="6">
        <f t="shared" si="22"/>
        <v>0</v>
      </c>
    </row>
    <row r="145" spans="1:26" s="24" customFormat="1" hidden="1" outlineLevel="2" x14ac:dyDescent="0.35">
      <c r="A145" s="29"/>
      <c r="B145" s="11" t="str">
        <f>CONCATENATE("          ", "6117", " - ", "RETIREMENT STAFF HOURLY")</f>
        <v xml:space="preserve">          6117 - RETIREMENT STAFF HOURLY</v>
      </c>
      <c r="C145" s="11"/>
      <c r="D145" s="7">
        <v>682.92</v>
      </c>
      <c r="E145" s="2"/>
      <c r="F145" s="6">
        <f t="shared" si="15"/>
        <v>5.2210388876572508E-4</v>
      </c>
      <c r="G145" s="2"/>
      <c r="H145" s="7"/>
      <c r="I145" s="2"/>
      <c r="J145" s="6">
        <f t="shared" si="16"/>
        <v>0</v>
      </c>
      <c r="K145" s="2"/>
      <c r="L145" s="7">
        <f t="shared" si="17"/>
        <v>682.92</v>
      </c>
      <c r="M145" s="2"/>
      <c r="N145" s="6">
        <f t="shared" si="18"/>
        <v>0</v>
      </c>
      <c r="O145" s="11"/>
      <c r="P145" s="7">
        <v>3522.08</v>
      </c>
      <c r="Q145" s="2"/>
      <c r="R145" s="6">
        <f t="shared" si="19"/>
        <v>6.6681121866482551E-4</v>
      </c>
      <c r="S145" s="2"/>
      <c r="T145" s="7"/>
      <c r="U145" s="2"/>
      <c r="V145" s="6">
        <f t="shared" si="20"/>
        <v>0</v>
      </c>
      <c r="W145" s="2"/>
      <c r="X145" s="7">
        <f t="shared" si="21"/>
        <v>3522.08</v>
      </c>
      <c r="Y145" s="2"/>
      <c r="Z145" s="6">
        <f t="shared" si="22"/>
        <v>0</v>
      </c>
    </row>
    <row r="146" spans="1:26" s="24" customFormat="1" hidden="1" outlineLevel="2" x14ac:dyDescent="0.35">
      <c r="A146" s="29"/>
      <c r="B146" s="11" t="str">
        <f>CONCATENATE("          ", "6118", " - ", "VACATION")</f>
        <v xml:space="preserve">          6118 - VACATION</v>
      </c>
      <c r="C146" s="11"/>
      <c r="D146" s="7">
        <v>6046.1</v>
      </c>
      <c r="E146" s="2"/>
      <c r="F146" s="6">
        <f t="shared" si="15"/>
        <v>4.6223456947613933E-3</v>
      </c>
      <c r="G146" s="2"/>
      <c r="H146" s="7">
        <v>5216.9837653846116</v>
      </c>
      <c r="I146" s="2"/>
      <c r="J146" s="6">
        <f t="shared" si="16"/>
        <v>2.4562243920670862E-3</v>
      </c>
      <c r="K146" s="2"/>
      <c r="L146" s="7">
        <f t="shared" si="17"/>
        <v>829.11623461538875</v>
      </c>
      <c r="M146" s="2"/>
      <c r="N146" s="6">
        <f t="shared" si="18"/>
        <v>0.1589263589656319</v>
      </c>
      <c r="O146" s="11"/>
      <c r="P146" s="7">
        <v>40021.89</v>
      </c>
      <c r="Q146" s="2"/>
      <c r="R146" s="6">
        <f t="shared" si="19"/>
        <v>7.5770695850660959E-3</v>
      </c>
      <c r="S146" s="2"/>
      <c r="T146" s="7">
        <v>32130.184495384605</v>
      </c>
      <c r="U146" s="2"/>
      <c r="V146" s="6">
        <f t="shared" si="20"/>
        <v>3.889610803321029E-3</v>
      </c>
      <c r="W146" s="2"/>
      <c r="X146" s="7">
        <f t="shared" si="21"/>
        <v>7891.7055046153946</v>
      </c>
      <c r="Y146" s="2"/>
      <c r="Z146" s="6">
        <f t="shared" si="22"/>
        <v>0.24561656363190235</v>
      </c>
    </row>
    <row r="147" spans="1:26" s="24" customFormat="1" hidden="1" outlineLevel="2" x14ac:dyDescent="0.35">
      <c r="A147" s="29"/>
      <c r="B147" s="11" t="str">
        <f>CONCATENATE("          ", "6119", " - ", "SICK LEAVE")</f>
        <v xml:space="preserve">          6119 - SICK LEAVE</v>
      </c>
      <c r="C147" s="11"/>
      <c r="D147" s="7">
        <v>4206.97</v>
      </c>
      <c r="E147" s="2"/>
      <c r="F147" s="6">
        <f t="shared" si="15"/>
        <v>3.2162997084881724E-3</v>
      </c>
      <c r="G147" s="2"/>
      <c r="H147" s="7">
        <v>7033.5903367307674</v>
      </c>
      <c r="I147" s="2"/>
      <c r="J147" s="6">
        <f t="shared" si="16"/>
        <v>3.3115065957296146E-3</v>
      </c>
      <c r="K147" s="2"/>
      <c r="L147" s="7">
        <f t="shared" si="17"/>
        <v>-2826.6203367307671</v>
      </c>
      <c r="M147" s="2"/>
      <c r="N147" s="6">
        <f t="shared" si="18"/>
        <v>-0.40187446260121373</v>
      </c>
      <c r="O147" s="11"/>
      <c r="P147" s="7">
        <v>29272.37</v>
      </c>
      <c r="Q147" s="2"/>
      <c r="R147" s="6">
        <f t="shared" si="19"/>
        <v>5.5419367853392536E-3</v>
      </c>
      <c r="S147" s="2"/>
      <c r="T147" s="7">
        <v>35451.576506730751</v>
      </c>
      <c r="U147" s="2"/>
      <c r="V147" s="6">
        <f t="shared" si="20"/>
        <v>4.2916913531931243E-3</v>
      </c>
      <c r="W147" s="2"/>
      <c r="X147" s="7">
        <f t="shared" si="21"/>
        <v>-6179.2065067307522</v>
      </c>
      <c r="Y147" s="2"/>
      <c r="Z147" s="6">
        <f t="shared" si="22"/>
        <v>-0.17429990752477773</v>
      </c>
    </row>
    <row r="148" spans="1:26" s="24" customFormat="1" hidden="1" outlineLevel="2" x14ac:dyDescent="0.35">
      <c r="A148" s="29"/>
      <c r="B148" s="11" t="str">
        <f>CONCATENATE("          ", "6156", " - ", "EMPLOYEE MEALS")</f>
        <v xml:space="preserve">          6156 - EMPLOYEE MEALS</v>
      </c>
      <c r="C148" s="11"/>
      <c r="D148" s="7">
        <v>1015.18</v>
      </c>
      <c r="E148" s="2"/>
      <c r="F148" s="6">
        <f t="shared" si="15"/>
        <v>7.7612227756865932E-4</v>
      </c>
      <c r="G148" s="2"/>
      <c r="H148" s="7">
        <v>1800</v>
      </c>
      <c r="I148" s="2"/>
      <c r="J148" s="6">
        <f t="shared" si="16"/>
        <v>8.4746361203115819E-4</v>
      </c>
      <c r="K148" s="2"/>
      <c r="L148" s="7">
        <f t="shared" si="17"/>
        <v>-784.82</v>
      </c>
      <c r="M148" s="2"/>
      <c r="N148" s="6">
        <f t="shared" si="18"/>
        <v>-0.43601111111111113</v>
      </c>
      <c r="O148" s="11"/>
      <c r="P148" s="7">
        <v>11400.55</v>
      </c>
      <c r="Q148" s="2"/>
      <c r="R148" s="6">
        <f t="shared" si="19"/>
        <v>2.1583878387059002E-3</v>
      </c>
      <c r="S148" s="2"/>
      <c r="T148" s="7">
        <v>12600</v>
      </c>
      <c r="U148" s="2"/>
      <c r="V148" s="6">
        <f t="shared" si="20"/>
        <v>1.5253288112579918E-3</v>
      </c>
      <c r="W148" s="2"/>
      <c r="X148" s="7">
        <f t="shared" si="21"/>
        <v>-1199.4500000000007</v>
      </c>
      <c r="Y148" s="2"/>
      <c r="Z148" s="6">
        <f t="shared" si="22"/>
        <v>-9.5194444444444498E-2</v>
      </c>
    </row>
    <row r="149" spans="1:26" s="28" customFormat="1" outlineLevel="1" collapsed="1" x14ac:dyDescent="0.35">
      <c r="A149" s="27"/>
      <c r="B149" s="14" t="str">
        <f>CONCATENATE("     ","*Payroll                                          ")</f>
        <v xml:space="preserve">     *Payroll                                          </v>
      </c>
      <c r="C149" s="14"/>
      <c r="D149" s="1">
        <f>SUM(OSRRefD22_1x_0)</f>
        <v>174778.48000000004</v>
      </c>
      <c r="E149" s="1"/>
      <c r="F149" s="5">
        <f t="shared" ref="F149:F159" si="23">IF(D$12=0,0,D149/D$12)</f>
        <v>0.13362110361471699</v>
      </c>
      <c r="G149" s="1"/>
      <c r="H149" s="1">
        <f>SUM(OSRRefH22_1x_0)</f>
        <v>264372.43047461542</v>
      </c>
      <c r="I149" s="1"/>
      <c r="J149" s="5">
        <f t="shared" ref="J149:J159" si="24">IF(H$12=0,0,H149/H$12)</f>
        <v>0.1244700082508188</v>
      </c>
      <c r="K149" s="1"/>
      <c r="L149" s="1">
        <f t="shared" ref="L149:L159" si="25">+D149-H149</f>
        <v>-89593.950474615383</v>
      </c>
      <c r="M149" s="1"/>
      <c r="N149" s="5">
        <f t="shared" ref="N149:N159" si="26">IF(H149=0,0,L149/H149)</f>
        <v>-0.33889294096881267</v>
      </c>
      <c r="O149" s="14"/>
      <c r="P149" s="1">
        <f>SUM(OSRRefP22_1x_0)</f>
        <v>952429.11999999988</v>
      </c>
      <c r="Q149" s="1"/>
      <c r="R149" s="5">
        <f t="shared" ref="R149:R159" si="27">IF(P$12=0,0,P149/P$12)</f>
        <v>0.18031686452297147</v>
      </c>
      <c r="S149" s="1"/>
      <c r="T149" s="1">
        <f>SUM(OSRRefT22_1x_0)</f>
        <v>1263421.5785586156</v>
      </c>
      <c r="U149" s="1"/>
      <c r="V149" s="5">
        <f t="shared" ref="V149:V159" si="28">IF(T$12=0,0,T149/T$12)</f>
        <v>0.15294709004289753</v>
      </c>
      <c r="W149" s="1"/>
      <c r="X149" s="1">
        <f t="shared" ref="X149:X159" si="29">+P149-T149</f>
        <v>-310992.45855861576</v>
      </c>
      <c r="Y149" s="1"/>
      <c r="Z149" s="5">
        <f t="shared" ref="Z149:Z159" si="30">IF(T149=0,0,X149/T149)</f>
        <v>-0.246150979084443</v>
      </c>
    </row>
    <row r="150" spans="1:26" s="24" customFormat="1" hidden="1" outlineLevel="2" x14ac:dyDescent="0.35">
      <c r="A150" s="29"/>
      <c r="B150" s="11" t="str">
        <f>CONCATENATE("          ", "6001", " - ", "ADMINISTRATIVE SALARIES")</f>
        <v xml:space="preserve">          6001 - ADMINISTRATIVE SALARIES</v>
      </c>
      <c r="C150" s="11"/>
      <c r="D150" s="7">
        <v>5332.74</v>
      </c>
      <c r="E150" s="2"/>
      <c r="F150" s="6">
        <f t="shared" si="23"/>
        <v>4.0769699112290355E-3</v>
      </c>
      <c r="G150" s="2"/>
      <c r="H150" s="7">
        <v>9699.6153846153902</v>
      </c>
      <c r="I150" s="2"/>
      <c r="J150" s="6">
        <f t="shared" si="24"/>
        <v>4.5667061606439723E-3</v>
      </c>
      <c r="K150" s="2"/>
      <c r="L150" s="7">
        <f t="shared" si="25"/>
        <v>-4366.8753846153904</v>
      </c>
      <c r="M150" s="2"/>
      <c r="N150" s="6">
        <f t="shared" si="26"/>
        <v>-0.45021118997581222</v>
      </c>
      <c r="O150" s="11"/>
      <c r="P150" s="7">
        <v>30215.85</v>
      </c>
      <c r="Q150" s="2"/>
      <c r="R150" s="6">
        <f t="shared" si="27"/>
        <v>5.7205593744303279E-3</v>
      </c>
      <c r="S150" s="2"/>
      <c r="T150" s="7">
        <v>60137.615384615412</v>
      </c>
      <c r="U150" s="2"/>
      <c r="V150" s="6">
        <f t="shared" si="28"/>
        <v>7.2801299513099802E-3</v>
      </c>
      <c r="W150" s="2"/>
      <c r="X150" s="7">
        <f t="shared" si="29"/>
        <v>-29921.765384615413</v>
      </c>
      <c r="Y150" s="2"/>
      <c r="Z150" s="6">
        <f t="shared" si="30"/>
        <v>-0.49755490292137672</v>
      </c>
    </row>
    <row r="151" spans="1:26" s="24" customFormat="1" hidden="1" outlineLevel="2" x14ac:dyDescent="0.35">
      <c r="A151" s="29"/>
      <c r="B151" s="11" t="str">
        <f>CONCATENATE("          ", "6002", " - ", "STAFF SALARIES")</f>
        <v xml:space="preserve">          6002 - STAFF SALARIES</v>
      </c>
      <c r="C151" s="11"/>
      <c r="D151" s="7">
        <v>82169.560000000012</v>
      </c>
      <c r="E151" s="2"/>
      <c r="F151" s="6">
        <f t="shared" si="23"/>
        <v>6.2820018178071493E-2</v>
      </c>
      <c r="G151" s="2"/>
      <c r="H151" s="7">
        <v>54834.353820000069</v>
      </c>
      <c r="I151" s="2"/>
      <c r="J151" s="6">
        <f t="shared" si="24"/>
        <v>2.5816733084273222E-2</v>
      </c>
      <c r="K151" s="2"/>
      <c r="L151" s="7">
        <f t="shared" si="25"/>
        <v>27335.206179999943</v>
      </c>
      <c r="M151" s="2"/>
      <c r="N151" s="6">
        <f t="shared" si="26"/>
        <v>0.49850512089065241</v>
      </c>
      <c r="O151" s="11"/>
      <c r="P151" s="7">
        <v>430919.10000000003</v>
      </c>
      <c r="Q151" s="2"/>
      <c r="R151" s="6">
        <f t="shared" si="27"/>
        <v>8.1582953884338186E-2</v>
      </c>
      <c r="S151" s="2"/>
      <c r="T151" s="7">
        <v>336774.84638400027</v>
      </c>
      <c r="U151" s="2"/>
      <c r="V151" s="6">
        <f t="shared" si="28"/>
        <v>4.0769236198134919E-2</v>
      </c>
      <c r="W151" s="2"/>
      <c r="X151" s="7">
        <f t="shared" si="29"/>
        <v>94144.253615999769</v>
      </c>
      <c r="Y151" s="2"/>
      <c r="Z151" s="6">
        <f t="shared" si="30"/>
        <v>0.27954657132752075</v>
      </c>
    </row>
    <row r="152" spans="1:26" s="24" customFormat="1" hidden="1" outlineLevel="2" x14ac:dyDescent="0.35">
      <c r="A152" s="29"/>
      <c r="B152" s="11" t="str">
        <f>CONCATENATE("          ", "6003", " - ", "STAFF HOURLY-9 MONTH")</f>
        <v xml:space="preserve">          6003 - STAFF HOURLY-9 MONTH</v>
      </c>
      <c r="C152" s="11"/>
      <c r="D152" s="7"/>
      <c r="E152" s="2"/>
      <c r="F152" s="6">
        <f t="shared" si="23"/>
        <v>0</v>
      </c>
      <c r="G152" s="2"/>
      <c r="H152" s="7">
        <v>0</v>
      </c>
      <c r="I152" s="2"/>
      <c r="J152" s="6">
        <f t="shared" si="24"/>
        <v>0</v>
      </c>
      <c r="K152" s="2"/>
      <c r="L152" s="7">
        <f t="shared" si="25"/>
        <v>0</v>
      </c>
      <c r="M152" s="2"/>
      <c r="N152" s="6">
        <f t="shared" si="26"/>
        <v>0</v>
      </c>
      <c r="O152" s="11"/>
      <c r="P152" s="7"/>
      <c r="Q152" s="2"/>
      <c r="R152" s="6">
        <f t="shared" si="27"/>
        <v>0</v>
      </c>
      <c r="S152" s="2"/>
      <c r="T152" s="7">
        <v>0</v>
      </c>
      <c r="U152" s="2"/>
      <c r="V152" s="6">
        <f t="shared" si="28"/>
        <v>0</v>
      </c>
      <c r="W152" s="2"/>
      <c r="X152" s="7">
        <f t="shared" si="29"/>
        <v>0</v>
      </c>
      <c r="Y152" s="2"/>
      <c r="Z152" s="6">
        <f t="shared" si="30"/>
        <v>0</v>
      </c>
    </row>
    <row r="153" spans="1:26" s="24" customFormat="1" hidden="1" outlineLevel="2" x14ac:dyDescent="0.35">
      <c r="A153" s="29"/>
      <c r="B153" s="11" t="str">
        <f>CONCATENATE("          ", "6004", " - ", "STAFF HOURLY")</f>
        <v xml:space="preserve">          6004 - STAFF HOURLY</v>
      </c>
      <c r="C153" s="11"/>
      <c r="D153" s="7">
        <v>22328.73</v>
      </c>
      <c r="E153" s="2"/>
      <c r="F153" s="6">
        <f t="shared" si="23"/>
        <v>1.7070691683066696E-2</v>
      </c>
      <c r="G153" s="2"/>
      <c r="H153" s="7">
        <v>36979.525099999999</v>
      </c>
      <c r="I153" s="2"/>
      <c r="J153" s="6">
        <f t="shared" si="24"/>
        <v>1.741044550691271E-2</v>
      </c>
      <c r="K153" s="2"/>
      <c r="L153" s="7">
        <f t="shared" si="25"/>
        <v>-14650.795099999999</v>
      </c>
      <c r="M153" s="2"/>
      <c r="N153" s="6">
        <f t="shared" si="26"/>
        <v>-0.39618667520421996</v>
      </c>
      <c r="O153" s="11"/>
      <c r="P153" s="7">
        <v>134701.79999999999</v>
      </c>
      <c r="Q153" s="2"/>
      <c r="R153" s="6">
        <f t="shared" si="27"/>
        <v>2.5502166735095623E-2</v>
      </c>
      <c r="S153" s="2"/>
      <c r="T153" s="7">
        <v>217071.08061999999</v>
      </c>
      <c r="U153" s="2"/>
      <c r="V153" s="6">
        <f t="shared" si="28"/>
        <v>2.6278156615920024E-2</v>
      </c>
      <c r="W153" s="2"/>
      <c r="X153" s="7">
        <f t="shared" si="29"/>
        <v>-82369.280620000005</v>
      </c>
      <c r="Y153" s="2"/>
      <c r="Z153" s="6">
        <f t="shared" si="30"/>
        <v>-0.37945764302060075</v>
      </c>
    </row>
    <row r="154" spans="1:26" s="24" customFormat="1" hidden="1" outlineLevel="2" x14ac:dyDescent="0.35">
      <c r="A154" s="29"/>
      <c r="B154" s="11" t="str">
        <f>CONCATENATE("          ", "6005", " - ", "TEMPORARY WAGES-HOURLY")</f>
        <v xml:space="preserve">          6005 - TEMPORARY WAGES-HOURLY</v>
      </c>
      <c r="C154" s="11"/>
      <c r="D154" s="7">
        <v>12550.77</v>
      </c>
      <c r="E154" s="2"/>
      <c r="F154" s="6">
        <f t="shared" si="23"/>
        <v>9.5952759093366723E-3</v>
      </c>
      <c r="G154" s="2"/>
      <c r="H154" s="7">
        <v>7343.88</v>
      </c>
      <c r="I154" s="2"/>
      <c r="J154" s="6">
        <f t="shared" si="24"/>
        <v>3.45759503951299E-3</v>
      </c>
      <c r="K154" s="2"/>
      <c r="L154" s="7">
        <f t="shared" si="25"/>
        <v>5206.8900000000003</v>
      </c>
      <c r="M154" s="2"/>
      <c r="N154" s="6">
        <f t="shared" si="26"/>
        <v>0.70901076814980646</v>
      </c>
      <c r="O154" s="11"/>
      <c r="P154" s="7">
        <v>110194.22</v>
      </c>
      <c r="Q154" s="2"/>
      <c r="R154" s="6">
        <f t="shared" si="27"/>
        <v>2.0862314918462924E-2</v>
      </c>
      <c r="S154" s="2"/>
      <c r="T154" s="7">
        <v>28262.880000000001</v>
      </c>
      <c r="U154" s="2"/>
      <c r="V154" s="6">
        <f t="shared" si="28"/>
        <v>3.4214432661212124E-3</v>
      </c>
      <c r="W154" s="2"/>
      <c r="X154" s="7">
        <f t="shared" si="29"/>
        <v>81931.34</v>
      </c>
      <c r="Y154" s="2"/>
      <c r="Z154" s="6">
        <f t="shared" si="30"/>
        <v>2.8989027303657657</v>
      </c>
    </row>
    <row r="155" spans="1:26" s="24" customFormat="1" hidden="1" outlineLevel="2" x14ac:dyDescent="0.35">
      <c r="A155" s="29"/>
      <c r="B155" s="11" t="str">
        <f>CONCATENATE("          ", "6006", " - ", "TEMPORARY PART TIME")</f>
        <v xml:space="preserve">          6006 - TEMPORARY PART TIME</v>
      </c>
      <c r="C155" s="11"/>
      <c r="D155" s="7"/>
      <c r="E155" s="2"/>
      <c r="F155" s="6">
        <f t="shared" si="23"/>
        <v>0</v>
      </c>
      <c r="G155" s="2"/>
      <c r="H155" s="7">
        <v>0</v>
      </c>
      <c r="I155" s="2"/>
      <c r="J155" s="6">
        <f t="shared" si="24"/>
        <v>0</v>
      </c>
      <c r="K155" s="2"/>
      <c r="L155" s="7">
        <f t="shared" si="25"/>
        <v>0</v>
      </c>
      <c r="M155" s="2"/>
      <c r="N155" s="6">
        <f t="shared" si="26"/>
        <v>0</v>
      </c>
      <c r="O155" s="11"/>
      <c r="P155" s="7">
        <v>9987.9599999999991</v>
      </c>
      <c r="Q155" s="2"/>
      <c r="R155" s="6">
        <f t="shared" si="27"/>
        <v>1.8909518749078756E-3</v>
      </c>
      <c r="S155" s="2"/>
      <c r="T155" s="7">
        <v>0</v>
      </c>
      <c r="U155" s="2"/>
      <c r="V155" s="6">
        <f t="shared" si="28"/>
        <v>0</v>
      </c>
      <c r="W155" s="2"/>
      <c r="X155" s="7">
        <f t="shared" si="29"/>
        <v>9987.9599999999991</v>
      </c>
      <c r="Y155" s="2"/>
      <c r="Z155" s="6">
        <f t="shared" si="30"/>
        <v>0</v>
      </c>
    </row>
    <row r="156" spans="1:26" s="24" customFormat="1" hidden="1" outlineLevel="2" x14ac:dyDescent="0.35">
      <c r="A156" s="29"/>
      <c r="B156" s="11" t="str">
        <f>CONCATENATE("          ", "6007", " - ", "STUDENT HOURLY")</f>
        <v xml:space="preserve">          6007 - STUDENT HOURLY</v>
      </c>
      <c r="C156" s="11"/>
      <c r="D156" s="7">
        <v>51151.8</v>
      </c>
      <c r="E156" s="2"/>
      <c r="F156" s="6">
        <f t="shared" si="23"/>
        <v>3.9106416121019477E-2</v>
      </c>
      <c r="G156" s="2"/>
      <c r="H156" s="7">
        <v>14878.362499999999</v>
      </c>
      <c r="I156" s="2"/>
      <c r="J156" s="6">
        <f t="shared" si="24"/>
        <v>7.0049282363105186E-3</v>
      </c>
      <c r="K156" s="2"/>
      <c r="L156" s="7">
        <f t="shared" si="25"/>
        <v>36273.4375</v>
      </c>
      <c r="M156" s="2"/>
      <c r="N156" s="6">
        <f t="shared" si="26"/>
        <v>2.437999309399808</v>
      </c>
      <c r="O156" s="11"/>
      <c r="P156" s="7">
        <v>230234.86000000002</v>
      </c>
      <c r="Q156" s="2"/>
      <c r="R156" s="6">
        <f t="shared" si="27"/>
        <v>4.3588784915653676E-2</v>
      </c>
      <c r="S156" s="2"/>
      <c r="T156" s="7">
        <v>157314.8425</v>
      </c>
      <c r="U156" s="2"/>
      <c r="V156" s="6">
        <f t="shared" si="28"/>
        <v>1.9044195373314542E-2</v>
      </c>
      <c r="W156" s="2"/>
      <c r="X156" s="7">
        <f t="shared" si="29"/>
        <v>72920.017500000016</v>
      </c>
      <c r="Y156" s="2"/>
      <c r="Z156" s="6">
        <f t="shared" si="30"/>
        <v>0.46352916445248971</v>
      </c>
    </row>
    <row r="157" spans="1:26" s="24" customFormat="1" hidden="1" outlineLevel="2" x14ac:dyDescent="0.35">
      <c r="A157" s="29"/>
      <c r="B157" s="11" t="str">
        <f>CONCATENATE("          ", "6008", " - ", "STUDENT HOURLY-FICA EXEMPT")</f>
        <v xml:space="preserve">          6008 - STUDENT HOURLY-FICA EXEMPT</v>
      </c>
      <c r="C157" s="11"/>
      <c r="D157" s="7">
        <v>1244.8800000000001</v>
      </c>
      <c r="E157" s="2"/>
      <c r="F157" s="6">
        <f t="shared" si="23"/>
        <v>9.5173181199360965E-4</v>
      </c>
      <c r="G157" s="2"/>
      <c r="H157" s="7">
        <v>140636.69366999998</v>
      </c>
      <c r="I157" s="2"/>
      <c r="J157" s="6">
        <f t="shared" si="24"/>
        <v>6.6213600223165386E-2</v>
      </c>
      <c r="K157" s="2"/>
      <c r="L157" s="7">
        <f t="shared" si="25"/>
        <v>-139391.81366999997</v>
      </c>
      <c r="M157" s="2"/>
      <c r="N157" s="6">
        <f t="shared" si="26"/>
        <v>-0.99114825606664869</v>
      </c>
      <c r="O157" s="11"/>
      <c r="P157" s="7">
        <v>6175.33</v>
      </c>
      <c r="Q157" s="2"/>
      <c r="R157" s="6">
        <f t="shared" si="27"/>
        <v>1.1691328200828649E-3</v>
      </c>
      <c r="S157" s="2"/>
      <c r="T157" s="7">
        <v>463860.31367</v>
      </c>
      <c r="U157" s="2"/>
      <c r="V157" s="6">
        <f t="shared" si="28"/>
        <v>5.6153928638096852E-2</v>
      </c>
      <c r="W157" s="2"/>
      <c r="X157" s="7">
        <f t="shared" si="29"/>
        <v>-457684.98366999999</v>
      </c>
      <c r="Y157" s="2"/>
      <c r="Z157" s="6">
        <f t="shared" si="30"/>
        <v>-0.98668709131173205</v>
      </c>
    </row>
    <row r="158" spans="1:26" s="24" customFormat="1" hidden="1" outlineLevel="2" x14ac:dyDescent="0.35">
      <c r="A158" s="29"/>
      <c r="B158" s="11" t="str">
        <f>CONCATENATE("          ", "6009", " - ", "TEMPORARY-SEASONAL")</f>
        <v xml:space="preserve">          6009 - TEMPORARY-SEASONAL</v>
      </c>
      <c r="C158" s="11"/>
      <c r="D158" s="7"/>
      <c r="E158" s="2"/>
      <c r="F158" s="6">
        <f t="shared" si="23"/>
        <v>0</v>
      </c>
      <c r="G158" s="2"/>
      <c r="H158" s="7">
        <v>0</v>
      </c>
      <c r="I158" s="2"/>
      <c r="J158" s="6">
        <f t="shared" si="24"/>
        <v>0</v>
      </c>
      <c r="K158" s="2"/>
      <c r="L158" s="7">
        <f t="shared" si="25"/>
        <v>0</v>
      </c>
      <c r="M158" s="2"/>
      <c r="N158" s="6">
        <f t="shared" si="26"/>
        <v>0</v>
      </c>
      <c r="O158" s="11"/>
      <c r="P158" s="7"/>
      <c r="Q158" s="2"/>
      <c r="R158" s="6">
        <f t="shared" si="27"/>
        <v>0</v>
      </c>
      <c r="S158" s="2"/>
      <c r="T158" s="7">
        <v>0</v>
      </c>
      <c r="U158" s="2"/>
      <c r="V158" s="6">
        <f t="shared" si="28"/>
        <v>0</v>
      </c>
      <c r="W158" s="2"/>
      <c r="X158" s="7">
        <f t="shared" si="29"/>
        <v>0</v>
      </c>
      <c r="Y158" s="2"/>
      <c r="Z158" s="6">
        <f t="shared" si="30"/>
        <v>0</v>
      </c>
    </row>
    <row r="159" spans="1:26" s="24" customFormat="1" hidden="1" outlineLevel="2" x14ac:dyDescent="0.35">
      <c r="A159" s="29"/>
      <c r="B159" s="11" t="str">
        <f>CONCATENATE("          ", "6010", " - ", "GRATUITY")</f>
        <v xml:space="preserve">          6010 - GRATUITY</v>
      </c>
      <c r="C159" s="11"/>
      <c r="D159" s="7"/>
      <c r="E159" s="2"/>
      <c r="F159" s="6">
        <f t="shared" si="23"/>
        <v>0</v>
      </c>
      <c r="G159" s="2"/>
      <c r="H159" s="7">
        <v>0</v>
      </c>
      <c r="I159" s="2"/>
      <c r="J159" s="6">
        <f t="shared" si="24"/>
        <v>0</v>
      </c>
      <c r="K159" s="2"/>
      <c r="L159" s="7">
        <f t="shared" si="25"/>
        <v>0</v>
      </c>
      <c r="M159" s="2"/>
      <c r="N159" s="6">
        <f t="shared" si="26"/>
        <v>0</v>
      </c>
      <c r="O159" s="11"/>
      <c r="P159" s="7"/>
      <c r="Q159" s="2"/>
      <c r="R159" s="6">
        <f t="shared" si="27"/>
        <v>0</v>
      </c>
      <c r="S159" s="2"/>
      <c r="T159" s="7">
        <v>0</v>
      </c>
      <c r="U159" s="2"/>
      <c r="V159" s="6">
        <f t="shared" si="28"/>
        <v>0</v>
      </c>
      <c r="W159" s="2"/>
      <c r="X159" s="7">
        <f t="shared" si="29"/>
        <v>0</v>
      </c>
      <c r="Y159" s="2"/>
      <c r="Z159" s="6">
        <f t="shared" si="30"/>
        <v>0</v>
      </c>
    </row>
    <row r="160" spans="1:26" s="28" customFormat="1" outlineLevel="1" collapsed="1" x14ac:dyDescent="0.35">
      <c r="A160" s="27"/>
      <c r="B160" s="14" t="str">
        <f>CONCATENATE("     ","Advertising/Promo                                 ")</f>
        <v xml:space="preserve">     Advertising/Promo                                 </v>
      </c>
      <c r="C160" s="14"/>
      <c r="D160" s="1">
        <f>SUM(OSRRefD22_2x_0)</f>
        <v>1681.68</v>
      </c>
      <c r="E160" s="1"/>
      <c r="F160" s="5">
        <f t="shared" ref="F160:F164" si="31">IF(D$12=0,0,D160/D$12)</f>
        <v>1.2856727986580341E-3</v>
      </c>
      <c r="G160" s="1"/>
      <c r="H160" s="1">
        <f>SUM(OSRRefH22_2x_0)</f>
        <v>1730</v>
      </c>
      <c r="I160" s="1"/>
      <c r="J160" s="5">
        <f t="shared" ref="J160:J164" si="32">IF(H$12=0,0,H160/H$12)</f>
        <v>8.1450669378550203E-4</v>
      </c>
      <c r="K160" s="1"/>
      <c r="L160" s="1">
        <f t="shared" ref="L160:L164" si="33">+D160-H160</f>
        <v>-48.319999999999936</v>
      </c>
      <c r="M160" s="1"/>
      <c r="N160" s="5">
        <f t="shared" ref="N160:N164" si="34">IF(H160=0,0,L160/H160)</f>
        <v>-2.7930635838150253E-2</v>
      </c>
      <c r="O160" s="14"/>
      <c r="P160" s="1">
        <f>SUM(OSRRefP22_2x_0)</f>
        <v>16633.070000000003</v>
      </c>
      <c r="Q160" s="1"/>
      <c r="R160" s="5">
        <f t="shared" ref="R160:R164" si="35">IF(P$12=0,0,P160/P$12)</f>
        <v>3.1490249161964952E-3</v>
      </c>
      <c r="S160" s="1"/>
      <c r="T160" s="1">
        <f>SUM(OSRRefT22_2x_0)</f>
        <v>9860</v>
      </c>
      <c r="U160" s="1"/>
      <c r="V160" s="5">
        <f t="shared" ref="V160:V164" si="36">IF(T$12=0,0,T160/T$12)</f>
        <v>1.1936303237304604E-3</v>
      </c>
      <c r="W160" s="1"/>
      <c r="X160" s="1">
        <f t="shared" ref="X160:X164" si="37">+P160-T160</f>
        <v>6773.0700000000033</v>
      </c>
      <c r="Y160" s="1"/>
      <c r="Z160" s="5">
        <f t="shared" ref="Z160:Z164" si="38">IF(T160=0,0,X160/T160)</f>
        <v>0.68692393509127825</v>
      </c>
    </row>
    <row r="161" spans="1:26" s="24" customFormat="1" hidden="1" outlineLevel="2" x14ac:dyDescent="0.35">
      <c r="A161" s="29"/>
      <c r="B161" s="11" t="str">
        <f>CONCATENATE("          ", "6362", " - ", "ADVERTISING EXPENSE")</f>
        <v xml:space="preserve">          6362 - ADVERTISING EXPENSE</v>
      </c>
      <c r="C161" s="11"/>
      <c r="D161" s="7">
        <v>1681.68</v>
      </c>
      <c r="E161" s="2"/>
      <c r="F161" s="6">
        <f t="shared" si="31"/>
        <v>1.2856727986580341E-3</v>
      </c>
      <c r="G161" s="2"/>
      <c r="H161" s="7">
        <v>1730</v>
      </c>
      <c r="I161" s="2"/>
      <c r="J161" s="6">
        <f t="shared" si="32"/>
        <v>8.1450669378550203E-4</v>
      </c>
      <c r="K161" s="2"/>
      <c r="L161" s="7">
        <f t="shared" si="33"/>
        <v>-48.319999999999936</v>
      </c>
      <c r="M161" s="2"/>
      <c r="N161" s="6">
        <f t="shared" si="34"/>
        <v>-2.7930635838150253E-2</v>
      </c>
      <c r="O161" s="11"/>
      <c r="P161" s="7">
        <v>16633.070000000003</v>
      </c>
      <c r="Q161" s="2"/>
      <c r="R161" s="6">
        <f t="shared" si="35"/>
        <v>3.1490249161964952E-3</v>
      </c>
      <c r="S161" s="2"/>
      <c r="T161" s="7">
        <v>9860</v>
      </c>
      <c r="U161" s="2"/>
      <c r="V161" s="6">
        <f t="shared" si="36"/>
        <v>1.1936303237304604E-3</v>
      </c>
      <c r="W161" s="2"/>
      <c r="X161" s="7">
        <f t="shared" si="37"/>
        <v>6773.0700000000033</v>
      </c>
      <c r="Y161" s="2"/>
      <c r="Z161" s="6">
        <f t="shared" si="38"/>
        <v>0.68692393509127825</v>
      </c>
    </row>
    <row r="162" spans="1:26" s="28" customFormat="1" outlineLevel="1" collapsed="1" x14ac:dyDescent="0.35">
      <c r="A162" s="27"/>
      <c r="B162" s="14" t="str">
        <f>CONCATENATE("     ","Bad Debts/Over/Short                              ")</f>
        <v xml:space="preserve">     Bad Debts/Over/Short                              </v>
      </c>
      <c r="C162" s="14"/>
      <c r="D162" s="1">
        <f>SUM(OSRRefD22_3x_0)</f>
        <v>1872.1</v>
      </c>
      <c r="E162" s="1"/>
      <c r="F162" s="5">
        <f t="shared" si="31"/>
        <v>1.4312521088243337E-3</v>
      </c>
      <c r="G162" s="1"/>
      <c r="H162" s="1">
        <f>SUM(OSRRefH22_3x_0)</f>
        <v>110</v>
      </c>
      <c r="I162" s="1"/>
      <c r="J162" s="5">
        <f t="shared" si="32"/>
        <v>5.1789442957459668E-5</v>
      </c>
      <c r="K162" s="1"/>
      <c r="L162" s="1">
        <f t="shared" si="33"/>
        <v>1762.1</v>
      </c>
      <c r="M162" s="1"/>
      <c r="N162" s="5">
        <f t="shared" si="34"/>
        <v>16.019090909090909</v>
      </c>
      <c r="O162" s="14"/>
      <c r="P162" s="1">
        <f>SUM(OSRRefP22_3x_0)</f>
        <v>1918.06</v>
      </c>
      <c r="Q162" s="1"/>
      <c r="R162" s="5">
        <f t="shared" si="35"/>
        <v>3.6313312760421546E-4</v>
      </c>
      <c r="S162" s="1"/>
      <c r="T162" s="1">
        <f>SUM(OSRRefT22_3x_0)</f>
        <v>770</v>
      </c>
      <c r="U162" s="1"/>
      <c r="V162" s="5">
        <f t="shared" si="36"/>
        <v>9.3214538465766176E-5</v>
      </c>
      <c r="W162" s="1"/>
      <c r="X162" s="1">
        <f t="shared" si="37"/>
        <v>1148.06</v>
      </c>
      <c r="Y162" s="1"/>
      <c r="Z162" s="5">
        <f t="shared" si="38"/>
        <v>1.4909870129870129</v>
      </c>
    </row>
    <row r="163" spans="1:26" s="24" customFormat="1" hidden="1" outlineLevel="2" x14ac:dyDescent="0.35">
      <c r="A163" s="29"/>
      <c r="B163" s="11" t="str">
        <f>CONCATENATE("          ", "6272", " - ", "CASH (OVER/SHORT)")</f>
        <v xml:space="preserve">          6272 - CASH (OVER/SHORT)</v>
      </c>
      <c r="C163" s="11"/>
      <c r="D163" s="7">
        <v>-124.68</v>
      </c>
      <c r="E163" s="2"/>
      <c r="F163" s="6">
        <f t="shared" si="31"/>
        <v>-9.5319968446246428E-5</v>
      </c>
      <c r="G163" s="2"/>
      <c r="H163" s="7">
        <v>60</v>
      </c>
      <c r="I163" s="2"/>
      <c r="J163" s="6">
        <f t="shared" si="32"/>
        <v>2.8248787067705275E-5</v>
      </c>
      <c r="K163" s="2"/>
      <c r="L163" s="7">
        <f t="shared" si="33"/>
        <v>-184.68</v>
      </c>
      <c r="M163" s="2"/>
      <c r="N163" s="6">
        <f t="shared" si="34"/>
        <v>-3.0780000000000003</v>
      </c>
      <c r="O163" s="11"/>
      <c r="P163" s="7">
        <v>-78.72</v>
      </c>
      <c r="Q163" s="2"/>
      <c r="R163" s="6">
        <f t="shared" si="35"/>
        <v>-1.4903516993735255E-5</v>
      </c>
      <c r="S163" s="2"/>
      <c r="T163" s="7">
        <v>420</v>
      </c>
      <c r="U163" s="2"/>
      <c r="V163" s="6">
        <f t="shared" si="36"/>
        <v>5.0844293708599728E-5</v>
      </c>
      <c r="W163" s="2"/>
      <c r="X163" s="7">
        <f t="shared" si="37"/>
        <v>-498.72</v>
      </c>
      <c r="Y163" s="2"/>
      <c r="Z163" s="6">
        <f t="shared" si="38"/>
        <v>-1.1874285714285715</v>
      </c>
    </row>
    <row r="164" spans="1:26" s="24" customFormat="1" hidden="1" outlineLevel="2" x14ac:dyDescent="0.35">
      <c r="A164" s="29"/>
      <c r="B164" s="11" t="str">
        <f>CONCATENATE("          ", "6342", " - ", "BAD DEBT")</f>
        <v xml:space="preserve">          6342 - BAD DEBT</v>
      </c>
      <c r="C164" s="11"/>
      <c r="D164" s="7">
        <v>1996.78</v>
      </c>
      <c r="E164" s="2"/>
      <c r="F164" s="6">
        <f t="shared" si="31"/>
        <v>1.52657207727058E-3</v>
      </c>
      <c r="G164" s="2"/>
      <c r="H164" s="7">
        <v>50</v>
      </c>
      <c r="I164" s="2"/>
      <c r="J164" s="6">
        <f t="shared" si="32"/>
        <v>2.3540655889754396E-5</v>
      </c>
      <c r="K164" s="2"/>
      <c r="L164" s="7">
        <f t="shared" si="33"/>
        <v>1946.78</v>
      </c>
      <c r="M164" s="2"/>
      <c r="N164" s="6">
        <f t="shared" si="34"/>
        <v>38.935600000000001</v>
      </c>
      <c r="O164" s="11"/>
      <c r="P164" s="7">
        <v>1996.78</v>
      </c>
      <c r="Q164" s="2"/>
      <c r="R164" s="6">
        <f t="shared" si="35"/>
        <v>3.7803664459795075E-4</v>
      </c>
      <c r="S164" s="2"/>
      <c r="T164" s="7">
        <v>350</v>
      </c>
      <c r="U164" s="2"/>
      <c r="V164" s="6">
        <f t="shared" si="36"/>
        <v>4.2370244757166441E-5</v>
      </c>
      <c r="W164" s="2"/>
      <c r="X164" s="7">
        <f t="shared" si="37"/>
        <v>1646.78</v>
      </c>
      <c r="Y164" s="2"/>
      <c r="Z164" s="6">
        <f t="shared" si="38"/>
        <v>4.7050857142857145</v>
      </c>
    </row>
    <row r="165" spans="1:26" s="28" customFormat="1" outlineLevel="1" collapsed="1" x14ac:dyDescent="0.35">
      <c r="A165" s="27"/>
      <c r="B165" s="14" t="str">
        <f>CONCATENATE("     ","Bank/card Fees                                    ")</f>
        <v xml:space="preserve">     Bank/card Fees                                    </v>
      </c>
      <c r="C165" s="14"/>
      <c r="D165" s="1">
        <f>SUM(OSRRefD22_4x_0)</f>
        <v>14947.88</v>
      </c>
      <c r="E165" s="1"/>
      <c r="F165" s="5">
        <f t="shared" ref="F165:F169" si="39">IF(D$12=0,0,D165/D$12)</f>
        <v>1.1427907041532546E-2</v>
      </c>
      <c r="G165" s="1"/>
      <c r="H165" s="1">
        <f>SUM(OSRRefH22_4x_0)</f>
        <v>16285</v>
      </c>
      <c r="I165" s="1"/>
      <c r="J165" s="5">
        <f t="shared" ref="J165:J169" si="40">IF(H$12=0,0,H165/H$12)</f>
        <v>7.6671916232930069E-3</v>
      </c>
      <c r="K165" s="1"/>
      <c r="L165" s="1">
        <f t="shared" ref="L165:L169" si="41">+D165-H165</f>
        <v>-1337.1200000000008</v>
      </c>
      <c r="M165" s="1"/>
      <c r="N165" s="5">
        <f t="shared" ref="N165:N169" si="42">IF(H165=0,0,L165/H165)</f>
        <v>-8.2107460853546255E-2</v>
      </c>
      <c r="O165" s="14"/>
      <c r="P165" s="1">
        <f>SUM(OSRRefP22_4x_0)</f>
        <v>61744.659999999996</v>
      </c>
      <c r="Q165" s="1"/>
      <c r="R165" s="5">
        <f t="shared" ref="R165:R169" si="43">IF(P$12=0,0,P165/P$12)</f>
        <v>1.1689692448963484E-2</v>
      </c>
      <c r="S165" s="1"/>
      <c r="T165" s="1">
        <f>SUM(OSRRefT22_4x_0)</f>
        <v>137578</v>
      </c>
      <c r="U165" s="1"/>
      <c r="V165" s="5">
        <f t="shared" ref="V165:V169" si="44">IF(T$12=0,0,T165/T$12)</f>
        <v>1.6654895809146985E-2</v>
      </c>
      <c r="W165" s="1"/>
      <c r="X165" s="1">
        <f t="shared" ref="X165:X169" si="45">+P165-T165</f>
        <v>-75833.34</v>
      </c>
      <c r="Y165" s="1"/>
      <c r="Z165" s="5">
        <f t="shared" ref="Z165:Z169" si="46">IF(T165=0,0,X165/T165)</f>
        <v>-0.55120251784442276</v>
      </c>
    </row>
    <row r="166" spans="1:26" s="24" customFormat="1" hidden="1" outlineLevel="2" x14ac:dyDescent="0.35">
      <c r="A166" s="29"/>
      <c r="B166" s="11" t="str">
        <f>CONCATENATE("          ", "6381", " - ", "BANK/CREDIT CARD FEES")</f>
        <v xml:space="preserve">          6381 - BANK/CREDIT CARD FEES</v>
      </c>
      <c r="C166" s="11"/>
      <c r="D166" s="7">
        <v>14947.88</v>
      </c>
      <c r="E166" s="2"/>
      <c r="F166" s="6">
        <f t="shared" si="39"/>
        <v>1.1427907041532546E-2</v>
      </c>
      <c r="G166" s="2"/>
      <c r="H166" s="7">
        <v>16285</v>
      </c>
      <c r="I166" s="2"/>
      <c r="J166" s="6">
        <f t="shared" si="40"/>
        <v>7.6671916232930069E-3</v>
      </c>
      <c r="K166" s="2"/>
      <c r="L166" s="7">
        <f t="shared" si="41"/>
        <v>-1337.1200000000008</v>
      </c>
      <c r="M166" s="2"/>
      <c r="N166" s="6">
        <f t="shared" si="42"/>
        <v>-8.2107460853546255E-2</v>
      </c>
      <c r="O166" s="11"/>
      <c r="P166" s="7">
        <v>61744.659999999996</v>
      </c>
      <c r="Q166" s="2"/>
      <c r="R166" s="6">
        <f t="shared" si="43"/>
        <v>1.1689692448963484E-2</v>
      </c>
      <c r="S166" s="2"/>
      <c r="T166" s="7">
        <v>137578</v>
      </c>
      <c r="U166" s="2"/>
      <c r="V166" s="6">
        <f t="shared" si="44"/>
        <v>1.6654895809146985E-2</v>
      </c>
      <c r="W166" s="2"/>
      <c r="X166" s="7">
        <f t="shared" si="45"/>
        <v>-75833.34</v>
      </c>
      <c r="Y166" s="2"/>
      <c r="Z166" s="6">
        <f t="shared" si="46"/>
        <v>-0.55120251784442276</v>
      </c>
    </row>
    <row r="167" spans="1:26" s="28" customFormat="1" outlineLevel="1" collapsed="1" x14ac:dyDescent="0.35">
      <c r="A167" s="27"/>
      <c r="B167" s="14" t="str">
        <f>CONCATENATE("     ","Depreciation                                      ")</f>
        <v xml:space="preserve">     Depreciation                                      </v>
      </c>
      <c r="C167" s="14"/>
      <c r="D167" s="1">
        <f>SUM(OSRRefD22_5x_0)</f>
        <v>31016.29</v>
      </c>
      <c r="E167" s="1"/>
      <c r="F167" s="5">
        <f t="shared" si="39"/>
        <v>2.3712478217193043E-2</v>
      </c>
      <c r="G167" s="1"/>
      <c r="H167" s="1">
        <f>SUM(OSRRefH22_5x_0)</f>
        <v>30594</v>
      </c>
      <c r="I167" s="1"/>
      <c r="J167" s="5">
        <f t="shared" si="40"/>
        <v>1.440405652582292E-2</v>
      </c>
      <c r="K167" s="1"/>
      <c r="L167" s="1">
        <f t="shared" si="41"/>
        <v>422.29000000000087</v>
      </c>
      <c r="M167" s="1"/>
      <c r="N167" s="5">
        <f t="shared" si="42"/>
        <v>1.3803033274498297E-2</v>
      </c>
      <c r="O167" s="14"/>
      <c r="P167" s="1">
        <f>SUM(OSRRefP22_5x_0)</f>
        <v>217409.52000000002</v>
      </c>
      <c r="Q167" s="1"/>
      <c r="R167" s="5">
        <f t="shared" si="43"/>
        <v>4.1160651370932735E-2</v>
      </c>
      <c r="S167" s="1"/>
      <c r="T167" s="1">
        <f>SUM(OSRRefT22_5x_0)</f>
        <v>215166</v>
      </c>
      <c r="U167" s="1"/>
      <c r="V167" s="5">
        <f t="shared" si="44"/>
        <v>2.6047531666915643E-2</v>
      </c>
      <c r="W167" s="1"/>
      <c r="X167" s="1">
        <f t="shared" si="45"/>
        <v>2243.5200000000186</v>
      </c>
      <c r="Y167" s="1"/>
      <c r="Z167" s="5">
        <f t="shared" si="46"/>
        <v>1.0426926187222975E-2</v>
      </c>
    </row>
    <row r="168" spans="1:26" s="24" customFormat="1" hidden="1" outlineLevel="2" x14ac:dyDescent="0.35">
      <c r="A168" s="29"/>
      <c r="B168" s="11" t="str">
        <f>CONCATENATE("          ", "6321", " - ", "BUILDING DEPRECIATION")</f>
        <v xml:space="preserve">          6321 - BUILDING DEPRECIATION</v>
      </c>
      <c r="C168" s="11"/>
      <c r="D168" s="7">
        <v>16396.52</v>
      </c>
      <c r="E168" s="2"/>
      <c r="F168" s="6">
        <f t="shared" si="39"/>
        <v>1.2535416819283354E-2</v>
      </c>
      <c r="G168" s="2"/>
      <c r="H168" s="7"/>
      <c r="I168" s="2"/>
      <c r="J168" s="6">
        <f t="shared" si="40"/>
        <v>0</v>
      </c>
      <c r="K168" s="2"/>
      <c r="L168" s="7">
        <f t="shared" si="41"/>
        <v>16396.52</v>
      </c>
      <c r="M168" s="2"/>
      <c r="N168" s="6">
        <f t="shared" si="42"/>
        <v>0</v>
      </c>
      <c r="O168" s="11"/>
      <c r="P168" s="7">
        <v>114775.64</v>
      </c>
      <c r="Q168" s="2"/>
      <c r="R168" s="6">
        <f t="shared" si="43"/>
        <v>2.1729683704355181E-2</v>
      </c>
      <c r="S168" s="2"/>
      <c r="T168" s="7"/>
      <c r="U168" s="2"/>
      <c r="V168" s="6">
        <f t="shared" si="44"/>
        <v>0</v>
      </c>
      <c r="W168" s="2"/>
      <c r="X168" s="7">
        <f t="shared" si="45"/>
        <v>114775.64</v>
      </c>
      <c r="Y168" s="2"/>
      <c r="Z168" s="6">
        <f t="shared" si="46"/>
        <v>0</v>
      </c>
    </row>
    <row r="169" spans="1:26" s="24" customFormat="1" hidden="1" outlineLevel="2" x14ac:dyDescent="0.35">
      <c r="A169" s="29"/>
      <c r="B169" s="11" t="str">
        <f>CONCATENATE("          ", "6322", " - ", "EQUIPMENT DEPRECIATION EXPENSE")</f>
        <v xml:space="preserve">          6322 - EQUIPMENT DEPRECIATION EXPENSE</v>
      </c>
      <c r="C169" s="11"/>
      <c r="D169" s="7">
        <v>14619.77</v>
      </c>
      <c r="E169" s="2"/>
      <c r="F169" s="6">
        <f t="shared" si="39"/>
        <v>1.117706139790969E-2</v>
      </c>
      <c r="G169" s="2"/>
      <c r="H169" s="7">
        <v>30594</v>
      </c>
      <c r="I169" s="2"/>
      <c r="J169" s="6">
        <f t="shared" si="40"/>
        <v>1.440405652582292E-2</v>
      </c>
      <c r="K169" s="2"/>
      <c r="L169" s="7">
        <f t="shared" si="41"/>
        <v>-15974.23</v>
      </c>
      <c r="M169" s="2"/>
      <c r="N169" s="6">
        <f t="shared" si="42"/>
        <v>-0.52213603974635547</v>
      </c>
      <c r="O169" s="11"/>
      <c r="P169" s="7">
        <v>102633.88</v>
      </c>
      <c r="Q169" s="2"/>
      <c r="R169" s="6">
        <f t="shared" si="43"/>
        <v>1.9430967666577554E-2</v>
      </c>
      <c r="S169" s="2"/>
      <c r="T169" s="7">
        <v>215166</v>
      </c>
      <c r="U169" s="2"/>
      <c r="V169" s="6">
        <f t="shared" si="44"/>
        <v>2.6047531666915643E-2</v>
      </c>
      <c r="W169" s="2"/>
      <c r="X169" s="7">
        <f t="shared" si="45"/>
        <v>-112532.12</v>
      </c>
      <c r="Y169" s="2"/>
      <c r="Z169" s="6">
        <f t="shared" si="46"/>
        <v>-0.52300140356747815</v>
      </c>
    </row>
    <row r="170" spans="1:26" s="28" customFormat="1" outlineLevel="1" collapsed="1" x14ac:dyDescent="0.35">
      <c r="A170" s="27"/>
      <c r="B170" s="14" t="str">
        <f>CONCATENATE("     ","Discounts and Markdowns                           ")</f>
        <v xml:space="preserve">     Discounts and Markdowns                           </v>
      </c>
      <c r="C170" s="14"/>
      <c r="D170" s="1">
        <f>SUM(OSRRefD22_6x_0)</f>
        <v>-42.86</v>
      </c>
      <c r="E170" s="1"/>
      <c r="F170" s="5">
        <f t="shared" ref="F170:F172" si="47">IF(D$12=0,0,D170/D$12)</f>
        <v>-3.2767194799535782E-5</v>
      </c>
      <c r="G170" s="1"/>
      <c r="H170" s="1">
        <f>SUM(OSRRefH22_6x_0)</f>
        <v>30087</v>
      </c>
      <c r="I170" s="1"/>
      <c r="J170" s="5">
        <f t="shared" ref="J170:J172" si="48">IF(H$12=0,0,H170/H$12)</f>
        <v>1.416535427510081E-2</v>
      </c>
      <c r="K170" s="1"/>
      <c r="L170" s="1">
        <f t="shared" ref="L170:L172" si="49">+D170-H170</f>
        <v>-30129.86</v>
      </c>
      <c r="M170" s="1"/>
      <c r="N170" s="5">
        <f t="shared" ref="N170:N172" si="50">IF(H170=0,0,L170/H170)</f>
        <v>-1.001424535513677</v>
      </c>
      <c r="O170" s="14"/>
      <c r="P170" s="1">
        <f>SUM(OSRRefP22_6x_0)</f>
        <v>-42.86</v>
      </c>
      <c r="Q170" s="1"/>
      <c r="R170" s="5">
        <f t="shared" ref="R170:R172" si="51">IF(P$12=0,0,P170/P$12)</f>
        <v>-8.1143894607659178E-6</v>
      </c>
      <c r="S170" s="1"/>
      <c r="T170" s="1">
        <f>SUM(OSRRefT22_6x_0)</f>
        <v>212576</v>
      </c>
      <c r="U170" s="1"/>
      <c r="V170" s="5">
        <f t="shared" ref="V170:V172" si="52">IF(T$12=0,0,T170/T$12)</f>
        <v>2.573399185571261E-2</v>
      </c>
      <c r="W170" s="1"/>
      <c r="X170" s="1">
        <f t="shared" ref="X170:X172" si="53">+P170-T170</f>
        <v>-212618.86</v>
      </c>
      <c r="Y170" s="1"/>
      <c r="Z170" s="5">
        <f t="shared" ref="Z170:Z172" si="54">IF(T170=0,0,X170/T170)</f>
        <v>-1.0002016220081289</v>
      </c>
    </row>
    <row r="171" spans="1:26" s="24" customFormat="1" hidden="1" outlineLevel="2" x14ac:dyDescent="0.35">
      <c r="A171" s="29"/>
      <c r="B171" s="11" t="str">
        <f>CONCATENATE("          ", "6382", " - ", "DISCOUNTS/MARK DOWNS")</f>
        <v xml:space="preserve">          6382 - DISCOUNTS/MARK DOWNS</v>
      </c>
      <c r="C171" s="11"/>
      <c r="D171" s="7"/>
      <c r="E171" s="2"/>
      <c r="F171" s="6">
        <f t="shared" si="47"/>
        <v>0</v>
      </c>
      <c r="G171" s="2"/>
      <c r="H171" s="7">
        <v>30087</v>
      </c>
      <c r="I171" s="2"/>
      <c r="J171" s="6">
        <f t="shared" si="48"/>
        <v>1.416535427510081E-2</v>
      </c>
      <c r="K171" s="2"/>
      <c r="L171" s="7">
        <f t="shared" si="49"/>
        <v>-30087</v>
      </c>
      <c r="M171" s="2"/>
      <c r="N171" s="6">
        <f t="shared" si="50"/>
        <v>-1</v>
      </c>
      <c r="O171" s="11"/>
      <c r="P171" s="7">
        <v>0</v>
      </c>
      <c r="Q171" s="2"/>
      <c r="R171" s="6">
        <f t="shared" si="51"/>
        <v>0</v>
      </c>
      <c r="S171" s="2"/>
      <c r="T171" s="7">
        <v>212576</v>
      </c>
      <c r="U171" s="2"/>
      <c r="V171" s="6">
        <f t="shared" si="52"/>
        <v>2.573399185571261E-2</v>
      </c>
      <c r="W171" s="2"/>
      <c r="X171" s="7">
        <f t="shared" si="53"/>
        <v>-212576</v>
      </c>
      <c r="Y171" s="2"/>
      <c r="Z171" s="6">
        <f t="shared" si="54"/>
        <v>-1</v>
      </c>
    </row>
    <row r="172" spans="1:26" s="24" customFormat="1" hidden="1" outlineLevel="2" x14ac:dyDescent="0.35">
      <c r="A172" s="29"/>
      <c r="B172" s="11" t="str">
        <f>CONCATENATE("          ", "9175", " - ", "EARNED DISCOUNTS")</f>
        <v xml:space="preserve">          9175 - EARNED DISCOUNTS</v>
      </c>
      <c r="C172" s="11"/>
      <c r="D172" s="7">
        <v>-42.86</v>
      </c>
      <c r="E172" s="2"/>
      <c r="F172" s="6">
        <f t="shared" si="47"/>
        <v>-3.2767194799535782E-5</v>
      </c>
      <c r="G172" s="2"/>
      <c r="H172" s="7"/>
      <c r="I172" s="2"/>
      <c r="J172" s="6">
        <f t="shared" si="48"/>
        <v>0</v>
      </c>
      <c r="K172" s="2"/>
      <c r="L172" s="7">
        <f t="shared" si="49"/>
        <v>-42.86</v>
      </c>
      <c r="M172" s="2"/>
      <c r="N172" s="6">
        <f t="shared" si="50"/>
        <v>0</v>
      </c>
      <c r="O172" s="11"/>
      <c r="P172" s="7">
        <v>-42.86</v>
      </c>
      <c r="Q172" s="2"/>
      <c r="R172" s="6">
        <f t="shared" si="51"/>
        <v>-8.1143894607659178E-6</v>
      </c>
      <c r="S172" s="2"/>
      <c r="T172" s="7"/>
      <c r="U172" s="2"/>
      <c r="V172" s="6">
        <f t="shared" si="52"/>
        <v>0</v>
      </c>
      <c r="W172" s="2"/>
      <c r="X172" s="7">
        <f t="shared" si="53"/>
        <v>-42.86</v>
      </c>
      <c r="Y172" s="2"/>
      <c r="Z172" s="6">
        <f t="shared" si="54"/>
        <v>0</v>
      </c>
    </row>
    <row r="173" spans="1:26" s="28" customFormat="1" outlineLevel="1" collapsed="1" x14ac:dyDescent="0.35">
      <c r="A173" s="27"/>
      <c r="B173" s="14" t="str">
        <f>CONCATENATE("     ","Donations                                         ")</f>
        <v xml:space="preserve">     Donations                                         </v>
      </c>
      <c r="C173" s="14"/>
      <c r="D173" s="1">
        <f>SUM(OSRRefD22_7x_0)</f>
        <v>0</v>
      </c>
      <c r="E173" s="1"/>
      <c r="F173" s="5">
        <f t="shared" ref="F173:F175" si="55">IF(D$12=0,0,D173/D$12)</f>
        <v>0</v>
      </c>
      <c r="G173" s="1"/>
      <c r="H173" s="1">
        <f>SUM(OSRRefH22_7x_0)</f>
        <v>1000</v>
      </c>
      <c r="I173" s="1"/>
      <c r="J173" s="5">
        <f t="shared" ref="J173:J175" si="56">IF(H$12=0,0,H173/H$12)</f>
        <v>4.7081311779508791E-4</v>
      </c>
      <c r="K173" s="1"/>
      <c r="L173" s="1">
        <f t="shared" ref="L173:L175" si="57">+D173-H173</f>
        <v>-1000</v>
      </c>
      <c r="M173" s="1"/>
      <c r="N173" s="5">
        <f t="shared" ref="N173:N175" si="58">IF(H173=0,0,L173/H173)</f>
        <v>-1</v>
      </c>
      <c r="O173" s="14"/>
      <c r="P173" s="1">
        <f>SUM(OSRRefP22_7x_0)</f>
        <v>0</v>
      </c>
      <c r="Q173" s="1"/>
      <c r="R173" s="5">
        <f t="shared" ref="R173:R175" si="59">IF(P$12=0,0,P173/P$12)</f>
        <v>0</v>
      </c>
      <c r="S173" s="1"/>
      <c r="T173" s="1">
        <f>SUM(OSRRefT22_7x_0)</f>
        <v>7000</v>
      </c>
      <c r="U173" s="1"/>
      <c r="V173" s="5">
        <f t="shared" ref="V173:V175" si="60">IF(T$12=0,0,T173/T$12)</f>
        <v>8.4740489514332888E-4</v>
      </c>
      <c r="W173" s="1"/>
      <c r="X173" s="1">
        <f t="shared" ref="X173:X175" si="61">+P173-T173</f>
        <v>-7000</v>
      </c>
      <c r="Y173" s="1"/>
      <c r="Z173" s="5">
        <f t="shared" ref="Z173:Z175" si="62">IF(T173=0,0,X173/T173)</f>
        <v>-1</v>
      </c>
    </row>
    <row r="174" spans="1:26" s="24" customFormat="1" hidden="1" outlineLevel="2" x14ac:dyDescent="0.35">
      <c r="A174" s="29"/>
      <c r="B174" s="11" t="str">
        <f>CONCATENATE("          ", "6395", " - ", "DONATION-OFF CAMPUS")</f>
        <v xml:space="preserve">          6395 - DONATION-OFF CAMPUS</v>
      </c>
      <c r="C174" s="11"/>
      <c r="D174" s="7"/>
      <c r="E174" s="2"/>
      <c r="F174" s="6">
        <f t="shared" si="55"/>
        <v>0</v>
      </c>
      <c r="G174" s="2"/>
      <c r="H174" s="7"/>
      <c r="I174" s="2"/>
      <c r="J174" s="6">
        <f t="shared" si="56"/>
        <v>0</v>
      </c>
      <c r="K174" s="2"/>
      <c r="L174" s="7">
        <f t="shared" si="57"/>
        <v>0</v>
      </c>
      <c r="M174" s="2"/>
      <c r="N174" s="6">
        <f t="shared" si="58"/>
        <v>0</v>
      </c>
      <c r="O174" s="11"/>
      <c r="P174" s="7"/>
      <c r="Q174" s="2"/>
      <c r="R174" s="6">
        <f t="shared" si="59"/>
        <v>0</v>
      </c>
      <c r="S174" s="2"/>
      <c r="T174" s="7">
        <v>0</v>
      </c>
      <c r="U174" s="2"/>
      <c r="V174" s="6">
        <f t="shared" si="60"/>
        <v>0</v>
      </c>
      <c r="W174" s="2"/>
      <c r="X174" s="7">
        <f t="shared" si="61"/>
        <v>0</v>
      </c>
      <c r="Y174" s="2"/>
      <c r="Z174" s="6">
        <f t="shared" si="62"/>
        <v>0</v>
      </c>
    </row>
    <row r="175" spans="1:26" s="24" customFormat="1" hidden="1" outlineLevel="2" x14ac:dyDescent="0.35">
      <c r="A175" s="29"/>
      <c r="B175" s="11" t="str">
        <f>CONCATENATE("          ", "6399", " - ", "DONATION-ON CAMPUS")</f>
        <v xml:space="preserve">          6399 - DONATION-ON CAMPUS</v>
      </c>
      <c r="C175" s="11"/>
      <c r="D175" s="7"/>
      <c r="E175" s="2"/>
      <c r="F175" s="6">
        <f t="shared" si="55"/>
        <v>0</v>
      </c>
      <c r="G175" s="2"/>
      <c r="H175" s="7">
        <v>1000</v>
      </c>
      <c r="I175" s="2"/>
      <c r="J175" s="6">
        <f t="shared" si="56"/>
        <v>4.7081311779508791E-4</v>
      </c>
      <c r="K175" s="2"/>
      <c r="L175" s="7">
        <f t="shared" si="57"/>
        <v>-1000</v>
      </c>
      <c r="M175" s="2"/>
      <c r="N175" s="6">
        <f t="shared" si="58"/>
        <v>-1</v>
      </c>
      <c r="O175" s="11"/>
      <c r="P175" s="7"/>
      <c r="Q175" s="2"/>
      <c r="R175" s="6">
        <f t="shared" si="59"/>
        <v>0</v>
      </c>
      <c r="S175" s="2"/>
      <c r="T175" s="7">
        <v>7000</v>
      </c>
      <c r="U175" s="2"/>
      <c r="V175" s="6">
        <f t="shared" si="60"/>
        <v>8.4740489514332888E-4</v>
      </c>
      <c r="W175" s="2"/>
      <c r="X175" s="7">
        <f t="shared" si="61"/>
        <v>-7000</v>
      </c>
      <c r="Y175" s="2"/>
      <c r="Z175" s="6">
        <f t="shared" si="62"/>
        <v>-1</v>
      </c>
    </row>
    <row r="176" spans="1:26" s="28" customFormat="1" outlineLevel="1" collapsed="1" x14ac:dyDescent="0.35">
      <c r="A176" s="27"/>
      <c r="B176" s="14" t="str">
        <f>CONCATENATE("     ","Employees' Appreciation                           ")</f>
        <v xml:space="preserve">     Employees' Appreciation                           </v>
      </c>
      <c r="C176" s="14"/>
      <c r="D176" s="1">
        <f>SUM(OSRRefD22_8x_0)</f>
        <v>78.33</v>
      </c>
      <c r="E176" s="1"/>
      <c r="F176" s="5">
        <f t="shared" ref="F176:F182" si="63">IF(D$12=0,0,D176/D$12)</f>
        <v>5.988460962780303E-5</v>
      </c>
      <c r="G176" s="1"/>
      <c r="H176" s="1">
        <f>SUM(OSRRefH22_8x_0)</f>
        <v>445</v>
      </c>
      <c r="I176" s="1"/>
      <c r="J176" s="5">
        <f t="shared" ref="J176:J182" si="64">IF(H$12=0,0,H176/H$12)</f>
        <v>2.0951183741881412E-4</v>
      </c>
      <c r="K176" s="1"/>
      <c r="L176" s="1">
        <f t="shared" ref="L176:L182" si="65">+D176-H176</f>
        <v>-366.67</v>
      </c>
      <c r="M176" s="1"/>
      <c r="N176" s="5">
        <f t="shared" ref="N176:N182" si="66">IF(H176=0,0,L176/H176)</f>
        <v>-0.82397752808988767</v>
      </c>
      <c r="O176" s="14"/>
      <c r="P176" s="1">
        <f>SUM(OSRRefP22_8x_0)</f>
        <v>186.03</v>
      </c>
      <c r="Q176" s="1"/>
      <c r="R176" s="5">
        <f t="shared" ref="R176:R182" si="67">IF(P$12=0,0,P176/P$12)</f>
        <v>3.5219782346856829E-5</v>
      </c>
      <c r="S176" s="1"/>
      <c r="T176" s="1">
        <f>SUM(OSRRefT22_8x_0)</f>
        <v>3015</v>
      </c>
      <c r="U176" s="1"/>
      <c r="V176" s="5">
        <f t="shared" ref="V176:V182" si="68">IF(T$12=0,0,T176/T$12)</f>
        <v>3.6498939412244808E-4</v>
      </c>
      <c r="W176" s="1"/>
      <c r="X176" s="1">
        <f t="shared" ref="X176:X182" si="69">+P176-T176</f>
        <v>-2828.97</v>
      </c>
      <c r="Y176" s="1"/>
      <c r="Z176" s="5">
        <f t="shared" ref="Z176:Z182" si="70">IF(T176=0,0,X176/T176)</f>
        <v>-0.9382985074626865</v>
      </c>
    </row>
    <row r="177" spans="1:26" s="24" customFormat="1" hidden="1" outlineLevel="2" x14ac:dyDescent="0.35">
      <c r="A177" s="29"/>
      <c r="B177" s="11" t="str">
        <f>CONCATENATE("          ", "6277", " - ", "EMPLOYEE APPRECIATION")</f>
        <v xml:space="preserve">          6277 - EMPLOYEE APPRECIATION</v>
      </c>
      <c r="C177" s="11"/>
      <c r="D177" s="7">
        <v>78.33</v>
      </c>
      <c r="E177" s="2"/>
      <c r="F177" s="6">
        <f t="shared" si="63"/>
        <v>5.988460962780303E-5</v>
      </c>
      <c r="G177" s="2"/>
      <c r="H177" s="7">
        <v>445</v>
      </c>
      <c r="I177" s="2"/>
      <c r="J177" s="6">
        <f t="shared" si="64"/>
        <v>2.0951183741881412E-4</v>
      </c>
      <c r="K177" s="2"/>
      <c r="L177" s="7">
        <f t="shared" si="65"/>
        <v>-366.67</v>
      </c>
      <c r="M177" s="2"/>
      <c r="N177" s="6">
        <f t="shared" si="66"/>
        <v>-0.82397752808988767</v>
      </c>
      <c r="O177" s="11"/>
      <c r="P177" s="7">
        <v>186.03</v>
      </c>
      <c r="Q177" s="2"/>
      <c r="R177" s="6">
        <f t="shared" si="67"/>
        <v>3.5219782346856829E-5</v>
      </c>
      <c r="S177" s="2"/>
      <c r="T177" s="7">
        <v>3015</v>
      </c>
      <c r="U177" s="2"/>
      <c r="V177" s="6">
        <f t="shared" si="68"/>
        <v>3.6498939412244808E-4</v>
      </c>
      <c r="W177" s="2"/>
      <c r="X177" s="7">
        <f t="shared" si="69"/>
        <v>-2828.97</v>
      </c>
      <c r="Y177" s="2"/>
      <c r="Z177" s="6">
        <f t="shared" si="70"/>
        <v>-0.9382985074626865</v>
      </c>
    </row>
    <row r="178" spans="1:26" s="28" customFormat="1" outlineLevel="1" collapsed="1" x14ac:dyDescent="0.35">
      <c r="A178" s="27"/>
      <c r="B178" s="14" t="str">
        <f>CONCATENATE("     ","Equipment Rental                                  ")</f>
        <v xml:space="preserve">     Equipment Rental                                  </v>
      </c>
      <c r="C178" s="14"/>
      <c r="D178" s="1">
        <f>SUM(OSRRefD22_9x_0)</f>
        <v>1388.16</v>
      </c>
      <c r="E178" s="1"/>
      <c r="F178" s="5">
        <f t="shared" si="63"/>
        <v>1.0612717949818851E-3</v>
      </c>
      <c r="G178" s="1"/>
      <c r="H178" s="1">
        <f>SUM(OSRRefH22_9x_0)</f>
        <v>3006</v>
      </c>
      <c r="I178" s="1"/>
      <c r="J178" s="5">
        <f t="shared" si="64"/>
        <v>1.4152642320920342E-3</v>
      </c>
      <c r="K178" s="1"/>
      <c r="L178" s="1">
        <f t="shared" si="65"/>
        <v>-1617.84</v>
      </c>
      <c r="M178" s="1"/>
      <c r="N178" s="5">
        <f t="shared" si="66"/>
        <v>-0.53820359281437125</v>
      </c>
      <c r="O178" s="14"/>
      <c r="P178" s="1">
        <f>SUM(OSRRefP22_9x_0)</f>
        <v>10364.9</v>
      </c>
      <c r="Q178" s="1"/>
      <c r="R178" s="5">
        <f t="shared" si="67"/>
        <v>1.9623153364883962E-3</v>
      </c>
      <c r="S178" s="1"/>
      <c r="T178" s="1">
        <f>SUM(OSRRefT22_9x_0)</f>
        <v>21042</v>
      </c>
      <c r="U178" s="1"/>
      <c r="V178" s="5">
        <f t="shared" si="68"/>
        <v>2.5472991148008466E-3</v>
      </c>
      <c r="W178" s="1"/>
      <c r="X178" s="1">
        <f t="shared" si="69"/>
        <v>-10677.1</v>
      </c>
      <c r="Y178" s="1"/>
      <c r="Z178" s="5">
        <f t="shared" si="70"/>
        <v>-0.50741849634065206</v>
      </c>
    </row>
    <row r="179" spans="1:26" s="24" customFormat="1" hidden="1" outlineLevel="2" x14ac:dyDescent="0.35">
      <c r="A179" s="29"/>
      <c r="B179" s="11" t="str">
        <f>CONCATENATE("          ", "6351", " - ", "EQUIPMENT RENTAL")</f>
        <v xml:space="preserve">          6351 - EQUIPMENT RENTAL</v>
      </c>
      <c r="C179" s="11"/>
      <c r="D179" s="7">
        <v>1388.16</v>
      </c>
      <c r="E179" s="2"/>
      <c r="F179" s="6">
        <f t="shared" si="63"/>
        <v>1.0612717949818851E-3</v>
      </c>
      <c r="G179" s="2"/>
      <c r="H179" s="7">
        <v>3006</v>
      </c>
      <c r="I179" s="2"/>
      <c r="J179" s="6">
        <f t="shared" si="64"/>
        <v>1.4152642320920342E-3</v>
      </c>
      <c r="K179" s="2"/>
      <c r="L179" s="7">
        <f t="shared" si="65"/>
        <v>-1617.84</v>
      </c>
      <c r="M179" s="2"/>
      <c r="N179" s="6">
        <f t="shared" si="66"/>
        <v>-0.53820359281437125</v>
      </c>
      <c r="O179" s="11"/>
      <c r="P179" s="7">
        <v>10364.9</v>
      </c>
      <c r="Q179" s="2"/>
      <c r="R179" s="6">
        <f t="shared" si="67"/>
        <v>1.9623153364883962E-3</v>
      </c>
      <c r="S179" s="2"/>
      <c r="T179" s="7">
        <v>21042</v>
      </c>
      <c r="U179" s="2"/>
      <c r="V179" s="6">
        <f t="shared" si="68"/>
        <v>2.5472991148008466E-3</v>
      </c>
      <c r="W179" s="2"/>
      <c r="X179" s="7">
        <f t="shared" si="69"/>
        <v>-10677.1</v>
      </c>
      <c r="Y179" s="2"/>
      <c r="Z179" s="6">
        <f t="shared" si="70"/>
        <v>-0.50741849634065206</v>
      </c>
    </row>
    <row r="180" spans="1:26" s="28" customFormat="1" outlineLevel="1" collapsed="1" x14ac:dyDescent="0.35">
      <c r="A180" s="27"/>
      <c r="B180" s="14" t="str">
        <f>CONCATENATE("     ","Freight out/Postage                               ")</f>
        <v xml:space="preserve">     Freight out/Postage                               </v>
      </c>
      <c r="C180" s="14"/>
      <c r="D180" s="1">
        <f>SUM(OSRRefD22_10x_0)</f>
        <v>-21647.59</v>
      </c>
      <c r="E180" s="1"/>
      <c r="F180" s="5">
        <f t="shared" si="63"/>
        <v>-1.6549948634402307E-2</v>
      </c>
      <c r="G180" s="1"/>
      <c r="H180" s="1">
        <f>SUM(OSRRefH22_10x_0)</f>
        <v>-11295</v>
      </c>
      <c r="I180" s="1"/>
      <c r="J180" s="5">
        <f t="shared" si="64"/>
        <v>-5.3178341654955179E-3</v>
      </c>
      <c r="K180" s="1"/>
      <c r="L180" s="1">
        <f t="shared" si="65"/>
        <v>-10352.59</v>
      </c>
      <c r="M180" s="1"/>
      <c r="N180" s="5">
        <f t="shared" si="66"/>
        <v>0.91656396635679505</v>
      </c>
      <c r="O180" s="14"/>
      <c r="P180" s="1">
        <f>SUM(OSRRefP22_10x_0)</f>
        <v>-35825.279999999999</v>
      </c>
      <c r="Q180" s="1"/>
      <c r="R180" s="5">
        <f t="shared" si="67"/>
        <v>-6.7825542338074661E-3</v>
      </c>
      <c r="S180" s="1"/>
      <c r="T180" s="1">
        <f>SUM(OSRRefT22_10x_0)</f>
        <v>40870</v>
      </c>
      <c r="U180" s="1"/>
      <c r="V180" s="5">
        <f t="shared" si="68"/>
        <v>4.9476340092154073E-3</v>
      </c>
      <c r="W180" s="1"/>
      <c r="X180" s="1">
        <f t="shared" si="69"/>
        <v>-76695.28</v>
      </c>
      <c r="Y180" s="1"/>
      <c r="Z180" s="5">
        <f t="shared" si="70"/>
        <v>-1.8765666748226082</v>
      </c>
    </row>
    <row r="181" spans="1:26" s="24" customFormat="1" hidden="1" outlineLevel="2" x14ac:dyDescent="0.35">
      <c r="A181" s="29"/>
      <c r="B181" s="11" t="str">
        <f>CONCATENATE("          ", "6305", " - ", "FREIGHT OUT")</f>
        <v xml:space="preserve">          6305 - FREIGHT OUT</v>
      </c>
      <c r="C181" s="11"/>
      <c r="D181" s="7">
        <v>18838.63</v>
      </c>
      <c r="E181" s="2"/>
      <c r="F181" s="6">
        <f t="shared" si="63"/>
        <v>1.4402451212468009E-2</v>
      </c>
      <c r="G181" s="2"/>
      <c r="H181" s="7">
        <v>4685</v>
      </c>
      <c r="I181" s="2"/>
      <c r="J181" s="6">
        <f t="shared" si="64"/>
        <v>2.205759456869987E-3</v>
      </c>
      <c r="K181" s="2"/>
      <c r="L181" s="7">
        <f t="shared" si="65"/>
        <v>14153.630000000001</v>
      </c>
      <c r="M181" s="2"/>
      <c r="N181" s="6">
        <f t="shared" si="66"/>
        <v>3.0210522945570975</v>
      </c>
      <c r="O181" s="11"/>
      <c r="P181" s="7">
        <v>136470.71</v>
      </c>
      <c r="Q181" s="2"/>
      <c r="R181" s="6">
        <f t="shared" si="67"/>
        <v>2.5837062317481146E-2</v>
      </c>
      <c r="S181" s="2"/>
      <c r="T181" s="7">
        <v>37480</v>
      </c>
      <c r="U181" s="2"/>
      <c r="V181" s="6">
        <f t="shared" si="68"/>
        <v>4.5372479242817097E-3</v>
      </c>
      <c r="W181" s="2"/>
      <c r="X181" s="7">
        <f t="shared" si="69"/>
        <v>98990.709999999992</v>
      </c>
      <c r="Y181" s="2"/>
      <c r="Z181" s="6">
        <f t="shared" si="70"/>
        <v>2.6411608858057627</v>
      </c>
    </row>
    <row r="182" spans="1:26" s="24" customFormat="1" hidden="1" outlineLevel="2" x14ac:dyDescent="0.35">
      <c r="A182" s="29"/>
      <c r="B182" s="11" t="str">
        <f>CONCATENATE("          ", "6307", " - ", "POSTAGE")</f>
        <v xml:space="preserve">          6307 - POSTAGE</v>
      </c>
      <c r="C182" s="11"/>
      <c r="D182" s="7">
        <v>-40486.22</v>
      </c>
      <c r="E182" s="2"/>
      <c r="F182" s="6">
        <f t="shared" si="63"/>
        <v>-3.0952399846870315E-2</v>
      </c>
      <c r="G182" s="2"/>
      <c r="H182" s="7">
        <v>-15980</v>
      </c>
      <c r="I182" s="2"/>
      <c r="J182" s="6">
        <f t="shared" si="64"/>
        <v>-7.5235936223655049E-3</v>
      </c>
      <c r="K182" s="2"/>
      <c r="L182" s="7">
        <f t="shared" si="65"/>
        <v>-24506.22</v>
      </c>
      <c r="M182" s="2"/>
      <c r="N182" s="6">
        <f t="shared" si="66"/>
        <v>1.5335556946182729</v>
      </c>
      <c r="O182" s="11"/>
      <c r="P182" s="7">
        <v>-172295.99</v>
      </c>
      <c r="Q182" s="2"/>
      <c r="R182" s="6">
        <f t="shared" si="67"/>
        <v>-3.2619616551288609E-2</v>
      </c>
      <c r="S182" s="2"/>
      <c r="T182" s="7">
        <v>3390</v>
      </c>
      <c r="U182" s="2"/>
      <c r="V182" s="6">
        <f t="shared" si="68"/>
        <v>4.1038608493369782E-4</v>
      </c>
      <c r="W182" s="2"/>
      <c r="X182" s="7">
        <f t="shared" si="69"/>
        <v>-175685.99</v>
      </c>
      <c r="Y182" s="2"/>
      <c r="Z182" s="6">
        <f t="shared" si="70"/>
        <v>-51.824775811209435</v>
      </c>
    </row>
    <row r="183" spans="1:26" s="28" customFormat="1" outlineLevel="1" collapsed="1" x14ac:dyDescent="0.35">
      <c r="A183" s="27"/>
      <c r="B183" s="14" t="str">
        <f>CONCATENATE("     ","General                                           ")</f>
        <v xml:space="preserve">     General                                           </v>
      </c>
      <c r="C183" s="14"/>
      <c r="D183" s="1">
        <f>SUM(OSRRefD22_11x_0)</f>
        <v>223.63</v>
      </c>
      <c r="E183" s="1"/>
      <c r="F183" s="5">
        <f t="shared" ref="F183:F186" si="71">IF(D$12=0,0,D183/D$12)</f>
        <v>1.709689167760193E-4</v>
      </c>
      <c r="G183" s="1"/>
      <c r="H183" s="1">
        <f>SUM(OSRRefH22_11x_0)</f>
        <v>1030</v>
      </c>
      <c r="I183" s="1"/>
      <c r="J183" s="5">
        <f t="shared" ref="J183:J186" si="72">IF(H$12=0,0,H183/H$12)</f>
        <v>4.8493751132894052E-4</v>
      </c>
      <c r="K183" s="1"/>
      <c r="L183" s="1">
        <f t="shared" ref="L183:L186" si="73">+D183-H183</f>
        <v>-806.37</v>
      </c>
      <c r="M183" s="1"/>
      <c r="N183" s="5">
        <f t="shared" ref="N183:N186" si="74">IF(H183=0,0,L183/H183)</f>
        <v>-0.78288349514563105</v>
      </c>
      <c r="O183" s="14"/>
      <c r="P183" s="1">
        <f>SUM(OSRRefP22_11x_0)</f>
        <v>2483.85</v>
      </c>
      <c r="Q183" s="1"/>
      <c r="R183" s="5">
        <f t="shared" ref="R183:R186" si="75">IF(P$12=0,0,P183/P$12)</f>
        <v>4.7025026276536222E-4</v>
      </c>
      <c r="S183" s="1"/>
      <c r="T183" s="1">
        <f>SUM(OSRRefT22_11x_0)</f>
        <v>8285</v>
      </c>
      <c r="U183" s="1"/>
      <c r="V183" s="5">
        <f t="shared" ref="V183:V186" si="76">IF(T$12=0,0,T183/T$12)</f>
        <v>1.0029642223232113E-3</v>
      </c>
      <c r="W183" s="1"/>
      <c r="X183" s="1">
        <f t="shared" ref="X183:X186" si="77">+P183-T183</f>
        <v>-5801.15</v>
      </c>
      <c r="Y183" s="1"/>
      <c r="Z183" s="5">
        <f t="shared" ref="Z183:Z186" si="78">IF(T183=0,0,X183/T183)</f>
        <v>-0.70019915509957753</v>
      </c>
    </row>
    <row r="184" spans="1:26" s="24" customFormat="1" hidden="1" outlineLevel="2" x14ac:dyDescent="0.35">
      <c r="A184" s="29"/>
      <c r="B184" s="11" t="str">
        <f>CONCATENATE("          ", "6269", " - ", "ENTERTAINMENT")</f>
        <v xml:space="preserve">          6269 - ENTERTAINMENT</v>
      </c>
      <c r="C184" s="11"/>
      <c r="D184" s="7"/>
      <c r="E184" s="2"/>
      <c r="F184" s="6">
        <f t="shared" si="71"/>
        <v>0</v>
      </c>
      <c r="G184" s="2"/>
      <c r="H184" s="7"/>
      <c r="I184" s="2"/>
      <c r="J184" s="6">
        <f t="shared" si="72"/>
        <v>0</v>
      </c>
      <c r="K184" s="2"/>
      <c r="L184" s="7">
        <f t="shared" si="73"/>
        <v>0</v>
      </c>
      <c r="M184" s="2"/>
      <c r="N184" s="6">
        <f t="shared" si="74"/>
        <v>0</v>
      </c>
      <c r="O184" s="11"/>
      <c r="P184" s="7"/>
      <c r="Q184" s="2"/>
      <c r="R184" s="6">
        <f t="shared" si="75"/>
        <v>0</v>
      </c>
      <c r="S184" s="2"/>
      <c r="T184" s="7">
        <v>1375</v>
      </c>
      <c r="U184" s="2"/>
      <c r="V184" s="6">
        <f t="shared" si="76"/>
        <v>1.6645453297458245E-4</v>
      </c>
      <c r="W184" s="2"/>
      <c r="X184" s="7">
        <f t="shared" si="77"/>
        <v>-1375</v>
      </c>
      <c r="Y184" s="2"/>
      <c r="Z184" s="6">
        <f t="shared" si="78"/>
        <v>-1</v>
      </c>
    </row>
    <row r="185" spans="1:26" s="24" customFormat="1" hidden="1" outlineLevel="2" x14ac:dyDescent="0.35">
      <c r="A185" s="29"/>
      <c r="B185" s="11" t="str">
        <f>CONCATENATE("          ", "6276", " - ", "PROPERTY TAX")</f>
        <v xml:space="preserve">          6276 - PROPERTY TAX</v>
      </c>
      <c r="C185" s="11"/>
      <c r="D185" s="7"/>
      <c r="E185" s="2"/>
      <c r="F185" s="6">
        <f t="shared" si="71"/>
        <v>0</v>
      </c>
      <c r="G185" s="2"/>
      <c r="H185" s="7"/>
      <c r="I185" s="2"/>
      <c r="J185" s="6">
        <f t="shared" si="72"/>
        <v>0</v>
      </c>
      <c r="K185" s="2"/>
      <c r="L185" s="7">
        <f t="shared" si="73"/>
        <v>0</v>
      </c>
      <c r="M185" s="2"/>
      <c r="N185" s="6">
        <f t="shared" si="74"/>
        <v>0</v>
      </c>
      <c r="O185" s="11"/>
      <c r="P185" s="7"/>
      <c r="Q185" s="2"/>
      <c r="R185" s="6">
        <f t="shared" si="75"/>
        <v>0</v>
      </c>
      <c r="S185" s="2"/>
      <c r="T185" s="7">
        <v>150</v>
      </c>
      <c r="U185" s="2"/>
      <c r="V185" s="6">
        <f t="shared" si="76"/>
        <v>1.8158676324499905E-5</v>
      </c>
      <c r="W185" s="2"/>
      <c r="X185" s="7">
        <f t="shared" si="77"/>
        <v>-150</v>
      </c>
      <c r="Y185" s="2"/>
      <c r="Z185" s="6">
        <f t="shared" si="78"/>
        <v>-1</v>
      </c>
    </row>
    <row r="186" spans="1:26" s="24" customFormat="1" hidden="1" outlineLevel="2" x14ac:dyDescent="0.35">
      <c r="A186" s="29"/>
      <c r="B186" s="11" t="str">
        <f>CONCATENATE("          ", "6279", " - ", "GENERAL EXPENSE")</f>
        <v xml:space="preserve">          6279 - GENERAL EXPENSE</v>
      </c>
      <c r="C186" s="11"/>
      <c r="D186" s="7">
        <v>223.63</v>
      </c>
      <c r="E186" s="2"/>
      <c r="F186" s="6">
        <f t="shared" si="71"/>
        <v>1.709689167760193E-4</v>
      </c>
      <c r="G186" s="2"/>
      <c r="H186" s="7">
        <v>1030</v>
      </c>
      <c r="I186" s="2"/>
      <c r="J186" s="6">
        <f t="shared" si="72"/>
        <v>4.8493751132894052E-4</v>
      </c>
      <c r="K186" s="2"/>
      <c r="L186" s="7">
        <f t="shared" si="73"/>
        <v>-806.37</v>
      </c>
      <c r="M186" s="2"/>
      <c r="N186" s="6">
        <f t="shared" si="74"/>
        <v>-0.78288349514563105</v>
      </c>
      <c r="O186" s="11"/>
      <c r="P186" s="7">
        <v>2483.85</v>
      </c>
      <c r="Q186" s="2"/>
      <c r="R186" s="6">
        <f t="shared" si="75"/>
        <v>4.7025026276536222E-4</v>
      </c>
      <c r="S186" s="2"/>
      <c r="T186" s="7">
        <v>6760</v>
      </c>
      <c r="U186" s="2"/>
      <c r="V186" s="6">
        <f t="shared" si="76"/>
        <v>8.1835101302412902E-4</v>
      </c>
      <c r="W186" s="2"/>
      <c r="X186" s="7">
        <f t="shared" si="77"/>
        <v>-4276.1499999999996</v>
      </c>
      <c r="Y186" s="2"/>
      <c r="Z186" s="6">
        <f t="shared" si="78"/>
        <v>-0.63256656804733724</v>
      </c>
    </row>
    <row r="187" spans="1:26" s="28" customFormat="1" outlineLevel="1" collapsed="1" x14ac:dyDescent="0.35">
      <c r="A187" s="27"/>
      <c r="B187" s="14" t="str">
        <f>CONCATENATE("     ","Insurance                                         ")</f>
        <v xml:space="preserve">     Insurance                                         </v>
      </c>
      <c r="C187" s="14"/>
      <c r="D187" s="1">
        <f>SUM(OSRRefD22_12x_0)</f>
        <v>4044.74</v>
      </c>
      <c r="E187" s="1"/>
      <c r="F187" s="5">
        <f t="shared" ref="F187:F199" si="79">IF(D$12=0,0,D187/D$12)</f>
        <v>3.092272130039066E-3</v>
      </c>
      <c r="G187" s="1"/>
      <c r="H187" s="1">
        <f>SUM(OSRRefH22_12x_0)</f>
        <v>4446</v>
      </c>
      <c r="I187" s="1"/>
      <c r="J187" s="5">
        <f t="shared" ref="J187:J199" si="80">IF(H$12=0,0,H187/H$12)</f>
        <v>2.0932351217169609E-3</v>
      </c>
      <c r="K187" s="1"/>
      <c r="L187" s="1">
        <f t="shared" ref="L187:L199" si="81">+D187-H187</f>
        <v>-401.26000000000022</v>
      </c>
      <c r="M187" s="1"/>
      <c r="N187" s="5">
        <f t="shared" ref="N187:N199" si="82">IF(H187=0,0,L187/H187)</f>
        <v>-9.0251911830859247E-2</v>
      </c>
      <c r="O187" s="14"/>
      <c r="P187" s="1">
        <f>SUM(OSRRefP22_12x_0)</f>
        <v>28313.18</v>
      </c>
      <c r="Q187" s="1"/>
      <c r="R187" s="5">
        <f t="shared" ref="R187:R199" si="83">IF(P$12=0,0,P187/P$12)</f>
        <v>5.3603399298359396E-3</v>
      </c>
      <c r="S187" s="1"/>
      <c r="T187" s="1">
        <f>SUM(OSRRefT22_12x_0)</f>
        <v>31122</v>
      </c>
      <c r="U187" s="1"/>
      <c r="V187" s="5">
        <f t="shared" ref="V187:V199" si="84">IF(T$12=0,0,T187/T$12)</f>
        <v>3.7675621638072402E-3</v>
      </c>
      <c r="W187" s="1"/>
      <c r="X187" s="1">
        <f t="shared" ref="X187:X199" si="85">+P187-T187</f>
        <v>-2808.8199999999997</v>
      </c>
      <c r="Y187" s="1"/>
      <c r="Z187" s="5">
        <f t="shared" ref="Z187:Z199" si="86">IF(T187=0,0,X187/T187)</f>
        <v>-9.0251911830859191E-2</v>
      </c>
    </row>
    <row r="188" spans="1:26" s="24" customFormat="1" hidden="1" outlineLevel="2" x14ac:dyDescent="0.35">
      <c r="A188" s="29"/>
      <c r="B188" s="11" t="str">
        <f>CONCATENATE("          ", "6314", " - ", "LIABILITY INSURANCE")</f>
        <v xml:space="preserve">          6314 - LIABILITY INSURANCE</v>
      </c>
      <c r="C188" s="11"/>
      <c r="D188" s="7">
        <v>4044.74</v>
      </c>
      <c r="E188" s="2"/>
      <c r="F188" s="6">
        <f t="shared" si="79"/>
        <v>3.092272130039066E-3</v>
      </c>
      <c r="G188" s="2"/>
      <c r="H188" s="7">
        <v>4446</v>
      </c>
      <c r="I188" s="2"/>
      <c r="J188" s="6">
        <f t="shared" si="80"/>
        <v>2.0932351217169609E-3</v>
      </c>
      <c r="K188" s="2"/>
      <c r="L188" s="7">
        <f t="shared" si="81"/>
        <v>-401.26000000000022</v>
      </c>
      <c r="M188" s="2"/>
      <c r="N188" s="6">
        <f t="shared" si="82"/>
        <v>-9.0251911830859247E-2</v>
      </c>
      <c r="O188" s="11"/>
      <c r="P188" s="7">
        <v>28313.18</v>
      </c>
      <c r="Q188" s="2"/>
      <c r="R188" s="6">
        <f t="shared" si="83"/>
        <v>5.3603399298359396E-3</v>
      </c>
      <c r="S188" s="2"/>
      <c r="T188" s="7">
        <v>31122</v>
      </c>
      <c r="U188" s="2"/>
      <c r="V188" s="6">
        <f t="shared" si="84"/>
        <v>3.7675621638072402E-3</v>
      </c>
      <c r="W188" s="2"/>
      <c r="X188" s="7">
        <f t="shared" si="85"/>
        <v>-2808.8199999999997</v>
      </c>
      <c r="Y188" s="2"/>
      <c r="Z188" s="6">
        <f t="shared" si="86"/>
        <v>-9.0251911830859191E-2</v>
      </c>
    </row>
    <row r="189" spans="1:26" s="28" customFormat="1" outlineLevel="1" collapsed="1" x14ac:dyDescent="0.35">
      <c r="A189" s="27"/>
      <c r="B189" s="14" t="str">
        <f>CONCATENATE("     ","Inventory Adjustment                              ")</f>
        <v xml:space="preserve">     Inventory Adjustment                              </v>
      </c>
      <c r="C189" s="14"/>
      <c r="D189" s="1">
        <f>SUM(OSRRefD22_13x_0)</f>
        <v>3350</v>
      </c>
      <c r="E189" s="1"/>
      <c r="F189" s="5">
        <f t="shared" si="79"/>
        <v>2.5611316513869547E-3</v>
      </c>
      <c r="G189" s="1"/>
      <c r="H189" s="1">
        <f>SUM(OSRRefH22_13x_0)</f>
        <v>4350</v>
      </c>
      <c r="I189" s="1"/>
      <c r="J189" s="5">
        <f t="shared" si="80"/>
        <v>2.0480370624086325E-3</v>
      </c>
      <c r="K189" s="1"/>
      <c r="L189" s="1">
        <f t="shared" si="81"/>
        <v>-1000</v>
      </c>
      <c r="M189" s="1"/>
      <c r="N189" s="5">
        <f t="shared" si="82"/>
        <v>-0.22988505747126436</v>
      </c>
      <c r="O189" s="14"/>
      <c r="P189" s="1">
        <f>SUM(OSRRefP22_13x_0)</f>
        <v>28450</v>
      </c>
      <c r="Q189" s="1"/>
      <c r="R189" s="5">
        <f t="shared" si="83"/>
        <v>5.3862431208303863E-3</v>
      </c>
      <c r="S189" s="1"/>
      <c r="T189" s="1">
        <f>SUM(OSRRefT22_13x_0)</f>
        <v>35450</v>
      </c>
      <c r="U189" s="1"/>
      <c r="V189" s="5">
        <f t="shared" si="84"/>
        <v>4.291500504690144E-3</v>
      </c>
      <c r="W189" s="1"/>
      <c r="X189" s="1">
        <f t="shared" si="85"/>
        <v>-7000</v>
      </c>
      <c r="Y189" s="1"/>
      <c r="Z189" s="5">
        <f t="shared" si="86"/>
        <v>-0.19746121297602257</v>
      </c>
    </row>
    <row r="190" spans="1:26" s="24" customFormat="1" hidden="1" outlineLevel="2" x14ac:dyDescent="0.35">
      <c r="A190" s="29"/>
      <c r="B190" s="11" t="str">
        <f>CONCATENATE("          ", "6408", " - ", "INVENTORY ADJUSTMENT")</f>
        <v xml:space="preserve">          6408 - INVENTORY ADJUSTMENT</v>
      </c>
      <c r="C190" s="11"/>
      <c r="D190" s="7">
        <v>3350</v>
      </c>
      <c r="E190" s="2"/>
      <c r="F190" s="6">
        <f t="shared" si="79"/>
        <v>2.5611316513869547E-3</v>
      </c>
      <c r="G190" s="2"/>
      <c r="H190" s="7">
        <v>4350</v>
      </c>
      <c r="I190" s="2"/>
      <c r="J190" s="6">
        <f t="shared" si="80"/>
        <v>2.0480370624086325E-3</v>
      </c>
      <c r="K190" s="2"/>
      <c r="L190" s="7">
        <f t="shared" si="81"/>
        <v>-1000</v>
      </c>
      <c r="M190" s="2"/>
      <c r="N190" s="6">
        <f t="shared" si="82"/>
        <v>-0.22988505747126436</v>
      </c>
      <c r="O190" s="11"/>
      <c r="P190" s="7">
        <v>28450</v>
      </c>
      <c r="Q190" s="2"/>
      <c r="R190" s="6">
        <f t="shared" si="83"/>
        <v>5.3862431208303863E-3</v>
      </c>
      <c r="S190" s="2"/>
      <c r="T190" s="7">
        <v>35450</v>
      </c>
      <c r="U190" s="2"/>
      <c r="V190" s="6">
        <f t="shared" si="84"/>
        <v>4.291500504690144E-3</v>
      </c>
      <c r="W190" s="2"/>
      <c r="X190" s="7">
        <f t="shared" si="85"/>
        <v>-7000</v>
      </c>
      <c r="Y190" s="2"/>
      <c r="Z190" s="6">
        <f t="shared" si="86"/>
        <v>-0.19746121297602257</v>
      </c>
    </row>
    <row r="191" spans="1:26" s="28" customFormat="1" outlineLevel="1" collapsed="1" x14ac:dyDescent="0.35">
      <c r="A191" s="27"/>
      <c r="B191" s="14" t="str">
        <f>CONCATENATE("     ","Professional Services                             ")</f>
        <v xml:space="preserve">     Professional Services                             </v>
      </c>
      <c r="C191" s="14"/>
      <c r="D191" s="1">
        <f>SUM(OSRRefD22_14x_0)</f>
        <v>0</v>
      </c>
      <c r="E191" s="1"/>
      <c r="F191" s="5">
        <f t="shared" si="79"/>
        <v>0</v>
      </c>
      <c r="G191" s="1"/>
      <c r="H191" s="1">
        <f>SUM(OSRRefH22_14x_0)</f>
        <v>250</v>
      </c>
      <c r="I191" s="1"/>
      <c r="J191" s="5">
        <f t="shared" si="80"/>
        <v>1.1770327944877198E-4</v>
      </c>
      <c r="K191" s="1"/>
      <c r="L191" s="1">
        <f t="shared" si="81"/>
        <v>-250</v>
      </c>
      <c r="M191" s="1"/>
      <c r="N191" s="5">
        <f t="shared" si="82"/>
        <v>-1</v>
      </c>
      <c r="O191" s="14"/>
      <c r="P191" s="1">
        <f>SUM(OSRRefP22_14x_0)</f>
        <v>0</v>
      </c>
      <c r="Q191" s="1"/>
      <c r="R191" s="5">
        <f t="shared" si="83"/>
        <v>0</v>
      </c>
      <c r="S191" s="1"/>
      <c r="T191" s="1">
        <f>SUM(OSRRefT22_14x_0)</f>
        <v>7050</v>
      </c>
      <c r="U191" s="1"/>
      <c r="V191" s="5">
        <f t="shared" si="84"/>
        <v>8.534577872514955E-4</v>
      </c>
      <c r="W191" s="1"/>
      <c r="X191" s="1">
        <f t="shared" si="85"/>
        <v>-7050</v>
      </c>
      <c r="Y191" s="1"/>
      <c r="Z191" s="5">
        <f t="shared" si="86"/>
        <v>-1</v>
      </c>
    </row>
    <row r="192" spans="1:26" s="24" customFormat="1" hidden="1" outlineLevel="2" x14ac:dyDescent="0.35">
      <c r="A192" s="29"/>
      <c r="B192" s="11" t="str">
        <f>CONCATENATE("          ", "6336", " - ", "PROFESSIONAL SERVICES")</f>
        <v xml:space="preserve">          6336 - PROFESSIONAL SERVICES</v>
      </c>
      <c r="C192" s="11"/>
      <c r="D192" s="7"/>
      <c r="E192" s="2"/>
      <c r="F192" s="6">
        <f t="shared" si="79"/>
        <v>0</v>
      </c>
      <c r="G192" s="2"/>
      <c r="H192" s="7">
        <v>250</v>
      </c>
      <c r="I192" s="2"/>
      <c r="J192" s="6">
        <f t="shared" si="80"/>
        <v>1.1770327944877198E-4</v>
      </c>
      <c r="K192" s="2"/>
      <c r="L192" s="7">
        <f t="shared" si="81"/>
        <v>-250</v>
      </c>
      <c r="M192" s="2"/>
      <c r="N192" s="6">
        <f t="shared" si="82"/>
        <v>-1</v>
      </c>
      <c r="O192" s="11"/>
      <c r="P192" s="7"/>
      <c r="Q192" s="2"/>
      <c r="R192" s="6">
        <f t="shared" si="83"/>
        <v>0</v>
      </c>
      <c r="S192" s="2"/>
      <c r="T192" s="7">
        <v>7050</v>
      </c>
      <c r="U192" s="2"/>
      <c r="V192" s="6">
        <f t="shared" si="84"/>
        <v>8.534577872514955E-4</v>
      </c>
      <c r="W192" s="2"/>
      <c r="X192" s="7">
        <f t="shared" si="85"/>
        <v>-7050</v>
      </c>
      <c r="Y192" s="2"/>
      <c r="Z192" s="6">
        <f t="shared" si="86"/>
        <v>-1</v>
      </c>
    </row>
    <row r="193" spans="1:26" s="28" customFormat="1" outlineLevel="1" collapsed="1" x14ac:dyDescent="0.35">
      <c r="A193" s="27"/>
      <c r="B193" s="14" t="str">
        <f>CONCATENATE("     ","Rent                                              ")</f>
        <v xml:space="preserve">     Rent                                              </v>
      </c>
      <c r="C193" s="14"/>
      <c r="D193" s="1">
        <f>SUM(OSRRefD22_15x_0)</f>
        <v>6100</v>
      </c>
      <c r="E193" s="1"/>
      <c r="F193" s="5">
        <f t="shared" si="79"/>
        <v>4.6635531562568425E-3</v>
      </c>
      <c r="G193" s="1"/>
      <c r="H193" s="1">
        <f>SUM(OSRRefH22_15x_0)</f>
        <v>6100</v>
      </c>
      <c r="I193" s="1"/>
      <c r="J193" s="5">
        <f t="shared" si="80"/>
        <v>2.8719600185500363E-3</v>
      </c>
      <c r="K193" s="1"/>
      <c r="L193" s="1">
        <f t="shared" si="81"/>
        <v>0</v>
      </c>
      <c r="M193" s="1"/>
      <c r="N193" s="5">
        <f t="shared" si="82"/>
        <v>0</v>
      </c>
      <c r="O193" s="14"/>
      <c r="P193" s="1">
        <f>SUM(OSRRefP22_15x_0)</f>
        <v>42700</v>
      </c>
      <c r="Q193" s="1"/>
      <c r="R193" s="5">
        <f t="shared" si="83"/>
        <v>8.084097759559138E-3</v>
      </c>
      <c r="S193" s="1"/>
      <c r="T193" s="1">
        <f>SUM(OSRRefT22_15x_0)</f>
        <v>42701</v>
      </c>
      <c r="U193" s="1"/>
      <c r="V193" s="5">
        <f t="shared" si="84"/>
        <v>5.169290918216469E-3</v>
      </c>
      <c r="W193" s="1"/>
      <c r="X193" s="1">
        <f t="shared" si="85"/>
        <v>-1</v>
      </c>
      <c r="Y193" s="1"/>
      <c r="Z193" s="5">
        <f t="shared" si="86"/>
        <v>-2.3418655300812628E-5</v>
      </c>
    </row>
    <row r="194" spans="1:26" s="24" customFormat="1" hidden="1" outlineLevel="2" x14ac:dyDescent="0.35">
      <c r="A194" s="29"/>
      <c r="B194" s="11" t="str">
        <f>CONCATENATE("          ", "6273", " - ", "RENT")</f>
        <v xml:space="preserve">          6273 - RENT</v>
      </c>
      <c r="C194" s="11"/>
      <c r="D194" s="7">
        <v>6100</v>
      </c>
      <c r="E194" s="2"/>
      <c r="F194" s="6">
        <f t="shared" si="79"/>
        <v>4.6635531562568425E-3</v>
      </c>
      <c r="G194" s="2"/>
      <c r="H194" s="7">
        <v>6100</v>
      </c>
      <c r="I194" s="2"/>
      <c r="J194" s="6">
        <f t="shared" si="80"/>
        <v>2.8719600185500363E-3</v>
      </c>
      <c r="K194" s="2"/>
      <c r="L194" s="7">
        <f t="shared" si="81"/>
        <v>0</v>
      </c>
      <c r="M194" s="2"/>
      <c r="N194" s="6">
        <f t="shared" si="82"/>
        <v>0</v>
      </c>
      <c r="O194" s="11"/>
      <c r="P194" s="7">
        <v>42700</v>
      </c>
      <c r="Q194" s="2"/>
      <c r="R194" s="6">
        <f t="shared" si="83"/>
        <v>8.084097759559138E-3</v>
      </c>
      <c r="S194" s="2"/>
      <c r="T194" s="7">
        <v>42701</v>
      </c>
      <c r="U194" s="2"/>
      <c r="V194" s="6">
        <f t="shared" si="84"/>
        <v>5.169290918216469E-3</v>
      </c>
      <c r="W194" s="2"/>
      <c r="X194" s="7">
        <f t="shared" si="85"/>
        <v>-1</v>
      </c>
      <c r="Y194" s="2"/>
      <c r="Z194" s="6">
        <f t="shared" si="86"/>
        <v>-2.3418655300812628E-5</v>
      </c>
    </row>
    <row r="195" spans="1:26" s="28" customFormat="1" outlineLevel="1" collapsed="1" x14ac:dyDescent="0.35">
      <c r="A195" s="27"/>
      <c r="B195" s="14" t="str">
        <f>CONCATENATE("     ","Repair and Maintenance                            ")</f>
        <v xml:space="preserve">     Repair and Maintenance                            </v>
      </c>
      <c r="C195" s="14"/>
      <c r="D195" s="1">
        <f>SUM(OSRRefD22_16x_0)</f>
        <v>3697</v>
      </c>
      <c r="E195" s="1"/>
      <c r="F195" s="5">
        <f t="shared" si="79"/>
        <v>2.8264190194559917E-3</v>
      </c>
      <c r="G195" s="1"/>
      <c r="H195" s="1">
        <f>SUM(OSRRefH22_16x_0)</f>
        <v>18110</v>
      </c>
      <c r="I195" s="1"/>
      <c r="J195" s="5">
        <f t="shared" si="80"/>
        <v>8.5264255632690415E-3</v>
      </c>
      <c r="K195" s="1"/>
      <c r="L195" s="1">
        <f t="shared" si="81"/>
        <v>-14413</v>
      </c>
      <c r="M195" s="1"/>
      <c r="N195" s="5">
        <f t="shared" si="82"/>
        <v>-0.79585864163445608</v>
      </c>
      <c r="O195" s="14"/>
      <c r="P195" s="1">
        <f>SUM(OSRRefP22_16x_0)</f>
        <v>112827.31999999999</v>
      </c>
      <c r="Q195" s="1"/>
      <c r="R195" s="5">
        <f t="shared" si="83"/>
        <v>2.1360821658760232E-2</v>
      </c>
      <c r="S195" s="1"/>
      <c r="T195" s="1">
        <f>SUM(OSRRefT22_16x_0)</f>
        <v>146775</v>
      </c>
      <c r="U195" s="1"/>
      <c r="V195" s="5">
        <f t="shared" si="84"/>
        <v>1.7768264783523155E-2</v>
      </c>
      <c r="W195" s="1"/>
      <c r="X195" s="1">
        <f t="shared" si="85"/>
        <v>-33947.680000000008</v>
      </c>
      <c r="Y195" s="1"/>
      <c r="Z195" s="5">
        <f t="shared" si="86"/>
        <v>-0.23129061488673144</v>
      </c>
    </row>
    <row r="196" spans="1:26" s="24" customFormat="1" hidden="1" outlineLevel="2" x14ac:dyDescent="0.35">
      <c r="A196" s="29"/>
      <c r="B196" s="11" t="str">
        <f>CONCATENATE("          ", "6371", " - ", "COMPUTER SOFTWARE MAINTENANCE")</f>
        <v xml:space="preserve">          6371 - COMPUTER SOFTWARE MAINTENANCE</v>
      </c>
      <c r="C196" s="11"/>
      <c r="D196" s="7"/>
      <c r="E196" s="2"/>
      <c r="F196" s="6">
        <f t="shared" si="79"/>
        <v>0</v>
      </c>
      <c r="G196" s="2"/>
      <c r="H196" s="7"/>
      <c r="I196" s="2"/>
      <c r="J196" s="6">
        <f t="shared" si="80"/>
        <v>0</v>
      </c>
      <c r="K196" s="2"/>
      <c r="L196" s="7">
        <f t="shared" si="81"/>
        <v>0</v>
      </c>
      <c r="M196" s="2"/>
      <c r="N196" s="6">
        <f t="shared" si="82"/>
        <v>0</v>
      </c>
      <c r="O196" s="11"/>
      <c r="P196" s="7">
        <v>58436.47</v>
      </c>
      <c r="Q196" s="2"/>
      <c r="R196" s="6">
        <f t="shared" si="83"/>
        <v>1.1063375555118146E-2</v>
      </c>
      <c r="S196" s="2"/>
      <c r="T196" s="7">
        <v>45000</v>
      </c>
      <c r="U196" s="2"/>
      <c r="V196" s="6">
        <f t="shared" si="84"/>
        <v>5.4476028973499714E-3</v>
      </c>
      <c r="W196" s="2"/>
      <c r="X196" s="7">
        <f t="shared" si="85"/>
        <v>13436.470000000001</v>
      </c>
      <c r="Y196" s="2"/>
      <c r="Z196" s="6">
        <f t="shared" si="86"/>
        <v>0.29858822222222225</v>
      </c>
    </row>
    <row r="197" spans="1:26" s="24" customFormat="1" hidden="1" outlineLevel="2" x14ac:dyDescent="0.35">
      <c r="A197" s="29"/>
      <c r="B197" s="11" t="str">
        <f>CONCATENATE("          ", "6372", " - ", "COMPUTER HARDWARE MAINTENANCE")</f>
        <v xml:space="preserve">          6372 - COMPUTER HARDWARE MAINTENANCE</v>
      </c>
      <c r="C197" s="11"/>
      <c r="D197" s="7"/>
      <c r="E197" s="2"/>
      <c r="F197" s="6">
        <f t="shared" si="79"/>
        <v>0</v>
      </c>
      <c r="G197" s="2"/>
      <c r="H197" s="7"/>
      <c r="I197" s="2"/>
      <c r="J197" s="6">
        <f t="shared" si="80"/>
        <v>0</v>
      </c>
      <c r="K197" s="2"/>
      <c r="L197" s="7">
        <f t="shared" si="81"/>
        <v>0</v>
      </c>
      <c r="M197" s="2"/>
      <c r="N197" s="6">
        <f t="shared" si="82"/>
        <v>0</v>
      </c>
      <c r="O197" s="11"/>
      <c r="P197" s="7">
        <v>0</v>
      </c>
      <c r="Q197" s="2"/>
      <c r="R197" s="6">
        <f t="shared" si="83"/>
        <v>0</v>
      </c>
      <c r="S197" s="2"/>
      <c r="T197" s="7"/>
      <c r="U197" s="2"/>
      <c r="V197" s="6">
        <f t="shared" si="84"/>
        <v>0</v>
      </c>
      <c r="W197" s="2"/>
      <c r="X197" s="7">
        <f t="shared" si="85"/>
        <v>0</v>
      </c>
      <c r="Y197" s="2"/>
      <c r="Z197" s="6">
        <f t="shared" si="86"/>
        <v>0</v>
      </c>
    </row>
    <row r="198" spans="1:26" s="24" customFormat="1" hidden="1" outlineLevel="2" x14ac:dyDescent="0.35">
      <c r="A198" s="29"/>
      <c r="B198" s="11" t="str">
        <f>CONCATENATE("          ", "6373", " - ", "MAINTENANCE CONTRACTS")</f>
        <v xml:space="preserve">          6373 - MAINTENANCE CONTRACTS</v>
      </c>
      <c r="C198" s="11"/>
      <c r="D198" s="7">
        <v>1122</v>
      </c>
      <c r="E198" s="2"/>
      <c r="F198" s="6">
        <f t="shared" si="79"/>
        <v>8.5778797398691439E-4</v>
      </c>
      <c r="G198" s="2"/>
      <c r="H198" s="7">
        <v>9740</v>
      </c>
      <c r="I198" s="2"/>
      <c r="J198" s="6">
        <f t="shared" si="80"/>
        <v>4.5857197673241559E-3</v>
      </c>
      <c r="K198" s="2"/>
      <c r="L198" s="7">
        <f t="shared" si="81"/>
        <v>-8618</v>
      </c>
      <c r="M198" s="2"/>
      <c r="N198" s="6">
        <f t="shared" si="82"/>
        <v>-0.88480492813141687</v>
      </c>
      <c r="O198" s="11"/>
      <c r="P198" s="7">
        <v>40054.18</v>
      </c>
      <c r="Q198" s="2"/>
      <c r="R198" s="6">
        <f t="shared" si="83"/>
        <v>7.5831828290158889E-3</v>
      </c>
      <c r="S198" s="2"/>
      <c r="T198" s="7">
        <v>42680</v>
      </c>
      <c r="U198" s="2"/>
      <c r="V198" s="6">
        <f t="shared" si="84"/>
        <v>5.1667487035310395E-3</v>
      </c>
      <c r="W198" s="2"/>
      <c r="X198" s="7">
        <f t="shared" si="85"/>
        <v>-2625.8199999999997</v>
      </c>
      <c r="Y198" s="2"/>
      <c r="Z198" s="6">
        <f t="shared" si="86"/>
        <v>-6.1523430178069348E-2</v>
      </c>
    </row>
    <row r="199" spans="1:26" s="24" customFormat="1" hidden="1" outlineLevel="2" x14ac:dyDescent="0.35">
      <c r="A199" s="29"/>
      <c r="B199" s="11" t="str">
        <f>CONCATENATE("          ", "6375", " - ", "OUTSIDE REPAIRS &amp; MAINTENANCE")</f>
        <v xml:space="preserve">          6375 - OUTSIDE REPAIRS &amp; MAINTENANCE</v>
      </c>
      <c r="C199" s="11"/>
      <c r="D199" s="7">
        <v>2575</v>
      </c>
      <c r="E199" s="2"/>
      <c r="F199" s="6">
        <f t="shared" si="79"/>
        <v>1.9686310454690771E-3</v>
      </c>
      <c r="G199" s="2"/>
      <c r="H199" s="7">
        <v>8370</v>
      </c>
      <c r="I199" s="2"/>
      <c r="J199" s="6">
        <f t="shared" si="80"/>
        <v>3.9407057959448856E-3</v>
      </c>
      <c r="K199" s="2"/>
      <c r="L199" s="7">
        <f t="shared" si="81"/>
        <v>-5795</v>
      </c>
      <c r="M199" s="2"/>
      <c r="N199" s="6">
        <f t="shared" si="82"/>
        <v>-0.69235364396654719</v>
      </c>
      <c r="O199" s="11"/>
      <c r="P199" s="7">
        <v>14336.67</v>
      </c>
      <c r="Q199" s="2"/>
      <c r="R199" s="6">
        <f t="shared" si="83"/>
        <v>2.7142632746261996E-3</v>
      </c>
      <c r="S199" s="2"/>
      <c r="T199" s="7">
        <v>59095.000000000007</v>
      </c>
      <c r="U199" s="2"/>
      <c r="V199" s="6">
        <f t="shared" si="84"/>
        <v>7.1539131826421467E-3</v>
      </c>
      <c r="W199" s="2"/>
      <c r="X199" s="7">
        <f t="shared" si="85"/>
        <v>-44758.330000000009</v>
      </c>
      <c r="Y199" s="2"/>
      <c r="Z199" s="6">
        <f t="shared" si="86"/>
        <v>-0.75739622641509441</v>
      </c>
    </row>
    <row r="200" spans="1:26" s="28" customFormat="1" outlineLevel="1" collapsed="1" x14ac:dyDescent="0.35">
      <c r="A200" s="27"/>
      <c r="B200" s="14" t="str">
        <f>CONCATENATE("     ","Royalty &amp; Commissions                             ")</f>
        <v xml:space="preserve">     Royalty &amp; Commissions                             </v>
      </c>
      <c r="C200" s="14"/>
      <c r="D200" s="1">
        <f>SUM(OSRRefD22_17x_0)</f>
        <v>7789.59</v>
      </c>
      <c r="E200" s="1"/>
      <c r="F200" s="5">
        <f t="shared" ref="F200:F204" si="87">IF(D$12=0,0,D200/D$12)</f>
        <v>5.9552732836797937E-3</v>
      </c>
      <c r="G200" s="1"/>
      <c r="H200" s="1">
        <f>SUM(OSRRefH22_17x_0)</f>
        <v>11971</v>
      </c>
      <c r="I200" s="1"/>
      <c r="J200" s="5">
        <f t="shared" ref="J200:J204" si="88">IF(H$12=0,0,H200/H$12)</f>
        <v>5.6361038331249969E-3</v>
      </c>
      <c r="K200" s="1"/>
      <c r="L200" s="1">
        <f t="shared" ref="L200:L204" si="89">+D200-H200</f>
        <v>-4181.41</v>
      </c>
      <c r="M200" s="1"/>
      <c r="N200" s="5">
        <f t="shared" ref="N200:N204" si="90">IF(H200=0,0,L200/H200)</f>
        <v>-0.34929496282683148</v>
      </c>
      <c r="O200" s="14"/>
      <c r="P200" s="1">
        <f>SUM(OSRRefP22_17x_0)</f>
        <v>36365.65</v>
      </c>
      <c r="Q200" s="1"/>
      <c r="R200" s="5">
        <f t="shared" ref="R200:R204" si="91">IF(P$12=0,0,P200/P$12)</f>
        <v>6.8848587749393867E-3</v>
      </c>
      <c r="S200" s="1"/>
      <c r="T200" s="1">
        <f>SUM(OSRRefT22_17x_0)</f>
        <v>53947</v>
      </c>
      <c r="U200" s="1"/>
      <c r="V200" s="5">
        <f t="shared" ref="V200:V204" si="92">IF(T$12=0,0,T200/T$12)</f>
        <v>6.5307074111853091E-3</v>
      </c>
      <c r="W200" s="1"/>
      <c r="X200" s="1">
        <f t="shared" ref="X200:X204" si="93">+P200-T200</f>
        <v>-17581.349999999999</v>
      </c>
      <c r="Y200" s="1"/>
      <c r="Z200" s="5">
        <f t="shared" ref="Z200:Z204" si="94">IF(T200=0,0,X200/T200)</f>
        <v>-0.3259004207833614</v>
      </c>
    </row>
    <row r="201" spans="1:26" s="24" customFormat="1" hidden="1" outlineLevel="2" x14ac:dyDescent="0.35">
      <c r="A201" s="29"/>
      <c r="B201" s="11" t="str">
        <f>CONCATENATE("          ", "6252", " - ", "ROYALTY DUE CSTV")</f>
        <v xml:space="preserve">          6252 - ROYALTY DUE CSTV</v>
      </c>
      <c r="C201" s="11"/>
      <c r="D201" s="7"/>
      <c r="E201" s="2"/>
      <c r="F201" s="6">
        <f t="shared" si="87"/>
        <v>0</v>
      </c>
      <c r="G201" s="2"/>
      <c r="H201" s="7">
        <v>1085</v>
      </c>
      <c r="I201" s="2"/>
      <c r="J201" s="6">
        <f t="shared" si="88"/>
        <v>5.108322328076704E-4</v>
      </c>
      <c r="K201" s="2"/>
      <c r="L201" s="7">
        <f t="shared" si="89"/>
        <v>-1085</v>
      </c>
      <c r="M201" s="2"/>
      <c r="N201" s="6">
        <f t="shared" si="90"/>
        <v>-1</v>
      </c>
      <c r="O201" s="11"/>
      <c r="P201" s="7"/>
      <c r="Q201" s="2"/>
      <c r="R201" s="6">
        <f t="shared" si="91"/>
        <v>0</v>
      </c>
      <c r="S201" s="2"/>
      <c r="T201" s="7">
        <v>7595</v>
      </c>
      <c r="U201" s="2"/>
      <c r="V201" s="6">
        <f t="shared" si="92"/>
        <v>9.1943431123051186E-4</v>
      </c>
      <c r="W201" s="2"/>
      <c r="X201" s="7">
        <f t="shared" si="93"/>
        <v>-7595</v>
      </c>
      <c r="Y201" s="2"/>
      <c r="Z201" s="6">
        <f t="shared" si="94"/>
        <v>-1</v>
      </c>
    </row>
    <row r="202" spans="1:26" s="24" customFormat="1" hidden="1" outlineLevel="2" x14ac:dyDescent="0.35">
      <c r="A202" s="29"/>
      <c r="B202" s="11" t="str">
        <f>CONCATENATE("          ", "6253", " - ", "ROYALTY DUE ATHLETICS-LRG")</f>
        <v xml:space="preserve">          6253 - ROYALTY DUE ATHLETICS-LRG</v>
      </c>
      <c r="C202" s="11"/>
      <c r="D202" s="7">
        <v>7785.78</v>
      </c>
      <c r="E202" s="2"/>
      <c r="F202" s="6">
        <f t="shared" si="87"/>
        <v>5.95236047424941E-3</v>
      </c>
      <c r="G202" s="2"/>
      <c r="H202" s="7">
        <v>4037</v>
      </c>
      <c r="I202" s="2"/>
      <c r="J202" s="6">
        <f t="shared" si="88"/>
        <v>1.9006725565387699E-3</v>
      </c>
      <c r="K202" s="2"/>
      <c r="L202" s="7">
        <f t="shared" si="89"/>
        <v>3748.7799999999997</v>
      </c>
      <c r="M202" s="2"/>
      <c r="N202" s="6">
        <f t="shared" si="90"/>
        <v>0.92860540004954173</v>
      </c>
      <c r="O202" s="11"/>
      <c r="P202" s="7">
        <v>26197.58</v>
      </c>
      <c r="Q202" s="2"/>
      <c r="R202" s="6">
        <f t="shared" si="91"/>
        <v>4.9598079106293047E-3</v>
      </c>
      <c r="S202" s="2"/>
      <c r="T202" s="7">
        <v>28259</v>
      </c>
      <c r="U202" s="2"/>
      <c r="V202" s="6">
        <f t="shared" si="92"/>
        <v>3.4209735616936186E-3</v>
      </c>
      <c r="W202" s="2"/>
      <c r="X202" s="7">
        <f t="shared" si="93"/>
        <v>-2061.4199999999983</v>
      </c>
      <c r="Y202" s="2"/>
      <c r="Z202" s="6">
        <f t="shared" si="94"/>
        <v>-7.2947379595880893E-2</v>
      </c>
    </row>
    <row r="203" spans="1:26" s="24" customFormat="1" hidden="1" outlineLevel="2" x14ac:dyDescent="0.35">
      <c r="A203" s="29"/>
      <c r="B203" s="11" t="str">
        <f>CONCATENATE("          ", "6254", " - ", "ROYALTY &amp; COMMISSIONS")</f>
        <v xml:space="preserve">          6254 - ROYALTY &amp; COMMISSIONS</v>
      </c>
      <c r="C203" s="11"/>
      <c r="D203" s="7"/>
      <c r="E203" s="2"/>
      <c r="F203" s="6">
        <f t="shared" si="87"/>
        <v>0</v>
      </c>
      <c r="G203" s="2"/>
      <c r="H203" s="7">
        <v>1149</v>
      </c>
      <c r="I203" s="2"/>
      <c r="J203" s="6">
        <f t="shared" si="88"/>
        <v>5.4096427234655601E-4</v>
      </c>
      <c r="K203" s="2"/>
      <c r="L203" s="7">
        <f t="shared" si="89"/>
        <v>-1149</v>
      </c>
      <c r="M203" s="2"/>
      <c r="N203" s="6">
        <f t="shared" si="90"/>
        <v>-1</v>
      </c>
      <c r="O203" s="11"/>
      <c r="P203" s="7"/>
      <c r="Q203" s="2"/>
      <c r="R203" s="6">
        <f t="shared" si="91"/>
        <v>0</v>
      </c>
      <c r="S203" s="2"/>
      <c r="T203" s="7">
        <v>8043</v>
      </c>
      <c r="U203" s="2"/>
      <c r="V203" s="6">
        <f t="shared" si="92"/>
        <v>9.7366822451968487E-4</v>
      </c>
      <c r="W203" s="2"/>
      <c r="X203" s="7">
        <f t="shared" si="93"/>
        <v>-8043</v>
      </c>
      <c r="Y203" s="2"/>
      <c r="Z203" s="6">
        <f t="shared" si="94"/>
        <v>-1</v>
      </c>
    </row>
    <row r="204" spans="1:26" s="24" customFormat="1" hidden="1" outlineLevel="2" x14ac:dyDescent="0.35">
      <c r="A204" s="29"/>
      <c r="B204" s="11" t="str">
        <f>CONCATENATE("          ", "6259", " - ", "ROYALTY &amp; COMMISSIONS")</f>
        <v xml:space="preserve">          6259 - ROYALTY &amp; COMMISSIONS</v>
      </c>
      <c r="C204" s="11"/>
      <c r="D204" s="7">
        <v>3.81</v>
      </c>
      <c r="E204" s="2"/>
      <c r="F204" s="6">
        <f t="shared" si="87"/>
        <v>2.9128094303833726E-6</v>
      </c>
      <c r="G204" s="2"/>
      <c r="H204" s="7">
        <v>5700</v>
      </c>
      <c r="I204" s="2"/>
      <c r="J204" s="6">
        <f t="shared" si="88"/>
        <v>2.683634771432001E-3</v>
      </c>
      <c r="K204" s="2"/>
      <c r="L204" s="7">
        <f t="shared" si="89"/>
        <v>-5696.19</v>
      </c>
      <c r="M204" s="2"/>
      <c r="N204" s="6">
        <f t="shared" si="90"/>
        <v>-0.99933157894736835</v>
      </c>
      <c r="O204" s="11"/>
      <c r="P204" s="7">
        <v>10168.07</v>
      </c>
      <c r="Q204" s="2"/>
      <c r="R204" s="6">
        <f t="shared" si="91"/>
        <v>1.9250508643100818E-3</v>
      </c>
      <c r="S204" s="2"/>
      <c r="T204" s="7">
        <v>10050</v>
      </c>
      <c r="U204" s="2"/>
      <c r="V204" s="6">
        <f t="shared" si="92"/>
        <v>1.2166313137414936E-3</v>
      </c>
      <c r="W204" s="2"/>
      <c r="X204" s="7">
        <f t="shared" si="93"/>
        <v>118.06999999999971</v>
      </c>
      <c r="Y204" s="2"/>
      <c r="Z204" s="6">
        <f t="shared" si="94"/>
        <v>1.1748258706467632E-2</v>
      </c>
    </row>
    <row r="205" spans="1:26" s="28" customFormat="1" outlineLevel="1" collapsed="1" x14ac:dyDescent="0.35">
      <c r="A205" s="27"/>
      <c r="B205" s="14" t="str">
        <f>CONCATENATE("     ","Services                                          ")</f>
        <v xml:space="preserve">     Services                                          </v>
      </c>
      <c r="C205" s="14"/>
      <c r="D205" s="1">
        <f>SUM(OSRRefD22_18x_0)</f>
        <v>5545.57</v>
      </c>
      <c r="E205" s="1"/>
      <c r="F205" s="5">
        <f t="shared" ref="F205:F209" si="95">IF(D$12=0,0,D205/D$12)</f>
        <v>4.2396820453677476E-3</v>
      </c>
      <c r="G205" s="1"/>
      <c r="H205" s="1">
        <f>SUM(OSRRefH22_18x_0)</f>
        <v>5054</v>
      </c>
      <c r="I205" s="1"/>
      <c r="J205" s="5">
        <f t="shared" ref="J205:J209" si="96">IF(H$12=0,0,H205/H$12)</f>
        <v>2.3794894973363742E-3</v>
      </c>
      <c r="K205" s="1"/>
      <c r="L205" s="1">
        <f t="shared" ref="L205:L209" si="97">+D205-H205</f>
        <v>491.56999999999971</v>
      </c>
      <c r="M205" s="1"/>
      <c r="N205" s="5">
        <f t="shared" ref="N205:N209" si="98">IF(H205=0,0,L205/H205)</f>
        <v>9.7263553620894283E-2</v>
      </c>
      <c r="O205" s="14"/>
      <c r="P205" s="1">
        <f>SUM(OSRRefP22_18x_0)</f>
        <v>24729.32</v>
      </c>
      <c r="Q205" s="1"/>
      <c r="R205" s="5">
        <f t="shared" ref="R205:R209" si="99">IF(P$12=0,0,P205/P$12)</f>
        <v>4.6818323280426464E-3</v>
      </c>
      <c r="S205" s="1"/>
      <c r="T205" s="1">
        <f>SUM(OSRRefT22_18x_0)</f>
        <v>33264</v>
      </c>
      <c r="U205" s="1"/>
      <c r="V205" s="5">
        <f t="shared" ref="V205:V209" si="100">IF(T$12=0,0,T205/T$12)</f>
        <v>4.026868061721099E-3</v>
      </c>
      <c r="W205" s="1"/>
      <c r="X205" s="1">
        <f t="shared" ref="X205:X209" si="101">+P205-T205</f>
        <v>-8534.68</v>
      </c>
      <c r="Y205" s="1"/>
      <c r="Z205" s="5">
        <f t="shared" ref="Z205:Z209" si="102">IF(T205=0,0,X205/T205)</f>
        <v>-0.25657407407407407</v>
      </c>
    </row>
    <row r="206" spans="1:26" s="24" customFormat="1" hidden="1" outlineLevel="2" x14ac:dyDescent="0.35">
      <c r="A206" s="29"/>
      <c r="B206" s="11" t="str">
        <f>CONCATENATE("          ", "6282", " - ", "JANITORIAL/EXTERMINATOR EXPENS")</f>
        <v xml:space="preserve">          6282 - JANITORIAL/EXTERMINATOR EXPENS</v>
      </c>
      <c r="C206" s="11"/>
      <c r="D206" s="7">
        <v>1613</v>
      </c>
      <c r="E206" s="2"/>
      <c r="F206" s="6">
        <f t="shared" si="95"/>
        <v>1.233165777220047E-3</v>
      </c>
      <c r="G206" s="2"/>
      <c r="H206" s="7">
        <v>4000</v>
      </c>
      <c r="I206" s="2"/>
      <c r="J206" s="6">
        <f t="shared" si="96"/>
        <v>1.8832524711803517E-3</v>
      </c>
      <c r="K206" s="2"/>
      <c r="L206" s="7">
        <f t="shared" si="97"/>
        <v>-2387</v>
      </c>
      <c r="M206" s="2"/>
      <c r="N206" s="6">
        <f t="shared" si="98"/>
        <v>-0.59675</v>
      </c>
      <c r="O206" s="11"/>
      <c r="P206" s="7">
        <v>6953.12</v>
      </c>
      <c r="Q206" s="2"/>
      <c r="R206" s="6">
        <f t="shared" si="99"/>
        <v>1.3163864593429939E-3</v>
      </c>
      <c r="S206" s="2"/>
      <c r="T206" s="7">
        <v>28000</v>
      </c>
      <c r="U206" s="2"/>
      <c r="V206" s="6">
        <f t="shared" si="100"/>
        <v>3.3896195805733155E-3</v>
      </c>
      <c r="W206" s="2"/>
      <c r="X206" s="7">
        <f t="shared" si="101"/>
        <v>-21046.880000000001</v>
      </c>
      <c r="Y206" s="2"/>
      <c r="Z206" s="6">
        <f t="shared" si="102"/>
        <v>-0.75167428571428574</v>
      </c>
    </row>
    <row r="207" spans="1:26" s="24" customFormat="1" hidden="1" outlineLevel="2" x14ac:dyDescent="0.35">
      <c r="A207" s="29"/>
      <c r="B207" s="11" t="str">
        <f>CONCATENATE("          ", "6283", " - ", "PLANT SERVICE")</f>
        <v xml:space="preserve">          6283 - PLANT SERVICE</v>
      </c>
      <c r="C207" s="11"/>
      <c r="D207" s="7"/>
      <c r="E207" s="2"/>
      <c r="F207" s="6">
        <f t="shared" si="95"/>
        <v>0</v>
      </c>
      <c r="G207" s="2"/>
      <c r="H207" s="7">
        <v>0</v>
      </c>
      <c r="I207" s="2"/>
      <c r="J207" s="6">
        <f t="shared" si="96"/>
        <v>0</v>
      </c>
      <c r="K207" s="2"/>
      <c r="L207" s="7">
        <f t="shared" si="97"/>
        <v>0</v>
      </c>
      <c r="M207" s="2"/>
      <c r="N207" s="6">
        <f t="shared" si="98"/>
        <v>0</v>
      </c>
      <c r="O207" s="11"/>
      <c r="P207" s="7">
        <v>171.31</v>
      </c>
      <c r="Q207" s="2"/>
      <c r="R207" s="6">
        <f t="shared" si="99"/>
        <v>3.2432945835833161E-5</v>
      </c>
      <c r="S207" s="2"/>
      <c r="T207" s="7">
        <v>0</v>
      </c>
      <c r="U207" s="2"/>
      <c r="V207" s="6">
        <f t="shared" si="100"/>
        <v>0</v>
      </c>
      <c r="W207" s="2"/>
      <c r="X207" s="7">
        <f t="shared" si="101"/>
        <v>171.31</v>
      </c>
      <c r="Y207" s="2"/>
      <c r="Z207" s="6">
        <f t="shared" si="102"/>
        <v>0</v>
      </c>
    </row>
    <row r="208" spans="1:26" s="24" customFormat="1" hidden="1" outlineLevel="2" x14ac:dyDescent="0.35">
      <c r="A208" s="29"/>
      <c r="B208" s="11" t="str">
        <f>CONCATENATE("          ", "6284", " - ", "TRASH REMOVAL EXPENSE")</f>
        <v xml:space="preserve">          6284 - TRASH REMOVAL EXPENSE</v>
      </c>
      <c r="C208" s="11"/>
      <c r="D208" s="7">
        <v>142.57</v>
      </c>
      <c r="E208" s="2"/>
      <c r="F208" s="6">
        <f t="shared" si="95"/>
        <v>1.0899717598156362E-4</v>
      </c>
      <c r="G208" s="2"/>
      <c r="H208" s="7">
        <v>55</v>
      </c>
      <c r="I208" s="2"/>
      <c r="J208" s="6">
        <f t="shared" si="96"/>
        <v>2.5894721478729834E-5</v>
      </c>
      <c r="K208" s="2"/>
      <c r="L208" s="7">
        <f t="shared" si="97"/>
        <v>87.57</v>
      </c>
      <c r="M208" s="2"/>
      <c r="N208" s="6">
        <f t="shared" si="98"/>
        <v>1.5921818181818181</v>
      </c>
      <c r="O208" s="11"/>
      <c r="P208" s="7">
        <v>1013.01</v>
      </c>
      <c r="Q208" s="2"/>
      <c r="R208" s="6">
        <f t="shared" si="99"/>
        <v>1.917862264967448E-4</v>
      </c>
      <c r="S208" s="2"/>
      <c r="T208" s="7">
        <v>495</v>
      </c>
      <c r="U208" s="2"/>
      <c r="V208" s="6">
        <f t="shared" si="100"/>
        <v>5.9923631870849686E-5</v>
      </c>
      <c r="W208" s="2"/>
      <c r="X208" s="7">
        <f t="shared" si="101"/>
        <v>518.01</v>
      </c>
      <c r="Y208" s="2"/>
      <c r="Z208" s="6">
        <f t="shared" si="102"/>
        <v>1.0464848484848486</v>
      </c>
    </row>
    <row r="209" spans="1:26" s="24" customFormat="1" hidden="1" outlineLevel="2" x14ac:dyDescent="0.35">
      <c r="A209" s="29"/>
      <c r="B209" s="11" t="str">
        <f>CONCATENATE("          ", "6285", " - ", "JANITORIAL SERVICES")</f>
        <v xml:space="preserve">          6285 - JANITORIAL SERVICES</v>
      </c>
      <c r="C209" s="11"/>
      <c r="D209" s="7">
        <v>3790</v>
      </c>
      <c r="E209" s="2"/>
      <c r="F209" s="6">
        <f t="shared" si="95"/>
        <v>2.897519092166137E-3</v>
      </c>
      <c r="G209" s="2"/>
      <c r="H209" s="7">
        <v>999</v>
      </c>
      <c r="I209" s="2"/>
      <c r="J209" s="6">
        <f t="shared" si="96"/>
        <v>4.7034230467729284E-4</v>
      </c>
      <c r="K209" s="2"/>
      <c r="L209" s="7">
        <f t="shared" si="97"/>
        <v>2791</v>
      </c>
      <c r="M209" s="2"/>
      <c r="N209" s="6">
        <f t="shared" si="98"/>
        <v>2.7937937937937938</v>
      </c>
      <c r="O209" s="11"/>
      <c r="P209" s="7">
        <v>16591.88</v>
      </c>
      <c r="Q209" s="2"/>
      <c r="R209" s="6">
        <f t="shared" si="99"/>
        <v>3.1412266963670747E-3</v>
      </c>
      <c r="S209" s="2"/>
      <c r="T209" s="7">
        <v>4769</v>
      </c>
      <c r="U209" s="2"/>
      <c r="V209" s="6">
        <f t="shared" si="100"/>
        <v>5.7732484927693365E-4</v>
      </c>
      <c r="W209" s="2"/>
      <c r="X209" s="7">
        <f t="shared" si="101"/>
        <v>11822.880000000001</v>
      </c>
      <c r="Y209" s="2"/>
      <c r="Z209" s="6">
        <f t="shared" si="102"/>
        <v>2.4791109247221641</v>
      </c>
    </row>
    <row r="210" spans="1:26" s="28" customFormat="1" outlineLevel="1" collapsed="1" x14ac:dyDescent="0.35">
      <c r="A210" s="27"/>
      <c r="B210" s="14" t="str">
        <f>CONCATENATE("     ","Subscriptions &amp; Dues                              ")</f>
        <v xml:space="preserve">     Subscriptions &amp; Dues                              </v>
      </c>
      <c r="C210" s="14"/>
      <c r="D210" s="1">
        <f>SUM(OSRRefD22_19x_0)</f>
        <v>2389.69</v>
      </c>
      <c r="E210" s="1"/>
      <c r="F210" s="5">
        <f t="shared" ref="F210:F212" si="103">IF(D$12=0,0,D210/D$12)</f>
        <v>1.8269584167172812E-3</v>
      </c>
      <c r="G210" s="1"/>
      <c r="H210" s="1">
        <f>SUM(OSRRefH22_19x_0)</f>
        <v>1100</v>
      </c>
      <c r="I210" s="1"/>
      <c r="J210" s="5">
        <f t="shared" ref="J210:J212" si="104">IF(H$12=0,0,H210/H$12)</f>
        <v>5.1789442957459668E-4</v>
      </c>
      <c r="K210" s="1"/>
      <c r="L210" s="1">
        <f t="shared" ref="L210:L212" si="105">+D210-H210</f>
        <v>1289.69</v>
      </c>
      <c r="M210" s="1"/>
      <c r="N210" s="5">
        <f t="shared" ref="N210:N212" si="106">IF(H210=0,0,L210/H210)</f>
        <v>1.1724454545454546</v>
      </c>
      <c r="O210" s="14"/>
      <c r="P210" s="1">
        <f>SUM(OSRRefP22_19x_0)</f>
        <v>3845.13</v>
      </c>
      <c r="Q210" s="1"/>
      <c r="R210" s="5">
        <f t="shared" ref="R210:R212" si="107">IF(P$12=0,0,P210/P$12)</f>
        <v>7.2797205663263772E-4</v>
      </c>
      <c r="S210" s="1"/>
      <c r="T210" s="1">
        <f>SUM(OSRRefT22_19x_0)</f>
        <v>9095</v>
      </c>
      <c r="U210" s="1"/>
      <c r="V210" s="5">
        <f t="shared" ref="V210:V212" si="108">IF(T$12=0,0,T210/T$12)</f>
        <v>1.1010210744755108E-3</v>
      </c>
      <c r="W210" s="1"/>
      <c r="X210" s="1">
        <f t="shared" ref="X210:X212" si="109">+P210-T210</f>
        <v>-5249.87</v>
      </c>
      <c r="Y210" s="1"/>
      <c r="Z210" s="5">
        <f t="shared" ref="Z210:Z212" si="110">IF(T210=0,0,X210/T210)</f>
        <v>-0.57722594832325458</v>
      </c>
    </row>
    <row r="211" spans="1:26" s="24" customFormat="1" hidden="1" outlineLevel="2" x14ac:dyDescent="0.35">
      <c r="A211" s="29"/>
      <c r="B211" s="11" t="str">
        <f>CONCATENATE("          ", "6258", " - ", "MEMBERSHIP DUES")</f>
        <v xml:space="preserve">          6258 - MEMBERSHIP DUES</v>
      </c>
      <c r="C211" s="11"/>
      <c r="D211" s="7">
        <v>462.61</v>
      </c>
      <c r="E211" s="2"/>
      <c r="F211" s="6">
        <f t="shared" si="103"/>
        <v>3.5367316813376693E-4</v>
      </c>
      <c r="G211" s="2"/>
      <c r="H211" s="7">
        <v>1100</v>
      </c>
      <c r="I211" s="2"/>
      <c r="J211" s="6">
        <f t="shared" si="104"/>
        <v>5.1789442957459668E-4</v>
      </c>
      <c r="K211" s="2"/>
      <c r="L211" s="7">
        <f t="shared" si="105"/>
        <v>-637.39</v>
      </c>
      <c r="M211" s="2"/>
      <c r="N211" s="6">
        <f t="shared" si="106"/>
        <v>-0.57944545454545449</v>
      </c>
      <c r="O211" s="11"/>
      <c r="P211" s="7">
        <v>1692.32</v>
      </c>
      <c r="Q211" s="2"/>
      <c r="R211" s="6">
        <f t="shared" si="107"/>
        <v>3.2039532366410123E-4</v>
      </c>
      <c r="S211" s="2"/>
      <c r="T211" s="7">
        <v>9095</v>
      </c>
      <c r="U211" s="2"/>
      <c r="V211" s="6">
        <f t="shared" si="108"/>
        <v>1.1010210744755108E-3</v>
      </c>
      <c r="W211" s="2"/>
      <c r="X211" s="7">
        <f t="shared" si="109"/>
        <v>-7402.68</v>
      </c>
      <c r="Y211" s="2"/>
      <c r="Z211" s="6">
        <f t="shared" si="110"/>
        <v>-0.81392853216052774</v>
      </c>
    </row>
    <row r="212" spans="1:26" s="24" customFormat="1" hidden="1" outlineLevel="2" x14ac:dyDescent="0.35">
      <c r="A212" s="29"/>
      <c r="B212" s="11" t="str">
        <f>CONCATENATE("          ", "6275", " - ", "SUBSCRIPTIONS")</f>
        <v xml:space="preserve">          6275 - SUBSCRIPTIONS</v>
      </c>
      <c r="C212" s="11"/>
      <c r="D212" s="7">
        <v>1927.08</v>
      </c>
      <c r="E212" s="2"/>
      <c r="F212" s="6">
        <f t="shared" si="103"/>
        <v>1.4732852485835142E-3</v>
      </c>
      <c r="G212" s="2"/>
      <c r="H212" s="7">
        <v>0</v>
      </c>
      <c r="I212" s="2"/>
      <c r="J212" s="6">
        <f t="shared" si="104"/>
        <v>0</v>
      </c>
      <c r="K212" s="2"/>
      <c r="L212" s="7">
        <f t="shared" si="105"/>
        <v>1927.08</v>
      </c>
      <c r="M212" s="2"/>
      <c r="N212" s="6">
        <f t="shared" si="106"/>
        <v>0</v>
      </c>
      <c r="O212" s="11"/>
      <c r="P212" s="7">
        <v>2152.81</v>
      </c>
      <c r="Q212" s="2"/>
      <c r="R212" s="6">
        <f t="shared" si="107"/>
        <v>4.0757673296853649E-4</v>
      </c>
      <c r="S212" s="2"/>
      <c r="T212" s="7">
        <v>0</v>
      </c>
      <c r="U212" s="2"/>
      <c r="V212" s="6">
        <f t="shared" si="108"/>
        <v>0</v>
      </c>
      <c r="W212" s="2"/>
      <c r="X212" s="7">
        <f t="shared" si="109"/>
        <v>2152.81</v>
      </c>
      <c r="Y212" s="2"/>
      <c r="Z212" s="6">
        <f t="shared" si="110"/>
        <v>0</v>
      </c>
    </row>
    <row r="213" spans="1:26" s="28" customFormat="1" outlineLevel="1" collapsed="1" x14ac:dyDescent="0.35">
      <c r="A213" s="27"/>
      <c r="B213" s="14" t="str">
        <f>CONCATENATE("     ","Supplies                                          ")</f>
        <v xml:space="preserve">     Supplies                                          </v>
      </c>
      <c r="C213" s="14"/>
      <c r="D213" s="1">
        <f>SUM(OSRRefD22_20x_0)</f>
        <v>12992.79</v>
      </c>
      <c r="E213" s="1"/>
      <c r="F213" s="5">
        <f t="shared" ref="F213:F222" si="111">IF(D$12=0,0,D213/D$12)</f>
        <v>9.9332076742757944E-3</v>
      </c>
      <c r="G213" s="1"/>
      <c r="H213" s="1">
        <f>SUM(OSRRefH22_20x_0)</f>
        <v>9655</v>
      </c>
      <c r="I213" s="1"/>
      <c r="J213" s="5">
        <f t="shared" ref="J213:J222" si="112">IF(H$12=0,0,H213/H$12)</f>
        <v>4.5457006523115734E-3</v>
      </c>
      <c r="K213" s="1"/>
      <c r="L213" s="1">
        <f t="shared" ref="L213:L222" si="113">+D213-H213</f>
        <v>3337.7900000000009</v>
      </c>
      <c r="M213" s="1"/>
      <c r="N213" s="5">
        <f t="shared" ref="N213:N222" si="114">IF(H213=0,0,L213/H213)</f>
        <v>0.34570585189021241</v>
      </c>
      <c r="O213" s="14"/>
      <c r="P213" s="1">
        <f>SUM(OSRRefP22_20x_0)</f>
        <v>93072.459999999992</v>
      </c>
      <c r="Q213" s="1"/>
      <c r="R213" s="5">
        <f t="shared" ref="R213:R222" si="115">IF(P$12=0,0,P213/P$12)</f>
        <v>1.7620769680624298E-2</v>
      </c>
      <c r="S213" s="1"/>
      <c r="T213" s="1">
        <f>SUM(OSRRefT22_20x_0)</f>
        <v>116925</v>
      </c>
      <c r="U213" s="1"/>
      <c r="V213" s="5">
        <f t="shared" ref="V213:V222" si="116">IF(T$12=0,0,T213/T$12)</f>
        <v>1.4154688194947675E-2</v>
      </c>
      <c r="W213" s="1"/>
      <c r="X213" s="1">
        <f t="shared" ref="X213:X222" si="117">+P213-T213</f>
        <v>-23852.540000000008</v>
      </c>
      <c r="Y213" s="1"/>
      <c r="Z213" s="5">
        <f t="shared" ref="Z213:Z222" si="118">IF(T213=0,0,X213/T213)</f>
        <v>-0.20399863160145398</v>
      </c>
    </row>
    <row r="214" spans="1:26" s="24" customFormat="1" hidden="1" outlineLevel="2" x14ac:dyDescent="0.35">
      <c r="A214" s="29"/>
      <c r="B214" s="11" t="str">
        <f>CONCATENATE("          ", "6234", " - ", "EXPENDABLE SUPPLIES &amp; EQUIPMEN")</f>
        <v xml:space="preserve">          6234 - EXPENDABLE SUPPLIES &amp; EQUIPMEN</v>
      </c>
      <c r="C214" s="11"/>
      <c r="D214" s="7">
        <v>396.5</v>
      </c>
      <c r="E214" s="2"/>
      <c r="F214" s="6">
        <f t="shared" si="111"/>
        <v>3.0313095515669476E-4</v>
      </c>
      <c r="G214" s="2"/>
      <c r="H214" s="7">
        <v>150</v>
      </c>
      <c r="I214" s="2"/>
      <c r="J214" s="6">
        <f t="shared" si="112"/>
        <v>7.0621967669263187E-5</v>
      </c>
      <c r="K214" s="2"/>
      <c r="L214" s="7">
        <f t="shared" si="113"/>
        <v>246.5</v>
      </c>
      <c r="M214" s="2"/>
      <c r="N214" s="6">
        <f t="shared" si="114"/>
        <v>1.6433333333333333</v>
      </c>
      <c r="O214" s="11"/>
      <c r="P214" s="7">
        <v>-52.84</v>
      </c>
      <c r="Q214" s="2"/>
      <c r="R214" s="6">
        <f t="shared" si="115"/>
        <v>-1.0003834323538758E-5</v>
      </c>
      <c r="S214" s="2"/>
      <c r="T214" s="7">
        <v>1050</v>
      </c>
      <c r="U214" s="2"/>
      <c r="V214" s="6">
        <f t="shared" si="116"/>
        <v>1.2711073427149934E-4</v>
      </c>
      <c r="W214" s="2"/>
      <c r="X214" s="7">
        <f t="shared" si="117"/>
        <v>-1102.8399999999999</v>
      </c>
      <c r="Y214" s="2"/>
      <c r="Z214" s="6">
        <f t="shared" si="118"/>
        <v>-1.0503238095238094</v>
      </c>
    </row>
    <row r="215" spans="1:26" s="24" customFormat="1" hidden="1" outlineLevel="2" x14ac:dyDescent="0.35">
      <c r="A215" s="29"/>
      <c r="B215" s="11" t="str">
        <f>CONCATENATE("          ", "6235", " - ", "COVID-19 EXPENSES")</f>
        <v xml:space="preserve">          6235 - COVID-19 EXPENSES</v>
      </c>
      <c r="C215" s="11"/>
      <c r="D215" s="7">
        <v>2921.2</v>
      </c>
      <c r="E215" s="2"/>
      <c r="F215" s="6">
        <f t="shared" si="111"/>
        <v>2.2333068000094242E-3</v>
      </c>
      <c r="G215" s="2"/>
      <c r="H215" s="7">
        <v>500</v>
      </c>
      <c r="I215" s="2"/>
      <c r="J215" s="6">
        <f t="shared" si="112"/>
        <v>2.3540655889754396E-4</v>
      </c>
      <c r="K215" s="2"/>
      <c r="L215" s="7">
        <f t="shared" si="113"/>
        <v>2421.1999999999998</v>
      </c>
      <c r="M215" s="2"/>
      <c r="N215" s="6">
        <f t="shared" si="114"/>
        <v>4.8423999999999996</v>
      </c>
      <c r="O215" s="11"/>
      <c r="P215" s="7">
        <v>34967.15</v>
      </c>
      <c r="Q215" s="2"/>
      <c r="R215" s="6">
        <f t="shared" si="115"/>
        <v>6.6200903740788845E-3</v>
      </c>
      <c r="S215" s="2"/>
      <c r="T215" s="7">
        <v>63100</v>
      </c>
      <c r="U215" s="2"/>
      <c r="V215" s="6">
        <f t="shared" si="116"/>
        <v>7.6387498405062933E-3</v>
      </c>
      <c r="W215" s="2"/>
      <c r="X215" s="7">
        <f t="shared" si="117"/>
        <v>-28132.85</v>
      </c>
      <c r="Y215" s="2"/>
      <c r="Z215" s="6">
        <f t="shared" si="118"/>
        <v>-0.44584548335974639</v>
      </c>
    </row>
    <row r="216" spans="1:26" s="24" customFormat="1" hidden="1" outlineLevel="2" x14ac:dyDescent="0.35">
      <c r="A216" s="29"/>
      <c r="B216" s="11" t="str">
        <f>CONCATENATE("          ", "6237", " - ", "JANITORIAL SUPPLIES")</f>
        <v xml:space="preserve">          6237 - JANITORIAL SUPPLIES</v>
      </c>
      <c r="C216" s="11"/>
      <c r="D216" s="7">
        <v>329.77</v>
      </c>
      <c r="E216" s="2"/>
      <c r="F216" s="6">
        <f t="shared" si="111"/>
        <v>2.5211474169488835E-4</v>
      </c>
      <c r="G216" s="2"/>
      <c r="H216" s="7">
        <v>270</v>
      </c>
      <c r="I216" s="2"/>
      <c r="J216" s="6">
        <f t="shared" si="112"/>
        <v>1.2711954180467374E-4</v>
      </c>
      <c r="K216" s="2"/>
      <c r="L216" s="7">
        <f t="shared" si="113"/>
        <v>59.769999999999982</v>
      </c>
      <c r="M216" s="2"/>
      <c r="N216" s="6">
        <f t="shared" si="114"/>
        <v>0.2213703703703703</v>
      </c>
      <c r="O216" s="11"/>
      <c r="P216" s="7">
        <v>2263.65</v>
      </c>
      <c r="Q216" s="2"/>
      <c r="R216" s="6">
        <f t="shared" si="115"/>
        <v>4.2856130897953265E-4</v>
      </c>
      <c r="S216" s="2"/>
      <c r="T216" s="7">
        <v>1880</v>
      </c>
      <c r="U216" s="2"/>
      <c r="V216" s="6">
        <f t="shared" si="116"/>
        <v>2.2758874326706547E-4</v>
      </c>
      <c r="W216" s="2"/>
      <c r="X216" s="7">
        <f t="shared" si="117"/>
        <v>383.65000000000009</v>
      </c>
      <c r="Y216" s="2"/>
      <c r="Z216" s="6">
        <f t="shared" si="118"/>
        <v>0.20406914893617026</v>
      </c>
    </row>
    <row r="217" spans="1:26" s="24" customFormat="1" hidden="1" outlineLevel="2" x14ac:dyDescent="0.35">
      <c r="A217" s="29"/>
      <c r="B217" s="11" t="str">
        <f>CONCATENATE("          ", "6241", " - ", "OFFICE EXPENSE")</f>
        <v xml:space="preserve">          6241 - OFFICE EXPENSE</v>
      </c>
      <c r="C217" s="11"/>
      <c r="D217" s="7">
        <v>-239.51</v>
      </c>
      <c r="E217" s="2"/>
      <c r="F217" s="6">
        <f t="shared" si="111"/>
        <v>-1.8310944532050433E-4</v>
      </c>
      <c r="G217" s="2"/>
      <c r="H217" s="7">
        <v>735</v>
      </c>
      <c r="I217" s="2"/>
      <c r="J217" s="6">
        <f t="shared" si="112"/>
        <v>3.4604764157938959E-4</v>
      </c>
      <c r="K217" s="2"/>
      <c r="L217" s="7">
        <f t="shared" si="113"/>
        <v>-974.51</v>
      </c>
      <c r="M217" s="2"/>
      <c r="N217" s="6">
        <f t="shared" si="114"/>
        <v>-1.3258639455782313</v>
      </c>
      <c r="O217" s="11"/>
      <c r="P217" s="7">
        <v>10633.61</v>
      </c>
      <c r="Q217" s="2"/>
      <c r="R217" s="6">
        <f t="shared" si="115"/>
        <v>2.0131883554338563E-3</v>
      </c>
      <c r="S217" s="2"/>
      <c r="T217" s="7">
        <v>4745</v>
      </c>
      <c r="U217" s="2"/>
      <c r="V217" s="6">
        <f t="shared" si="116"/>
        <v>5.7441946106501359E-4</v>
      </c>
      <c r="W217" s="2"/>
      <c r="X217" s="7">
        <f t="shared" si="117"/>
        <v>5888.6100000000006</v>
      </c>
      <c r="Y217" s="2"/>
      <c r="Z217" s="6">
        <f t="shared" si="118"/>
        <v>1.2410136986301372</v>
      </c>
    </row>
    <row r="218" spans="1:26" s="24" customFormat="1" hidden="1" outlineLevel="2" x14ac:dyDescent="0.35">
      <c r="A218" s="29"/>
      <c r="B218" s="11" t="str">
        <f>CONCATENATE("          ", "6243", " - ", "PAPER SUPPLIES")</f>
        <v xml:space="preserve">          6243 - PAPER SUPPLIES</v>
      </c>
      <c r="C218" s="11"/>
      <c r="D218" s="7">
        <v>1080</v>
      </c>
      <c r="E218" s="2"/>
      <c r="F218" s="6">
        <f t="shared" si="111"/>
        <v>8.2567826373071971E-4</v>
      </c>
      <c r="G218" s="2"/>
      <c r="H218" s="7">
        <v>2350</v>
      </c>
      <c r="I218" s="2"/>
      <c r="J218" s="6">
        <f t="shared" si="112"/>
        <v>1.1064108268184565E-3</v>
      </c>
      <c r="K218" s="2"/>
      <c r="L218" s="7">
        <f t="shared" si="113"/>
        <v>-1270</v>
      </c>
      <c r="M218" s="2"/>
      <c r="N218" s="6">
        <f t="shared" si="114"/>
        <v>-0.54042553191489362</v>
      </c>
      <c r="O218" s="11"/>
      <c r="P218" s="7">
        <v>6173.4</v>
      </c>
      <c r="Q218" s="2"/>
      <c r="R218" s="6">
        <f t="shared" si="115"/>
        <v>1.1687674264370582E-3</v>
      </c>
      <c r="S218" s="2"/>
      <c r="T218" s="7">
        <v>11050</v>
      </c>
      <c r="U218" s="2"/>
      <c r="V218" s="6">
        <f t="shared" si="116"/>
        <v>1.3376891559048264E-3</v>
      </c>
      <c r="W218" s="2"/>
      <c r="X218" s="7">
        <f t="shared" si="117"/>
        <v>-4876.6000000000004</v>
      </c>
      <c r="Y218" s="2"/>
      <c r="Z218" s="6">
        <f t="shared" si="118"/>
        <v>-0.4413212669683258</v>
      </c>
    </row>
    <row r="219" spans="1:26" s="24" customFormat="1" hidden="1" outlineLevel="2" x14ac:dyDescent="0.35">
      <c r="A219" s="29"/>
      <c r="B219" s="11" t="str">
        <f>CONCATENATE("          ", "6244", " - ", "SAFETY SUPPLY EXPENSE")</f>
        <v xml:space="preserve">          6244 - SAFETY SUPPLY EXPENSE</v>
      </c>
      <c r="C219" s="11"/>
      <c r="D219" s="7"/>
      <c r="E219" s="2"/>
      <c r="F219" s="6">
        <f t="shared" si="111"/>
        <v>0</v>
      </c>
      <c r="G219" s="2"/>
      <c r="H219" s="7">
        <v>25</v>
      </c>
      <c r="I219" s="2"/>
      <c r="J219" s="6">
        <f t="shared" si="112"/>
        <v>1.1770327944877198E-5</v>
      </c>
      <c r="K219" s="2"/>
      <c r="L219" s="7">
        <f t="shared" si="113"/>
        <v>-25</v>
      </c>
      <c r="M219" s="2"/>
      <c r="N219" s="6">
        <f t="shared" si="114"/>
        <v>-1</v>
      </c>
      <c r="O219" s="11"/>
      <c r="P219" s="7"/>
      <c r="Q219" s="2"/>
      <c r="R219" s="6">
        <f t="shared" si="115"/>
        <v>0</v>
      </c>
      <c r="S219" s="2"/>
      <c r="T219" s="7">
        <v>75</v>
      </c>
      <c r="U219" s="2"/>
      <c r="V219" s="6">
        <f t="shared" si="116"/>
        <v>9.0793381622499524E-6</v>
      </c>
      <c r="W219" s="2"/>
      <c r="X219" s="7">
        <f t="shared" si="117"/>
        <v>-75</v>
      </c>
      <c r="Y219" s="2"/>
      <c r="Z219" s="6">
        <f t="shared" si="118"/>
        <v>-1</v>
      </c>
    </row>
    <row r="220" spans="1:26" s="24" customFormat="1" hidden="1" outlineLevel="2" x14ac:dyDescent="0.35">
      <c r="A220" s="29"/>
      <c r="B220" s="11" t="str">
        <f>CONCATENATE("          ", "6245", " - ", "PRINTING")</f>
        <v xml:space="preserve">          6245 - PRINTING</v>
      </c>
      <c r="C220" s="11"/>
      <c r="D220" s="7"/>
      <c r="E220" s="2"/>
      <c r="F220" s="6">
        <f t="shared" si="111"/>
        <v>0</v>
      </c>
      <c r="G220" s="2"/>
      <c r="H220" s="7">
        <v>750</v>
      </c>
      <c r="I220" s="2"/>
      <c r="J220" s="6">
        <f t="shared" si="112"/>
        <v>3.5310983834631592E-4</v>
      </c>
      <c r="K220" s="2"/>
      <c r="L220" s="7">
        <f t="shared" si="113"/>
        <v>-750</v>
      </c>
      <c r="M220" s="2"/>
      <c r="N220" s="6">
        <f t="shared" si="114"/>
        <v>-1</v>
      </c>
      <c r="O220" s="11"/>
      <c r="P220" s="7">
        <v>508.27</v>
      </c>
      <c r="Q220" s="2"/>
      <c r="R220" s="6">
        <f t="shared" si="115"/>
        <v>9.6227268577309683E-5</v>
      </c>
      <c r="S220" s="2"/>
      <c r="T220" s="7">
        <v>3550</v>
      </c>
      <c r="U220" s="2"/>
      <c r="V220" s="6">
        <f t="shared" si="116"/>
        <v>4.2975533967983106E-4</v>
      </c>
      <c r="W220" s="2"/>
      <c r="X220" s="7">
        <f t="shared" si="117"/>
        <v>-3041.73</v>
      </c>
      <c r="Y220" s="2"/>
      <c r="Z220" s="6">
        <f t="shared" si="118"/>
        <v>-0.85682535211267608</v>
      </c>
    </row>
    <row r="221" spans="1:26" s="24" customFormat="1" hidden="1" outlineLevel="2" x14ac:dyDescent="0.35">
      <c r="A221" s="29"/>
      <c r="B221" s="11" t="str">
        <f>CONCATENATE("          ", "6247", " - ", "STORE SUPPLIES")</f>
        <v xml:space="preserve">          6247 - STORE SUPPLIES</v>
      </c>
      <c r="C221" s="11"/>
      <c r="D221" s="7">
        <v>8504.83</v>
      </c>
      <c r="E221" s="2"/>
      <c r="F221" s="6">
        <f t="shared" si="111"/>
        <v>6.5020863590045715E-3</v>
      </c>
      <c r="G221" s="2"/>
      <c r="H221" s="7">
        <v>3275</v>
      </c>
      <c r="I221" s="2"/>
      <c r="J221" s="6">
        <f t="shared" si="112"/>
        <v>1.5419129607789129E-3</v>
      </c>
      <c r="K221" s="2"/>
      <c r="L221" s="7">
        <f t="shared" si="113"/>
        <v>5229.83</v>
      </c>
      <c r="M221" s="2"/>
      <c r="N221" s="6">
        <f t="shared" si="114"/>
        <v>1.5968946564885496</v>
      </c>
      <c r="O221" s="11"/>
      <c r="P221" s="7">
        <v>38579.219999999994</v>
      </c>
      <c r="Q221" s="2"/>
      <c r="R221" s="6">
        <f t="shared" si="115"/>
        <v>7.3039387814411959E-3</v>
      </c>
      <c r="S221" s="2"/>
      <c r="T221" s="7">
        <v>20775</v>
      </c>
      <c r="U221" s="2"/>
      <c r="V221" s="6">
        <f t="shared" si="116"/>
        <v>2.5149766709432367E-3</v>
      </c>
      <c r="W221" s="2"/>
      <c r="X221" s="7">
        <f t="shared" si="117"/>
        <v>17804.219999999994</v>
      </c>
      <c r="Y221" s="2"/>
      <c r="Z221" s="6">
        <f t="shared" si="118"/>
        <v>0.8570021660649817</v>
      </c>
    </row>
    <row r="222" spans="1:26" s="24" customFormat="1" hidden="1" outlineLevel="2" x14ac:dyDescent="0.35">
      <c r="A222" s="29"/>
      <c r="B222" s="11" t="str">
        <f>CONCATENATE("          ", "6248", " - ", "UNIFORMS")</f>
        <v xml:space="preserve">          6248 - UNIFORMS</v>
      </c>
      <c r="C222" s="11"/>
      <c r="D222" s="7"/>
      <c r="E222" s="2"/>
      <c r="F222" s="6">
        <f t="shared" si="111"/>
        <v>0</v>
      </c>
      <c r="G222" s="2"/>
      <c r="H222" s="7">
        <v>1600</v>
      </c>
      <c r="I222" s="2"/>
      <c r="J222" s="6">
        <f t="shared" si="112"/>
        <v>7.5330098847214066E-4</v>
      </c>
      <c r="K222" s="2"/>
      <c r="L222" s="7">
        <f t="shared" si="113"/>
        <v>-1600</v>
      </c>
      <c r="M222" s="2"/>
      <c r="N222" s="6">
        <f t="shared" si="114"/>
        <v>-1</v>
      </c>
      <c r="O222" s="11"/>
      <c r="P222" s="7"/>
      <c r="Q222" s="2"/>
      <c r="R222" s="6">
        <f t="shared" si="115"/>
        <v>0</v>
      </c>
      <c r="S222" s="2"/>
      <c r="T222" s="7">
        <v>10700</v>
      </c>
      <c r="U222" s="2"/>
      <c r="V222" s="6">
        <f t="shared" si="116"/>
        <v>1.2953189111476599E-3</v>
      </c>
      <c r="W222" s="2"/>
      <c r="X222" s="7">
        <f t="shared" si="117"/>
        <v>-10700</v>
      </c>
      <c r="Y222" s="2"/>
      <c r="Z222" s="6">
        <f t="shared" si="118"/>
        <v>-1</v>
      </c>
    </row>
    <row r="223" spans="1:26" s="28" customFormat="1" outlineLevel="1" collapsed="1" x14ac:dyDescent="0.35">
      <c r="A223" s="27"/>
      <c r="B223" s="14" t="str">
        <f>CONCATENATE("     ","Telephone/Data Lines                              ")</f>
        <v xml:space="preserve">     Telephone/Data Lines                              </v>
      </c>
      <c r="C223" s="14"/>
      <c r="D223" s="1">
        <f>SUM(OSRRefD22_21x_0)</f>
        <v>2389.2600000000002</v>
      </c>
      <c r="E223" s="1"/>
      <c r="F223" s="5">
        <f t="shared" ref="F223:F225" si="119">IF(D$12=0,0,D223/D$12)</f>
        <v>1.8266296744456107E-3</v>
      </c>
      <c r="G223" s="1"/>
      <c r="H223" s="1">
        <f>SUM(OSRRefH22_21x_0)</f>
        <v>3045</v>
      </c>
      <c r="I223" s="1"/>
      <c r="J223" s="5">
        <f t="shared" ref="J223:J225" si="120">IF(H$12=0,0,H223/H$12)</f>
        <v>1.4336259436860427E-3</v>
      </c>
      <c r="K223" s="1"/>
      <c r="L223" s="1">
        <f t="shared" ref="L223:L225" si="121">+D223-H223</f>
        <v>-655.73999999999978</v>
      </c>
      <c r="M223" s="1"/>
      <c r="N223" s="5">
        <f t="shared" ref="N223:N225" si="122">IF(H223=0,0,L223/H223)</f>
        <v>-0.2153497536945812</v>
      </c>
      <c r="O223" s="14"/>
      <c r="P223" s="1">
        <f>SUM(OSRRefP22_21x_0)</f>
        <v>19270.75</v>
      </c>
      <c r="Q223" s="1"/>
      <c r="R223" s="5">
        <f t="shared" ref="R223:R225" si="123">IF(P$12=0,0,P223/P$12)</f>
        <v>3.6483987564408494E-3</v>
      </c>
      <c r="S223" s="1"/>
      <c r="T223" s="1">
        <f>SUM(OSRRefT22_21x_0)</f>
        <v>20125</v>
      </c>
      <c r="U223" s="1"/>
      <c r="V223" s="5">
        <f t="shared" ref="V223:V225" si="124">IF(T$12=0,0,T223/T$12)</f>
        <v>2.4362890735370704E-3</v>
      </c>
      <c r="W223" s="1"/>
      <c r="X223" s="1">
        <f t="shared" ref="X223:X225" si="125">+P223-T223</f>
        <v>-854.25</v>
      </c>
      <c r="Y223" s="1"/>
      <c r="Z223" s="5">
        <f t="shared" ref="Z223:Z225" si="126">IF(T223=0,0,X223/T223)</f>
        <v>-4.2447204968944101E-2</v>
      </c>
    </row>
    <row r="224" spans="1:26" s="24" customFormat="1" hidden="1" outlineLevel="2" x14ac:dyDescent="0.35">
      <c r="A224" s="29"/>
      <c r="B224" s="11" t="str">
        <f>CONCATENATE("          ", "6303", " - ", "DATA PHONE LINES")</f>
        <v xml:space="preserve">          6303 - DATA PHONE LINES</v>
      </c>
      <c r="C224" s="11"/>
      <c r="D224" s="7">
        <v>295</v>
      </c>
      <c r="E224" s="2"/>
      <c r="F224" s="6">
        <f t="shared" si="119"/>
        <v>2.2553248870422438E-4</v>
      </c>
      <c r="G224" s="2"/>
      <c r="H224" s="7">
        <v>630</v>
      </c>
      <c r="I224" s="2"/>
      <c r="J224" s="6">
        <f t="shared" si="120"/>
        <v>2.966122642109054E-4</v>
      </c>
      <c r="K224" s="2"/>
      <c r="L224" s="7">
        <f t="shared" si="121"/>
        <v>-335</v>
      </c>
      <c r="M224" s="2"/>
      <c r="N224" s="6">
        <f t="shared" si="122"/>
        <v>-0.53174603174603174</v>
      </c>
      <c r="O224" s="11"/>
      <c r="P224" s="7">
        <v>2360</v>
      </c>
      <c r="Q224" s="2"/>
      <c r="R224" s="6">
        <f t="shared" si="123"/>
        <v>4.4680259279998986E-4</v>
      </c>
      <c r="S224" s="2"/>
      <c r="T224" s="7">
        <v>4410</v>
      </c>
      <c r="U224" s="2"/>
      <c r="V224" s="6">
        <f t="shared" si="124"/>
        <v>5.3386508394029722E-4</v>
      </c>
      <c r="W224" s="2"/>
      <c r="X224" s="7">
        <f t="shared" si="125"/>
        <v>-2050</v>
      </c>
      <c r="Y224" s="2"/>
      <c r="Z224" s="6">
        <f t="shared" si="126"/>
        <v>-0.46485260770975056</v>
      </c>
    </row>
    <row r="225" spans="1:26" s="24" customFormat="1" hidden="1" outlineLevel="2" x14ac:dyDescent="0.35">
      <c r="A225" s="29"/>
      <c r="B225" s="11" t="str">
        <f>CONCATENATE("          ", "6309", " - ", "TELEPHONE")</f>
        <v xml:space="preserve">          6309 - TELEPHONE</v>
      </c>
      <c r="C225" s="11"/>
      <c r="D225" s="7">
        <v>2094.2600000000002</v>
      </c>
      <c r="E225" s="2"/>
      <c r="F225" s="6">
        <f t="shared" si="119"/>
        <v>1.6010971857413864E-3</v>
      </c>
      <c r="G225" s="2"/>
      <c r="H225" s="7">
        <v>2415</v>
      </c>
      <c r="I225" s="2"/>
      <c r="J225" s="6">
        <f t="shared" si="120"/>
        <v>1.1370136794751373E-3</v>
      </c>
      <c r="K225" s="2"/>
      <c r="L225" s="7">
        <f t="shared" si="121"/>
        <v>-320.73999999999978</v>
      </c>
      <c r="M225" s="2"/>
      <c r="N225" s="6">
        <f t="shared" si="122"/>
        <v>-0.13281159420289845</v>
      </c>
      <c r="O225" s="11"/>
      <c r="P225" s="7">
        <v>16910.75</v>
      </c>
      <c r="Q225" s="2"/>
      <c r="R225" s="6">
        <f t="shared" si="123"/>
        <v>3.2015961636408597E-3</v>
      </c>
      <c r="S225" s="2"/>
      <c r="T225" s="7">
        <v>15715</v>
      </c>
      <c r="U225" s="2"/>
      <c r="V225" s="6">
        <f t="shared" si="124"/>
        <v>1.9024239895967733E-3</v>
      </c>
      <c r="W225" s="2"/>
      <c r="X225" s="7">
        <f t="shared" si="125"/>
        <v>1195.75</v>
      </c>
      <c r="Y225" s="2"/>
      <c r="Z225" s="6">
        <f t="shared" si="126"/>
        <v>7.6089723194400258E-2</v>
      </c>
    </row>
    <row r="226" spans="1:26" s="28" customFormat="1" outlineLevel="1" collapsed="1" x14ac:dyDescent="0.35">
      <c r="A226" s="27"/>
      <c r="B226" s="14" t="str">
        <f>CONCATENATE("     ","Training                                          ")</f>
        <v xml:space="preserve">     Training                                          </v>
      </c>
      <c r="C226" s="14"/>
      <c r="D226" s="1">
        <f>SUM(OSRRefD22_22x_0)</f>
        <v>0</v>
      </c>
      <c r="E226" s="1"/>
      <c r="F226" s="5">
        <f t="shared" ref="F226:F231" si="127">IF(D$12=0,0,D226/D$12)</f>
        <v>0</v>
      </c>
      <c r="G226" s="1"/>
      <c r="H226" s="1">
        <f>SUM(OSRRefH22_22x_0)</f>
        <v>3360</v>
      </c>
      <c r="I226" s="1"/>
      <c r="J226" s="5">
        <f t="shared" ref="J226:J231" si="128">IF(H$12=0,0,H226/H$12)</f>
        <v>1.5819320757914953E-3</v>
      </c>
      <c r="K226" s="1"/>
      <c r="L226" s="1">
        <f t="shared" ref="L226:L231" si="129">+D226-H226</f>
        <v>-3360</v>
      </c>
      <c r="M226" s="1"/>
      <c r="N226" s="5">
        <f t="shared" ref="N226:N231" si="130">IF(H226=0,0,L226/H226)</f>
        <v>-1</v>
      </c>
      <c r="O226" s="14"/>
      <c r="P226" s="1">
        <f>SUM(OSRRefP22_22x_0)</f>
        <v>245.63</v>
      </c>
      <c r="Q226" s="1"/>
      <c r="R226" s="5">
        <f t="shared" ref="R226:R231" si="131">IF(P$12=0,0,P226/P$12)</f>
        <v>4.6503441046381998E-5</v>
      </c>
      <c r="S226" s="1"/>
      <c r="T226" s="1">
        <f>SUM(OSRRefT22_22x_0)</f>
        <v>8470</v>
      </c>
      <c r="U226" s="1"/>
      <c r="V226" s="5">
        <f t="shared" ref="V226:V231" si="132">IF(T$12=0,0,T226/T$12)</f>
        <v>1.025359923123428E-3</v>
      </c>
      <c r="W226" s="1"/>
      <c r="X226" s="1">
        <f t="shared" ref="X226:X231" si="133">+P226-T226</f>
        <v>-8224.3700000000008</v>
      </c>
      <c r="Y226" s="1"/>
      <c r="Z226" s="5">
        <f t="shared" ref="Z226:Z231" si="134">IF(T226=0,0,X226/T226)</f>
        <v>-0.97100000000000009</v>
      </c>
    </row>
    <row r="227" spans="1:26" s="24" customFormat="1" hidden="1" outlineLevel="2" x14ac:dyDescent="0.35">
      <c r="A227" s="29"/>
      <c r="B227" s="11" t="str">
        <f>CONCATENATE("          ", "6376", " - ", "TRAINING")</f>
        <v xml:space="preserve">          6376 - TRAINING</v>
      </c>
      <c r="C227" s="11"/>
      <c r="D227" s="7"/>
      <c r="E227" s="2"/>
      <c r="F227" s="6">
        <f t="shared" si="127"/>
        <v>0</v>
      </c>
      <c r="G227" s="2"/>
      <c r="H227" s="7">
        <v>3360</v>
      </c>
      <c r="I227" s="2"/>
      <c r="J227" s="6">
        <f t="shared" si="128"/>
        <v>1.5819320757914953E-3</v>
      </c>
      <c r="K227" s="2"/>
      <c r="L227" s="7">
        <f t="shared" si="129"/>
        <v>-3360</v>
      </c>
      <c r="M227" s="2"/>
      <c r="N227" s="6">
        <f t="shared" si="130"/>
        <v>-1</v>
      </c>
      <c r="O227" s="11"/>
      <c r="P227" s="7">
        <v>245.63</v>
      </c>
      <c r="Q227" s="2"/>
      <c r="R227" s="6">
        <f t="shared" si="131"/>
        <v>4.6503441046381998E-5</v>
      </c>
      <c r="S227" s="2"/>
      <c r="T227" s="7">
        <v>8470</v>
      </c>
      <c r="U227" s="2"/>
      <c r="V227" s="6">
        <f t="shared" si="132"/>
        <v>1.025359923123428E-3</v>
      </c>
      <c r="W227" s="2"/>
      <c r="X227" s="7">
        <f t="shared" si="133"/>
        <v>-8224.3700000000008</v>
      </c>
      <c r="Y227" s="2"/>
      <c r="Z227" s="6">
        <f t="shared" si="134"/>
        <v>-0.97100000000000009</v>
      </c>
    </row>
    <row r="228" spans="1:26" s="28" customFormat="1" outlineLevel="1" collapsed="1" x14ac:dyDescent="0.35">
      <c r="A228" s="27"/>
      <c r="B228" s="14" t="str">
        <f>CONCATENATE("     ","Travel                                            ")</f>
        <v xml:space="preserve">     Travel                                            </v>
      </c>
      <c r="C228" s="14"/>
      <c r="D228" s="1">
        <f>SUM(OSRRefD22_23x_0)</f>
        <v>129.38</v>
      </c>
      <c r="E228" s="1"/>
      <c r="F228" s="5">
        <f t="shared" si="127"/>
        <v>9.8913197927296778E-5</v>
      </c>
      <c r="G228" s="1"/>
      <c r="H228" s="1">
        <f>SUM(OSRRefH22_23x_0)</f>
        <v>75</v>
      </c>
      <c r="I228" s="1"/>
      <c r="J228" s="5">
        <f t="shared" si="128"/>
        <v>3.5310983834631593E-5</v>
      </c>
      <c r="K228" s="1"/>
      <c r="L228" s="1">
        <f t="shared" si="129"/>
        <v>54.379999999999995</v>
      </c>
      <c r="M228" s="1"/>
      <c r="N228" s="5">
        <f t="shared" si="130"/>
        <v>0.72506666666666664</v>
      </c>
      <c r="O228" s="14"/>
      <c r="P228" s="1">
        <f>SUM(OSRRefP22_23x_0)</f>
        <v>810.31000000000006</v>
      </c>
      <c r="Q228" s="1"/>
      <c r="R228" s="5">
        <f t="shared" si="131"/>
        <v>1.534104275304067E-4</v>
      </c>
      <c r="S228" s="1"/>
      <c r="T228" s="1">
        <f>SUM(OSRRefT22_23x_0)</f>
        <v>550</v>
      </c>
      <c r="U228" s="1"/>
      <c r="V228" s="5">
        <f t="shared" si="132"/>
        <v>6.6581813189832981E-5</v>
      </c>
      <c r="W228" s="1"/>
      <c r="X228" s="1">
        <f t="shared" si="133"/>
        <v>260.31000000000006</v>
      </c>
      <c r="Y228" s="1"/>
      <c r="Z228" s="5">
        <f t="shared" si="134"/>
        <v>0.47329090909090921</v>
      </c>
    </row>
    <row r="229" spans="1:26" s="24" customFormat="1" hidden="1" outlineLevel="2" x14ac:dyDescent="0.35">
      <c r="A229" s="29"/>
      <c r="B229" s="11" t="str">
        <f>CONCATENATE("          ", "6292", " - ", "TRAVEL/CONFERENCE")</f>
        <v xml:space="preserve">          6292 - TRAVEL/CONFERENCE</v>
      </c>
      <c r="C229" s="11"/>
      <c r="D229" s="7"/>
      <c r="E229" s="2"/>
      <c r="F229" s="6">
        <f t="shared" si="127"/>
        <v>0</v>
      </c>
      <c r="G229" s="2"/>
      <c r="H229" s="7"/>
      <c r="I229" s="2"/>
      <c r="J229" s="6">
        <f t="shared" si="128"/>
        <v>0</v>
      </c>
      <c r="K229" s="2"/>
      <c r="L229" s="7">
        <f t="shared" si="129"/>
        <v>0</v>
      </c>
      <c r="M229" s="2"/>
      <c r="N229" s="6">
        <f t="shared" si="130"/>
        <v>0</v>
      </c>
      <c r="O229" s="11"/>
      <c r="P229" s="7">
        <v>299.16000000000003</v>
      </c>
      <c r="Q229" s="2"/>
      <c r="R229" s="6">
        <f t="shared" si="131"/>
        <v>5.6637908331374993E-5</v>
      </c>
      <c r="S229" s="2"/>
      <c r="T229" s="7">
        <v>0</v>
      </c>
      <c r="U229" s="2"/>
      <c r="V229" s="6">
        <f t="shared" si="132"/>
        <v>0</v>
      </c>
      <c r="W229" s="2"/>
      <c r="X229" s="7">
        <f t="shared" si="133"/>
        <v>299.16000000000003</v>
      </c>
      <c r="Y229" s="2"/>
      <c r="Z229" s="6">
        <f t="shared" si="134"/>
        <v>0</v>
      </c>
    </row>
    <row r="230" spans="1:26" s="24" customFormat="1" hidden="1" outlineLevel="2" x14ac:dyDescent="0.35">
      <c r="A230" s="29"/>
      <c r="B230" s="11" t="str">
        <f>CONCATENATE("          ", "6294", " - ", "TRAVEL OPERATIONAL")</f>
        <v xml:space="preserve">          6294 - TRAVEL OPERATIONAL</v>
      </c>
      <c r="C230" s="11"/>
      <c r="D230" s="7">
        <v>129.38</v>
      </c>
      <c r="E230" s="2"/>
      <c r="F230" s="6">
        <f t="shared" si="127"/>
        <v>9.8913197927296778E-5</v>
      </c>
      <c r="G230" s="2"/>
      <c r="H230" s="7">
        <v>25</v>
      </c>
      <c r="I230" s="2"/>
      <c r="J230" s="6">
        <f t="shared" si="128"/>
        <v>1.1770327944877198E-5</v>
      </c>
      <c r="K230" s="2"/>
      <c r="L230" s="7">
        <f t="shared" si="129"/>
        <v>104.38</v>
      </c>
      <c r="M230" s="2"/>
      <c r="N230" s="6">
        <f t="shared" si="130"/>
        <v>4.1752000000000002</v>
      </c>
      <c r="O230" s="11"/>
      <c r="P230" s="7">
        <v>451.26</v>
      </c>
      <c r="Q230" s="2"/>
      <c r="R230" s="6">
        <f t="shared" si="131"/>
        <v>8.5433956791069245E-5</v>
      </c>
      <c r="S230" s="2"/>
      <c r="T230" s="7">
        <v>175</v>
      </c>
      <c r="U230" s="2"/>
      <c r="V230" s="6">
        <f t="shared" si="132"/>
        <v>2.1185122378583221E-5</v>
      </c>
      <c r="W230" s="2"/>
      <c r="X230" s="7">
        <f t="shared" si="133"/>
        <v>276.26</v>
      </c>
      <c r="Y230" s="2"/>
      <c r="Z230" s="6">
        <f t="shared" si="134"/>
        <v>1.5786285714285713</v>
      </c>
    </row>
    <row r="231" spans="1:26" s="24" customFormat="1" hidden="1" outlineLevel="2" x14ac:dyDescent="0.35">
      <c r="A231" s="29"/>
      <c r="B231" s="11" t="str">
        <f>CONCATENATE("          ", "6298", " - ", "VEHICLE MILEAGE")</f>
        <v xml:space="preserve">          6298 - VEHICLE MILEAGE</v>
      </c>
      <c r="C231" s="11"/>
      <c r="D231" s="7"/>
      <c r="E231" s="2"/>
      <c r="F231" s="6">
        <f t="shared" si="127"/>
        <v>0</v>
      </c>
      <c r="G231" s="2"/>
      <c r="H231" s="7">
        <v>50</v>
      </c>
      <c r="I231" s="2"/>
      <c r="J231" s="6">
        <f t="shared" si="128"/>
        <v>2.3540655889754396E-5</v>
      </c>
      <c r="K231" s="2"/>
      <c r="L231" s="7">
        <f t="shared" si="129"/>
        <v>-50</v>
      </c>
      <c r="M231" s="2"/>
      <c r="N231" s="6">
        <f t="shared" si="130"/>
        <v>-1</v>
      </c>
      <c r="O231" s="11"/>
      <c r="P231" s="7">
        <v>59.89</v>
      </c>
      <c r="Q231" s="2"/>
      <c r="R231" s="6">
        <f t="shared" si="131"/>
        <v>1.1338562407962455E-5</v>
      </c>
      <c r="S231" s="2"/>
      <c r="T231" s="7">
        <v>375</v>
      </c>
      <c r="U231" s="2"/>
      <c r="V231" s="6">
        <f t="shared" si="132"/>
        <v>4.539669081124976E-5</v>
      </c>
      <c r="W231" s="2"/>
      <c r="X231" s="7">
        <f t="shared" si="133"/>
        <v>-315.11</v>
      </c>
      <c r="Y231" s="2"/>
      <c r="Z231" s="6">
        <f t="shared" si="134"/>
        <v>-0.84029333333333334</v>
      </c>
    </row>
    <row r="232" spans="1:26" s="28" customFormat="1" outlineLevel="1" collapsed="1" x14ac:dyDescent="0.35">
      <c r="A232" s="27"/>
      <c r="B232" s="14" t="str">
        <f>CONCATENATE("     ","Utilities                                         ")</f>
        <v xml:space="preserve">     Utilities                                         </v>
      </c>
      <c r="C232" s="14"/>
      <c r="D232" s="1">
        <f>SUM(OSRRefD22_24x_0)</f>
        <v>6165.61</v>
      </c>
      <c r="E232" s="1"/>
      <c r="F232" s="5">
        <f t="shared" ref="F232:F233" si="135">IF(D$12=0,0,D232/D$12)</f>
        <v>4.7137131107784841E-3</v>
      </c>
      <c r="G232" s="1"/>
      <c r="H232" s="1">
        <f>SUM(OSRRefH22_24x_0)</f>
        <v>6225</v>
      </c>
      <c r="I232" s="1"/>
      <c r="J232" s="5">
        <f t="shared" ref="J232:J233" si="136">IF(H$12=0,0,H232/H$12)</f>
        <v>2.9308116582744221E-3</v>
      </c>
      <c r="K232" s="1"/>
      <c r="L232" s="1">
        <f t="shared" ref="L232:L233" si="137">+D232-H232</f>
        <v>-59.390000000000327</v>
      </c>
      <c r="M232" s="1"/>
      <c r="N232" s="5">
        <f t="shared" ref="N232:N233" si="138">IF(H232=0,0,L232/H232)</f>
        <v>-9.5405622489960363E-3</v>
      </c>
      <c r="O232" s="14"/>
      <c r="P232" s="1">
        <f>SUM(OSRRefP22_24x_0)</f>
        <v>42927.03</v>
      </c>
      <c r="Q232" s="1"/>
      <c r="R232" s="5">
        <f t="shared" ref="R232:R233" si="139">IF(P$12=0,0,P232/P$12)</f>
        <v>8.1270797903402331E-3</v>
      </c>
      <c r="S232" s="1"/>
      <c r="T232" s="1">
        <f>SUM(OSRRefT22_24x_0)</f>
        <v>42975</v>
      </c>
      <c r="U232" s="1"/>
      <c r="V232" s="5">
        <f t="shared" ref="V232:V233" si="140">IF(T$12=0,0,T232/T$12)</f>
        <v>5.2024607669692224E-3</v>
      </c>
      <c r="W232" s="1"/>
      <c r="X232" s="1">
        <f t="shared" ref="X232:X233" si="141">+P232-T232</f>
        <v>-47.970000000001164</v>
      </c>
      <c r="Y232" s="1"/>
      <c r="Z232" s="5">
        <f t="shared" ref="Z232:Z233" si="142">IF(T232=0,0,X232/T232)</f>
        <v>-1.1162303664921736E-3</v>
      </c>
    </row>
    <row r="233" spans="1:26" s="24" customFormat="1" hidden="1" outlineLevel="2" x14ac:dyDescent="0.35">
      <c r="A233" s="29"/>
      <c r="B233" s="11" t="str">
        <f>CONCATENATE("          ", "6274", " - ", "UTILITIES")</f>
        <v xml:space="preserve">          6274 - UTILITIES</v>
      </c>
      <c r="C233" s="11"/>
      <c r="D233" s="7">
        <v>6165.61</v>
      </c>
      <c r="E233" s="2"/>
      <c r="F233" s="6">
        <f t="shared" si="135"/>
        <v>4.7137131107784841E-3</v>
      </c>
      <c r="G233" s="2"/>
      <c r="H233" s="7">
        <v>6225</v>
      </c>
      <c r="I233" s="2"/>
      <c r="J233" s="6">
        <f t="shared" si="136"/>
        <v>2.9308116582744221E-3</v>
      </c>
      <c r="K233" s="2"/>
      <c r="L233" s="7">
        <f t="shared" si="137"/>
        <v>-59.390000000000327</v>
      </c>
      <c r="M233" s="2"/>
      <c r="N233" s="6">
        <f t="shared" si="138"/>
        <v>-9.5405622489960363E-3</v>
      </c>
      <c r="O233" s="11"/>
      <c r="P233" s="7">
        <v>42927.03</v>
      </c>
      <c r="Q233" s="2"/>
      <c r="R233" s="6">
        <f t="shared" si="139"/>
        <v>8.1270797903402331E-3</v>
      </c>
      <c r="S233" s="2"/>
      <c r="T233" s="7">
        <v>42975</v>
      </c>
      <c r="U233" s="2"/>
      <c r="V233" s="6">
        <f t="shared" si="140"/>
        <v>5.2024607669692224E-3</v>
      </c>
      <c r="W233" s="2"/>
      <c r="X233" s="7">
        <f t="shared" si="141"/>
        <v>-47.970000000001164</v>
      </c>
      <c r="Y233" s="2"/>
      <c r="Z233" s="6">
        <f t="shared" si="142"/>
        <v>-1.1162303664921736E-3</v>
      </c>
    </row>
    <row r="234" spans="1:26" s="55" customFormat="1" x14ac:dyDescent="0.35">
      <c r="A234" s="36"/>
      <c r="B234" s="36"/>
      <c r="C234" s="36"/>
      <c r="D234" s="1"/>
      <c r="E234" s="1"/>
      <c r="F234" s="5"/>
      <c r="G234" s="1"/>
      <c r="H234" s="1"/>
      <c r="I234" s="1"/>
      <c r="J234" s="5"/>
      <c r="K234" s="1"/>
      <c r="L234" s="1"/>
      <c r="M234" s="1"/>
      <c r="N234" s="5"/>
      <c r="O234" s="36"/>
      <c r="P234" s="1"/>
      <c r="Q234" s="1"/>
      <c r="R234" s="5"/>
      <c r="S234" s="1"/>
      <c r="T234" s="1"/>
      <c r="U234" s="1"/>
      <c r="V234" s="5"/>
      <c r="W234" s="1"/>
      <c r="X234" s="1"/>
      <c r="Y234" s="1"/>
      <c r="Z234" s="5"/>
    </row>
    <row r="235" spans="1:26" s="23" customFormat="1" collapsed="1" x14ac:dyDescent="0.35">
      <c r="A235" s="10"/>
      <c r="B235" s="25" t="s">
        <v>0</v>
      </c>
      <c r="C235" s="10"/>
      <c r="D235" s="4">
        <f>SUM(OSRRefD25x_0)</f>
        <v>32275.280000000002</v>
      </c>
      <c r="E235" s="4"/>
      <c r="F235" s="12">
        <f t="shared" ref="F235:F240" si="143">IF(D$12=0,0,D235/D$12)</f>
        <v>2.4674997362798913E-2</v>
      </c>
      <c r="G235" s="4"/>
      <c r="H235" s="4">
        <f>SUM(OSRRefH25x_0)</f>
        <v>40265</v>
      </c>
      <c r="I235" s="4"/>
      <c r="J235" s="12">
        <f t="shared" ref="J235:J240" si="144">IF(H$12=0,0,H235/H$12)</f>
        <v>1.8957290188019213E-2</v>
      </c>
      <c r="K235" s="4"/>
      <c r="L235" s="4">
        <f t="shared" ref="L235:L240" si="145">+D235-H235</f>
        <v>-7989.7199999999975</v>
      </c>
      <c r="M235" s="4"/>
      <c r="N235" s="12">
        <f t="shared" ref="N235:N240" si="146">IF(H235=0,0,L235/H235)</f>
        <v>-0.19842841177201037</v>
      </c>
      <c r="O235" s="10"/>
      <c r="P235" s="4">
        <f>SUM(OSRRefP25x_0)</f>
        <v>577007.65</v>
      </c>
      <c r="Q235" s="4"/>
      <c r="R235" s="12">
        <f t="shared" ref="R235:R240" si="147">IF(P$12=0,0,P235/P$12)</f>
        <v>0.10924089579891064</v>
      </c>
      <c r="S235" s="4"/>
      <c r="T235" s="4">
        <f>SUM(OSRRefT25x_0)</f>
        <v>526828</v>
      </c>
      <c r="U235" s="4"/>
      <c r="V235" s="12">
        <f t="shared" ref="V235:V240" si="148">IF(T$12=0,0,T235/T$12)</f>
        <v>6.3776660871224231E-2</v>
      </c>
      <c r="W235" s="4"/>
      <c r="X235" s="4">
        <f t="shared" ref="X235:X240" si="149">+P235-T235</f>
        <v>50179.650000000023</v>
      </c>
      <c r="Y235" s="4"/>
      <c r="Z235" s="12">
        <f t="shared" ref="Z235:Z240" si="150">IF(T235=0,0,X235/T235)</f>
        <v>9.5248639024501397E-2</v>
      </c>
    </row>
    <row r="236" spans="1:26" s="24" customFormat="1" hidden="1" outlineLevel="1" x14ac:dyDescent="0.35">
      <c r="A236" s="51"/>
      <c r="B236" s="11" t="str">
        <f>CONCATENATE("          ", "4187", " - ", "NON-TAXABLE SALES-COMPUTER REP")</f>
        <v xml:space="preserve">          4187 - NON-TAXABLE SALES-COMPUTER REP</v>
      </c>
      <c r="C236" s="11"/>
      <c r="D236" s="2">
        <f>--651.37</f>
        <v>651.37</v>
      </c>
      <c r="E236" s="2"/>
      <c r="F236" s="22">
        <f t="shared" si="143"/>
        <v>4.9798338022803603E-4</v>
      </c>
      <c r="G236" s="2"/>
      <c r="H236" s="2"/>
      <c r="I236" s="2"/>
      <c r="J236" s="22">
        <f t="shared" si="144"/>
        <v>0</v>
      </c>
      <c r="K236" s="2"/>
      <c r="L236" s="2">
        <f t="shared" si="145"/>
        <v>651.37</v>
      </c>
      <c r="M236" s="2"/>
      <c r="N236" s="22">
        <f t="shared" si="146"/>
        <v>0</v>
      </c>
      <c r="O236" s="11"/>
      <c r="P236" s="2">
        <f>--1685.87</f>
        <v>1685.87</v>
      </c>
      <c r="Q236" s="2"/>
      <c r="R236" s="22">
        <f t="shared" si="147"/>
        <v>3.1917418945920291E-4</v>
      </c>
      <c r="S236" s="2"/>
      <c r="T236" s="2"/>
      <c r="U236" s="2"/>
      <c r="V236" s="22">
        <f t="shared" si="148"/>
        <v>0</v>
      </c>
      <c r="W236" s="2"/>
      <c r="X236" s="2">
        <f t="shared" si="149"/>
        <v>1685.87</v>
      </c>
      <c r="Y236" s="2"/>
      <c r="Z236" s="22">
        <f t="shared" si="150"/>
        <v>0</v>
      </c>
    </row>
    <row r="237" spans="1:26" s="24" customFormat="1" hidden="1" outlineLevel="1" x14ac:dyDescent="0.35">
      <c r="A237" s="51"/>
      <c r="B237" s="11" t="str">
        <f>CONCATENATE("          ", "9150", " - ", "MISC. INCOME")</f>
        <v xml:space="preserve">          9150 - MISC. INCOME</v>
      </c>
      <c r="C237" s="11"/>
      <c r="D237" s="2">
        <f>--29505.58</f>
        <v>29505.58</v>
      </c>
      <c r="E237" s="2"/>
      <c r="F237" s="22">
        <f t="shared" si="143"/>
        <v>2.2557514874785047E-2</v>
      </c>
      <c r="G237" s="2"/>
      <c r="H237" s="2">
        <v>25090</v>
      </c>
      <c r="I237" s="2"/>
      <c r="J237" s="22">
        <f t="shared" si="144"/>
        <v>1.1812701125478756E-2</v>
      </c>
      <c r="K237" s="2"/>
      <c r="L237" s="2">
        <f t="shared" si="145"/>
        <v>4415.5800000000017</v>
      </c>
      <c r="M237" s="2"/>
      <c r="N237" s="22">
        <f t="shared" si="146"/>
        <v>0.17598963730569955</v>
      </c>
      <c r="O237" s="11"/>
      <c r="P237" s="2">
        <f>--247426.29</f>
        <v>247426.29</v>
      </c>
      <c r="Q237" s="2"/>
      <c r="R237" s="22">
        <f t="shared" si="147"/>
        <v>4.6843520296136532E-2</v>
      </c>
      <c r="S237" s="2"/>
      <c r="T237" s="2">
        <v>154724</v>
      </c>
      <c r="U237" s="2"/>
      <c r="V237" s="22">
        <f t="shared" si="148"/>
        <v>1.8730553570879487E-2</v>
      </c>
      <c r="W237" s="2"/>
      <c r="X237" s="2">
        <f t="shared" si="149"/>
        <v>92702.290000000008</v>
      </c>
      <c r="Y237" s="2"/>
      <c r="Z237" s="22">
        <f t="shared" si="150"/>
        <v>0.59914615702799834</v>
      </c>
    </row>
    <row r="238" spans="1:26" s="24" customFormat="1" hidden="1" outlineLevel="1" x14ac:dyDescent="0.35">
      <c r="A238" s="51"/>
      <c r="B238" s="11" t="str">
        <f>CONCATENATE("          ", "9151", " - ", "MISC. INCOME")</f>
        <v xml:space="preserve">          9151 - MISC. INCOME</v>
      </c>
      <c r="C238" s="11"/>
      <c r="D238" s="2">
        <f>--1972</f>
        <v>1972</v>
      </c>
      <c r="E238" s="2"/>
      <c r="F238" s="22">
        <f t="shared" si="143"/>
        <v>1.5076273482194252E-3</v>
      </c>
      <c r="G238" s="2"/>
      <c r="H238" s="2">
        <v>15175</v>
      </c>
      <c r="I238" s="2"/>
      <c r="J238" s="22">
        <f t="shared" si="144"/>
        <v>7.1445890625404587E-3</v>
      </c>
      <c r="K238" s="2"/>
      <c r="L238" s="2">
        <f t="shared" si="145"/>
        <v>-13203</v>
      </c>
      <c r="M238" s="2"/>
      <c r="N238" s="22">
        <f t="shared" si="146"/>
        <v>-0.8700494233937397</v>
      </c>
      <c r="O238" s="11"/>
      <c r="P238" s="2">
        <f>--149257.39</f>
        <v>149257.39000000001</v>
      </c>
      <c r="Q238" s="2"/>
      <c r="R238" s="22">
        <f t="shared" si="147"/>
        <v>2.8257876629898003E-2</v>
      </c>
      <c r="S238" s="2"/>
      <c r="T238" s="2">
        <v>372104</v>
      </c>
      <c r="U238" s="2"/>
      <c r="V238" s="22">
        <f t="shared" si="148"/>
        <v>4.5046107300344751E-2</v>
      </c>
      <c r="W238" s="2"/>
      <c r="X238" s="2">
        <f t="shared" si="149"/>
        <v>-222846.61</v>
      </c>
      <c r="Y238" s="2"/>
      <c r="Z238" s="22">
        <f t="shared" si="150"/>
        <v>-0.59888259733837845</v>
      </c>
    </row>
    <row r="239" spans="1:26" s="24" customFormat="1" hidden="1" outlineLevel="1" x14ac:dyDescent="0.35">
      <c r="A239" s="51"/>
      <c r="B239" s="11" t="str">
        <f>CONCATENATE("          ", "9152", " - ", "MISC. INCOME")</f>
        <v xml:space="preserve">          9152 - MISC. INCOME</v>
      </c>
      <c r="C239" s="11"/>
      <c r="D239" s="2">
        <f>--146.33</f>
        <v>146.33000000000001</v>
      </c>
      <c r="E239" s="2"/>
      <c r="F239" s="22">
        <f t="shared" si="143"/>
        <v>1.1187175956640391E-4</v>
      </c>
      <c r="G239" s="2"/>
      <c r="H239" s="2"/>
      <c r="I239" s="2"/>
      <c r="J239" s="22">
        <f t="shared" si="144"/>
        <v>0</v>
      </c>
      <c r="K239" s="2"/>
      <c r="L239" s="2">
        <f t="shared" si="145"/>
        <v>146.33000000000001</v>
      </c>
      <c r="M239" s="2"/>
      <c r="N239" s="22">
        <f t="shared" si="146"/>
        <v>0</v>
      </c>
      <c r="O239" s="11"/>
      <c r="P239" s="2">
        <f>--3232.26</f>
        <v>3232.26</v>
      </c>
      <c r="Q239" s="2"/>
      <c r="R239" s="22">
        <f t="shared" si="147"/>
        <v>6.1194158839139633E-4</v>
      </c>
      <c r="S239" s="2"/>
      <c r="T239" s="2"/>
      <c r="U239" s="2"/>
      <c r="V239" s="22">
        <f t="shared" si="148"/>
        <v>0</v>
      </c>
      <c r="W239" s="2"/>
      <c r="X239" s="2">
        <f t="shared" si="149"/>
        <v>3232.26</v>
      </c>
      <c r="Y239" s="2"/>
      <c r="Z239" s="22">
        <f t="shared" si="150"/>
        <v>0</v>
      </c>
    </row>
    <row r="240" spans="1:26" s="24" customFormat="1" hidden="1" outlineLevel="1" x14ac:dyDescent="0.35">
      <c r="A240" s="51"/>
      <c r="B240" s="11" t="str">
        <f>CONCATENATE("          ", "9163", " - ", "MISC. INCOME")</f>
        <v xml:space="preserve">          9163 - MISC. INCOME</v>
      </c>
      <c r="C240" s="11"/>
      <c r="D240" s="2">
        <f>0</f>
        <v>0</v>
      </c>
      <c r="E240" s="2"/>
      <c r="F240" s="22">
        <f t="shared" si="143"/>
        <v>0</v>
      </c>
      <c r="G240" s="2"/>
      <c r="H240" s="2"/>
      <c r="I240" s="2"/>
      <c r="J240" s="22">
        <f t="shared" si="144"/>
        <v>0</v>
      </c>
      <c r="K240" s="2"/>
      <c r="L240" s="2">
        <f t="shared" si="145"/>
        <v>0</v>
      </c>
      <c r="M240" s="2"/>
      <c r="N240" s="22">
        <f t="shared" si="146"/>
        <v>0</v>
      </c>
      <c r="O240" s="11"/>
      <c r="P240" s="2">
        <f>--175405.84</f>
        <v>175405.84</v>
      </c>
      <c r="Q240" s="2"/>
      <c r="R240" s="22">
        <f t="shared" si="147"/>
        <v>3.3208383095025495E-2</v>
      </c>
      <c r="S240" s="2"/>
      <c r="T240" s="2"/>
      <c r="U240" s="2"/>
      <c r="V240" s="22">
        <f t="shared" si="148"/>
        <v>0</v>
      </c>
      <c r="W240" s="2"/>
      <c r="X240" s="2">
        <f t="shared" si="149"/>
        <v>175405.84</v>
      </c>
      <c r="Y240" s="2"/>
      <c r="Z240" s="22">
        <f t="shared" si="150"/>
        <v>0</v>
      </c>
    </row>
    <row r="241" spans="1:26" x14ac:dyDescent="0.35">
      <c r="A241" s="9"/>
      <c r="B241" s="10"/>
      <c r="C241" s="10"/>
      <c r="D241" s="3"/>
      <c r="E241" s="3"/>
      <c r="F241" s="8"/>
      <c r="G241" s="3"/>
      <c r="H241" s="3"/>
      <c r="I241" s="3"/>
      <c r="J241" s="8"/>
      <c r="K241" s="3"/>
      <c r="L241" s="3"/>
      <c r="M241" s="3"/>
      <c r="N241" s="8"/>
      <c r="O241" s="10"/>
      <c r="P241" s="3"/>
      <c r="Q241" s="3"/>
      <c r="R241" s="8"/>
      <c r="S241" s="3"/>
      <c r="T241" s="3"/>
      <c r="U241" s="3"/>
      <c r="V241" s="8"/>
      <c r="W241" s="3"/>
      <c r="X241" s="3"/>
      <c r="Y241" s="3"/>
      <c r="Z241" s="8"/>
    </row>
    <row r="242" spans="1:26" s="23" customFormat="1" x14ac:dyDescent="0.35">
      <c r="A242" s="10"/>
      <c r="B242" s="26" t="s">
        <v>3</v>
      </c>
      <c r="C242" s="26"/>
      <c r="D242" s="19">
        <f>+D135-D137+D235</f>
        <v>144899.95000000016</v>
      </c>
      <c r="E242" s="13"/>
      <c r="F242" s="21">
        <f>IF(D$12=0,0,D242/D$12)</f>
        <v>0.11077846215802614</v>
      </c>
      <c r="G242" s="13"/>
      <c r="H242" s="19">
        <f>+H135-H137+H235</f>
        <v>296888.93388386967</v>
      </c>
      <c r="I242" s="13"/>
      <c r="J242" s="21">
        <f>IF(H$12=0,0,H242/H$12)</f>
        <v>0.1397792046007244</v>
      </c>
      <c r="K242" s="16"/>
      <c r="L242" s="19">
        <f>+D242-H242</f>
        <v>-151988.98388386951</v>
      </c>
      <c r="M242" s="16"/>
      <c r="N242" s="21">
        <f>IF(H242=0,0,L242/H242)</f>
        <v>-0.51193886513574516</v>
      </c>
      <c r="O242" s="25"/>
      <c r="P242" s="19">
        <f>+P135-P137+P235</f>
        <v>25349.629999998608</v>
      </c>
      <c r="Q242" s="13"/>
      <c r="R242" s="21">
        <f>IF(P$12=0,0,P242/P$12)</f>
        <v>4.7992713603897397E-3</v>
      </c>
      <c r="S242" s="13"/>
      <c r="T242" s="19">
        <f>+T135-T137+T235</f>
        <v>650576.31261861883</v>
      </c>
      <c r="U242" s="13"/>
      <c r="V242" s="21">
        <f>IF(T$12=0,0,T242/T$12)</f>
        <v>7.8757364568187743E-2</v>
      </c>
      <c r="W242" s="16"/>
      <c r="X242" s="19">
        <f>+P242-T242</f>
        <v>-625226.68261862022</v>
      </c>
      <c r="Y242" s="16"/>
      <c r="Z242" s="21">
        <f>IF(T242=0,0,X242/T242)</f>
        <v>-0.96103511685206544</v>
      </c>
    </row>
    <row r="243" spans="1:26" x14ac:dyDescent="0.35">
      <c r="A243" s="9"/>
      <c r="B243" s="10"/>
      <c r="C243" s="9"/>
      <c r="D243" s="3"/>
      <c r="E243" s="3"/>
      <c r="F243" s="8"/>
      <c r="G243" s="3"/>
      <c r="H243" s="3"/>
      <c r="I243" s="3"/>
      <c r="J243" s="8"/>
      <c r="K243" s="3"/>
      <c r="L243" s="3"/>
      <c r="M243" s="3"/>
      <c r="N243" s="8"/>
      <c r="P243" s="3"/>
      <c r="Q243" s="3"/>
      <c r="R243" s="8"/>
      <c r="S243" s="3"/>
      <c r="T243" s="3"/>
      <c r="U243" s="3"/>
      <c r="V243" s="8"/>
      <c r="W243" s="3"/>
      <c r="X243" s="3"/>
      <c r="Y243" s="3"/>
      <c r="Z243" s="8"/>
    </row>
    <row r="244" spans="1:26" s="23" customFormat="1" x14ac:dyDescent="0.35">
      <c r="A244" s="52"/>
      <c r="B244" s="10" t="s">
        <v>14</v>
      </c>
      <c r="C244" s="10"/>
      <c r="D244" s="4">
        <v>223551.56</v>
      </c>
      <c r="E244" s="4"/>
      <c r="F244" s="12">
        <f>IF(D$12=0,0,D244/D$12)</f>
        <v>0.1709089480695313</v>
      </c>
      <c r="G244" s="4"/>
      <c r="H244" s="4">
        <v>270049</v>
      </c>
      <c r="I244" s="4"/>
      <c r="J244" s="12">
        <f>IF(H$12=0,0,H244/H$12)</f>
        <v>0.1271426116474457</v>
      </c>
      <c r="K244" s="4"/>
      <c r="L244" s="4">
        <f>+D244-H244</f>
        <v>-46497.440000000002</v>
      </c>
      <c r="M244" s="4"/>
      <c r="N244" s="12">
        <f>IF(H244=0,0,L244/H244)</f>
        <v>-0.17218149298830954</v>
      </c>
      <c r="O244" s="10"/>
      <c r="P244" s="4">
        <v>958818.14999999991</v>
      </c>
      <c r="Q244" s="4"/>
      <c r="R244" s="12">
        <f>IF(P$12=0,0,P244/P$12)</f>
        <v>0.18152645569647863</v>
      </c>
      <c r="S244" s="4"/>
      <c r="T244" s="4">
        <v>1439039</v>
      </c>
      <c r="U244" s="4"/>
      <c r="V244" s="12">
        <f>IF(T$12=0,0,T244/T$12)</f>
        <v>0.17420695612888012</v>
      </c>
      <c r="W244" s="4"/>
      <c r="X244" s="4">
        <f>+P244-T244</f>
        <v>-480220.85000000009</v>
      </c>
      <c r="Y244" s="4"/>
      <c r="Z244" s="12">
        <f>IF(T244=0,0,X244/T244)</f>
        <v>-0.33370940606891131</v>
      </c>
    </row>
    <row r="245" spans="1:26" x14ac:dyDescent="0.35">
      <c r="A245" s="9"/>
      <c r="B245" s="10"/>
      <c r="C245" s="10"/>
      <c r="D245" s="3"/>
      <c r="E245" s="3"/>
      <c r="F245" s="8"/>
      <c r="G245" s="3"/>
      <c r="H245" s="3"/>
      <c r="I245" s="3"/>
      <c r="J245" s="8"/>
      <c r="K245" s="3"/>
      <c r="L245" s="3"/>
      <c r="M245" s="3"/>
      <c r="N245" s="8"/>
      <c r="O245" s="10"/>
      <c r="P245" s="3"/>
      <c r="Q245" s="3"/>
      <c r="R245" s="8"/>
      <c r="S245" s="3"/>
      <c r="T245" s="3"/>
      <c r="U245" s="3"/>
      <c r="V245" s="8"/>
      <c r="W245" s="3"/>
      <c r="X245" s="3"/>
      <c r="Y245" s="3"/>
      <c r="Z245" s="8"/>
    </row>
    <row r="246" spans="1:26" s="23" customFormat="1" ht="15" thickBot="1" x14ac:dyDescent="0.4">
      <c r="A246" s="10"/>
      <c r="B246" s="26" t="s">
        <v>4</v>
      </c>
      <c r="C246" s="26"/>
      <c r="D246" s="33">
        <f>+D242-D244</f>
        <v>-78651.609999999841</v>
      </c>
      <c r="E246" s="13"/>
      <c r="F246" s="31">
        <f>IF(D$12=0,0,D246/D$12)</f>
        <v>-6.0130485911505167E-2</v>
      </c>
      <c r="G246" s="13"/>
      <c r="H246" s="33">
        <f>+H242-H244</f>
        <v>26839.933883869671</v>
      </c>
      <c r="I246" s="13"/>
      <c r="J246" s="31">
        <f>IF(H$12=0,0,H246/H$12)</f>
        <v>1.2636592953278703E-2</v>
      </c>
      <c r="K246" s="16"/>
      <c r="L246" s="33">
        <f>D246-H246</f>
        <v>-105491.54388386951</v>
      </c>
      <c r="M246" s="16"/>
      <c r="N246" s="31">
        <f>IF(H246=0,0,L246/H246)</f>
        <v>-3.9303950725179719</v>
      </c>
      <c r="O246" s="25"/>
      <c r="P246" s="33">
        <f>+P242-P244</f>
        <v>-933468.5200000013</v>
      </c>
      <c r="Q246" s="13"/>
      <c r="R246" s="31">
        <f>IF(P$12=0,0,P246/P$12)</f>
        <v>-0.17672718433608889</v>
      </c>
      <c r="S246" s="13"/>
      <c r="T246" s="33">
        <f>+T242-T244</f>
        <v>-788462.68738138117</v>
      </c>
      <c r="U246" s="13"/>
      <c r="V246" s="31">
        <f>IF(T$12=0,0,T246/T$12)</f>
        <v>-9.5449591560692368E-2</v>
      </c>
      <c r="W246" s="16"/>
      <c r="X246" s="33">
        <f>P246-T246</f>
        <v>-145005.83261862013</v>
      </c>
      <c r="Y246" s="16"/>
      <c r="Z246" s="31">
        <f>IF(T246=0,0,X246/T246)</f>
        <v>0.18390956850502233</v>
      </c>
    </row>
    <row r="247" spans="1:26" ht="15" thickTop="1" x14ac:dyDescent="0.35">
      <c r="A247" s="9"/>
      <c r="B247" s="9"/>
      <c r="C247" s="9"/>
      <c r="D247" s="3"/>
      <c r="E247" s="3"/>
      <c r="F247" s="8"/>
      <c r="G247" s="3"/>
      <c r="H247" s="3"/>
      <c r="I247" s="3"/>
      <c r="J247" s="8"/>
      <c r="K247" s="3"/>
      <c r="L247" s="3"/>
      <c r="M247" s="3"/>
      <c r="N247" s="8"/>
      <c r="P247" s="3"/>
      <c r="Q247" s="3"/>
      <c r="R247" s="8"/>
      <c r="S247" s="3"/>
      <c r="T247" s="3"/>
      <c r="U247" s="3"/>
      <c r="V247" s="8"/>
      <c r="W247" s="3"/>
      <c r="X247" s="3"/>
      <c r="Y247" s="3"/>
      <c r="Z247" s="8"/>
    </row>
    <row r="248" spans="1:26" x14ac:dyDescent="0.35">
      <c r="A248" s="9"/>
      <c r="B248" s="9"/>
      <c r="C248" s="9"/>
      <c r="D248" s="3"/>
      <c r="E248" s="3"/>
      <c r="F248" s="8"/>
      <c r="G248" s="3"/>
      <c r="H248" s="3"/>
      <c r="I248" s="3"/>
      <c r="J248" s="8"/>
      <c r="K248" s="3"/>
      <c r="L248" s="3"/>
      <c r="M248" s="3"/>
      <c r="N248" s="8"/>
      <c r="P248" s="3"/>
      <c r="Q248" s="3"/>
      <c r="R248" s="8"/>
      <c r="S248" s="3"/>
      <c r="T248" s="3"/>
      <c r="U248" s="3"/>
      <c r="V248" s="8"/>
      <c r="W248" s="3"/>
      <c r="X248" s="3"/>
      <c r="Y248" s="3"/>
      <c r="Z248" s="8"/>
    </row>
    <row r="249" spans="1:26" s="23" customFormat="1" ht="15" thickBot="1" x14ac:dyDescent="0.4">
      <c r="A249" s="10"/>
      <c r="B249" s="26" t="s">
        <v>5</v>
      </c>
      <c r="C249" s="26"/>
      <c r="D249" s="34">
        <f>SUM(D246:D248)</f>
        <v>-78651.609999999841</v>
      </c>
      <c r="E249" s="13"/>
      <c r="F249" s="32">
        <f>IF(D$12=0,0,D249/D$12)</f>
        <v>-6.0130485911505167E-2</v>
      </c>
      <c r="G249" s="13"/>
      <c r="H249" s="34">
        <f>SUM(H246:H248)</f>
        <v>26839.933883869671</v>
      </c>
      <c r="I249" s="13"/>
      <c r="J249" s="32">
        <f>IF(H$12=0,0,H249/H$12)</f>
        <v>1.2636592953278703E-2</v>
      </c>
      <c r="K249" s="16"/>
      <c r="L249" s="34">
        <f>+D249-H249</f>
        <v>-105491.54388386951</v>
      </c>
      <c r="M249" s="16"/>
      <c r="N249" s="32">
        <f>IF(H249=0,0,L249/H249)</f>
        <v>-3.9303950725179719</v>
      </c>
      <c r="O249" s="25"/>
      <c r="P249" s="34">
        <f>SUM(P246:P248)</f>
        <v>-933468.5200000013</v>
      </c>
      <c r="Q249" s="13"/>
      <c r="R249" s="32">
        <f>IF(P$12=0,0,P249/P$12)</f>
        <v>-0.17672718433608889</v>
      </c>
      <c r="S249" s="13"/>
      <c r="T249" s="34">
        <f>SUM(T246:T248)</f>
        <v>-788462.68738138117</v>
      </c>
      <c r="U249" s="13"/>
      <c r="V249" s="32">
        <f>IF(T$12=0,0,T249/T$12)</f>
        <v>-9.5449591560692368E-2</v>
      </c>
      <c r="W249" s="16"/>
      <c r="X249" s="34">
        <f>+P249-T249</f>
        <v>-145005.83261862013</v>
      </c>
      <c r="Y249" s="16"/>
      <c r="Z249" s="32">
        <f>IF(T249=0,0,X249/T249)</f>
        <v>0.18390956850502233</v>
      </c>
    </row>
    <row r="250" spans="1:26" ht="15" thickTop="1" x14ac:dyDescent="0.35">
      <c r="A250" s="9"/>
      <c r="C250" s="9"/>
      <c r="D250" s="18"/>
      <c r="E250" s="18"/>
      <c r="G250" s="18"/>
      <c r="H250" s="18"/>
      <c r="I250" s="18"/>
      <c r="J250" s="43"/>
      <c r="K250" s="18"/>
      <c r="L250" s="18"/>
      <c r="M250" s="18"/>
      <c r="P250" s="18"/>
      <c r="Q250" s="18"/>
      <c r="R250" s="43"/>
      <c r="S250" s="18"/>
      <c r="T250" s="18"/>
      <c r="U250" s="18"/>
      <c r="V250" s="43"/>
      <c r="W250" s="18"/>
      <c r="X250" s="18"/>
    </row>
    <row r="251" spans="1:26" x14ac:dyDescent="0.35">
      <c r="A251" s="9"/>
      <c r="B251" s="60">
        <v>44238.49008599537</v>
      </c>
      <c r="D251" s="18"/>
      <c r="E251" s="18"/>
      <c r="G251" s="18"/>
      <c r="H251" s="18"/>
      <c r="I251" s="18"/>
      <c r="J251" s="43"/>
      <c r="K251" s="18"/>
      <c r="L251" s="18"/>
      <c r="M251" s="18"/>
      <c r="P251" s="18"/>
      <c r="Q251" s="18"/>
      <c r="R251" s="43"/>
      <c r="S251" s="18"/>
      <c r="T251" s="18"/>
      <c r="U251" s="18"/>
      <c r="V251" s="43"/>
      <c r="W251" s="18"/>
      <c r="X251" s="18"/>
    </row>
    <row r="252" spans="1:26" x14ac:dyDescent="0.35">
      <c r="A252" s="9"/>
      <c r="B252" s="59" t="s">
        <v>314</v>
      </c>
      <c r="D252" s="18"/>
      <c r="E252" s="18"/>
      <c r="G252" s="18"/>
      <c r="H252" s="18"/>
      <c r="I252" s="18"/>
      <c r="J252" s="43"/>
      <c r="K252" s="18"/>
      <c r="L252" s="18"/>
      <c r="M252" s="18"/>
      <c r="P252" s="18"/>
      <c r="Q252" s="18"/>
      <c r="R252" s="43"/>
      <c r="S252" s="18"/>
      <c r="T252" s="18"/>
      <c r="U252" s="18"/>
      <c r="V252" s="43"/>
      <c r="W252" s="18"/>
      <c r="X252" s="18"/>
    </row>
    <row r="253" spans="1:26" x14ac:dyDescent="0.35">
      <c r="A253" s="9"/>
      <c r="B253" s="58"/>
      <c r="D253" s="18"/>
      <c r="E253" s="18"/>
      <c r="G253" s="18"/>
      <c r="H253" s="18"/>
      <c r="I253" s="18"/>
      <c r="J253" s="43"/>
      <c r="K253" s="18"/>
      <c r="L253" s="18"/>
      <c r="M253" s="18"/>
      <c r="P253" s="18"/>
      <c r="Q253" s="18"/>
      <c r="R253" s="43"/>
      <c r="S253" s="18"/>
      <c r="T253" s="18"/>
      <c r="U253" s="18"/>
      <c r="V253" s="43"/>
      <c r="W253" s="18"/>
      <c r="X253" s="18"/>
    </row>
    <row r="254" spans="1:26" x14ac:dyDescent="0.35">
      <c r="D254" s="18"/>
      <c r="E254" s="18"/>
      <c r="G254" s="18"/>
      <c r="H254" s="18"/>
      <c r="I254" s="18"/>
      <c r="J254" s="43"/>
      <c r="K254" s="18"/>
      <c r="L254" s="18"/>
      <c r="M254" s="18"/>
      <c r="P254" s="18"/>
      <c r="Q254" s="18"/>
      <c r="R254" s="43"/>
      <c r="S254" s="18"/>
      <c r="T254" s="18"/>
      <c r="U254" s="18"/>
      <c r="V254" s="43"/>
      <c r="W254" s="18"/>
      <c r="X254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","301", " - ", "Bookstore Operations")</f>
        <v>Department 301 - Bookstore Operations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6" t="s">
        <v>6</v>
      </c>
      <c r="C16" s="26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6"/>
      <c r="L16" s="19">
        <f>+D16-H16</f>
        <v>0</v>
      </c>
      <c r="M16" s="16"/>
      <c r="N16" s="21">
        <f>IF(H16=0,0,L16/H16)</f>
        <v>0</v>
      </c>
      <c r="O16" s="25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6"/>
      <c r="X16" s="19">
        <f>+P16-T16</f>
        <v>0</v>
      </c>
      <c r="Y16" s="16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5" t="s">
        <v>9</v>
      </c>
      <c r="C18" s="10"/>
      <c r="D18" s="20">
        <f>SUM(OSRRefD22x_0)</f>
        <v>142959.37</v>
      </c>
      <c r="E18" s="20"/>
      <c r="F18" s="30">
        <f t="shared" ref="F18:F29" si="0">IF(D$12=0,0,D18/D$12)</f>
        <v>0</v>
      </c>
      <c r="G18" s="20"/>
      <c r="H18" s="20">
        <f>SUM(OSRRefH22x_0)</f>
        <v>166976.91694575193</v>
      </c>
      <c r="I18" s="20"/>
      <c r="J18" s="30">
        <f t="shared" ref="J18:J29" si="1">IF(H$12=0,0,H18/H$12)</f>
        <v>0</v>
      </c>
      <c r="K18" s="4"/>
      <c r="L18" s="20">
        <f t="shared" ref="L18:L29" si="2">+D18-H18</f>
        <v>-24017.546945751936</v>
      </c>
      <c r="M18" s="4"/>
      <c r="N18" s="30">
        <f t="shared" ref="N18:N29" si="3">IF(H18=0,0,L18/H18)</f>
        <v>-0.14383752787551374</v>
      </c>
      <c r="O18" s="10"/>
      <c r="P18" s="20">
        <f>SUM(OSRRefP22x_0)</f>
        <v>876047.51000000024</v>
      </c>
      <c r="Q18" s="20"/>
      <c r="R18" s="30">
        <f t="shared" ref="R18:R29" si="4">IF(P$12=0,0,P18/P$12)</f>
        <v>0</v>
      </c>
      <c r="S18" s="20"/>
      <c r="T18" s="20">
        <f>SUM(OSRRefT22x_0)</f>
        <v>1085691.8999629519</v>
      </c>
      <c r="U18" s="20"/>
      <c r="V18" s="30">
        <f t="shared" ref="V18:V29" si="5">IF(T$12=0,0,T18/T$12)</f>
        <v>0</v>
      </c>
      <c r="W18" s="4"/>
      <c r="X18" s="20">
        <f t="shared" ref="X18:X29" si="6">+P18-T18</f>
        <v>-209644.38996295165</v>
      </c>
      <c r="Y18" s="4"/>
      <c r="Z18" s="30">
        <f t="shared" ref="Z18:Z29" si="7">IF(T18=0,0,X18/T18)</f>
        <v>-0.19309749844325591</v>
      </c>
    </row>
    <row r="19" spans="1:26" s="28" customFormat="1" outlineLevel="1" collapsed="1" x14ac:dyDescent="0.3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12177.93</v>
      </c>
      <c r="E19" s="1"/>
      <c r="F19" s="5">
        <f t="shared" si="0"/>
        <v>0</v>
      </c>
      <c r="G19" s="1"/>
      <c r="H19" s="1">
        <f>SUM(OSRRefH22_0x_0)</f>
        <v>10401.02669575192</v>
      </c>
      <c r="I19" s="1"/>
      <c r="J19" s="5">
        <f t="shared" si="1"/>
        <v>0</v>
      </c>
      <c r="K19" s="1"/>
      <c r="L19" s="1">
        <f t="shared" si="2"/>
        <v>1776.9033042480805</v>
      </c>
      <c r="M19" s="1"/>
      <c r="N19" s="5">
        <f t="shared" si="3"/>
        <v>0.17083922157163767</v>
      </c>
      <c r="O19" s="14"/>
      <c r="P19" s="1">
        <f>SUM(OSRRefP22_0x_0)</f>
        <v>62811.819999999992</v>
      </c>
      <c r="Q19" s="1"/>
      <c r="R19" s="5">
        <f t="shared" si="4"/>
        <v>0</v>
      </c>
      <c r="S19" s="1"/>
      <c r="T19" s="1">
        <f>SUM(OSRRefT22_0x_0)</f>
        <v>64327.413712951929</v>
      </c>
      <c r="U19" s="1"/>
      <c r="V19" s="5">
        <f t="shared" si="5"/>
        <v>0</v>
      </c>
      <c r="W19" s="1"/>
      <c r="X19" s="1">
        <f t="shared" si="6"/>
        <v>-1515.5937129519371</v>
      </c>
      <c r="Y19" s="1"/>
      <c r="Z19" s="5">
        <f t="shared" si="7"/>
        <v>-2.3560619422925463E-2</v>
      </c>
    </row>
    <row r="20" spans="1:26" s="24" customFormat="1" hidden="1" outlineLevel="2" x14ac:dyDescent="0.35">
      <c r="A20" s="29"/>
      <c r="B20" s="11" t="str">
        <f>CONCATENATE("          ", "6111", " - ", "F.I.C.A.")</f>
        <v xml:space="preserve">          6111 - F.I.C.A.</v>
      </c>
      <c r="C20" s="11"/>
      <c r="D20" s="7">
        <v>2086.96</v>
      </c>
      <c r="E20" s="2"/>
      <c r="F20" s="6">
        <f t="shared" si="0"/>
        <v>0</v>
      </c>
      <c r="G20" s="2"/>
      <c r="H20" s="7">
        <v>2026.3707149249999</v>
      </c>
      <c r="I20" s="2"/>
      <c r="J20" s="6">
        <f t="shared" si="1"/>
        <v>0</v>
      </c>
      <c r="K20" s="2"/>
      <c r="L20" s="7">
        <f t="shared" si="2"/>
        <v>60.589285075000134</v>
      </c>
      <c r="M20" s="2"/>
      <c r="N20" s="6">
        <f t="shared" si="3"/>
        <v>2.9900395139318161E-2</v>
      </c>
      <c r="O20" s="11"/>
      <c r="P20" s="7">
        <v>17100.080000000002</v>
      </c>
      <c r="Q20" s="2"/>
      <c r="R20" s="6">
        <f t="shared" si="4"/>
        <v>0</v>
      </c>
      <c r="S20" s="2"/>
      <c r="T20" s="7">
        <v>15652.685683125021</v>
      </c>
      <c r="U20" s="2"/>
      <c r="V20" s="6">
        <f t="shared" si="5"/>
        <v>0</v>
      </c>
      <c r="W20" s="2"/>
      <c r="X20" s="7">
        <f t="shared" si="6"/>
        <v>1447.3943168749811</v>
      </c>
      <c r="Y20" s="2"/>
      <c r="Z20" s="6">
        <f t="shared" si="7"/>
        <v>9.2469391271007256E-2</v>
      </c>
    </row>
    <row r="21" spans="1:26" s="24" customFormat="1" hidden="1" outlineLevel="2" x14ac:dyDescent="0.3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602.88</v>
      </c>
      <c r="E21" s="2"/>
      <c r="F21" s="6">
        <f t="shared" si="0"/>
        <v>0</v>
      </c>
      <c r="G21" s="2"/>
      <c r="H21" s="7">
        <v>1503.3507462499999</v>
      </c>
      <c r="I21" s="2"/>
      <c r="J21" s="6">
        <f t="shared" si="1"/>
        <v>0</v>
      </c>
      <c r="K21" s="2"/>
      <c r="L21" s="7">
        <f t="shared" si="2"/>
        <v>-900.47074624999993</v>
      </c>
      <c r="M21" s="2"/>
      <c r="N21" s="6">
        <f t="shared" si="3"/>
        <v>-0.59897582017779905</v>
      </c>
      <c r="O21" s="11"/>
      <c r="P21" s="7">
        <v>5231.95</v>
      </c>
      <c r="Q21" s="2"/>
      <c r="R21" s="6">
        <f t="shared" si="4"/>
        <v>0</v>
      </c>
      <c r="S21" s="2"/>
      <c r="T21" s="7">
        <v>6548.9887612499933</v>
      </c>
      <c r="U21" s="2"/>
      <c r="V21" s="6">
        <f t="shared" si="5"/>
        <v>0</v>
      </c>
      <c r="W21" s="2"/>
      <c r="X21" s="7">
        <f t="shared" si="6"/>
        <v>-1317.0387612499935</v>
      </c>
      <c r="Y21" s="2"/>
      <c r="Z21" s="6">
        <f t="shared" si="7"/>
        <v>-0.20110566825871493</v>
      </c>
    </row>
    <row r="22" spans="1:26" s="24" customFormat="1" hidden="1" outlineLevel="2" x14ac:dyDescent="0.35">
      <c r="A22" s="29"/>
      <c r="B22" s="11" t="str">
        <f>CONCATENATE("          ", "6113", " - ", "GROUP INSURANCE")</f>
        <v xml:space="preserve">          6113 - GROUP INSURANCE</v>
      </c>
      <c r="C22" s="11"/>
      <c r="D22" s="7">
        <v>5096.28</v>
      </c>
      <c r="E22" s="2"/>
      <c r="F22" s="6">
        <f t="shared" si="0"/>
        <v>0</v>
      </c>
      <c r="G22" s="2"/>
      <c r="H22" s="7">
        <v>3675.5769230769201</v>
      </c>
      <c r="I22" s="2"/>
      <c r="J22" s="6">
        <f t="shared" si="1"/>
        <v>0</v>
      </c>
      <c r="K22" s="2"/>
      <c r="L22" s="7">
        <f t="shared" si="2"/>
        <v>1420.7030769230796</v>
      </c>
      <c r="M22" s="2"/>
      <c r="N22" s="6">
        <f t="shared" si="3"/>
        <v>0.38652519227750848</v>
      </c>
      <c r="O22" s="11"/>
      <c r="P22" s="7">
        <v>14948.009999999998</v>
      </c>
      <c r="Q22" s="2"/>
      <c r="R22" s="6">
        <f t="shared" si="4"/>
        <v>0</v>
      </c>
      <c r="S22" s="2"/>
      <c r="T22" s="7">
        <v>24450.576923076918</v>
      </c>
      <c r="U22" s="2"/>
      <c r="V22" s="6">
        <f t="shared" si="5"/>
        <v>0</v>
      </c>
      <c r="W22" s="2"/>
      <c r="X22" s="7">
        <f t="shared" si="6"/>
        <v>-9502.5669230769199</v>
      </c>
      <c r="Y22" s="2"/>
      <c r="Z22" s="6">
        <f t="shared" si="7"/>
        <v>-0.38864387343385004</v>
      </c>
    </row>
    <row r="23" spans="1:26" s="24" customFormat="1" hidden="1" outlineLevel="2" x14ac:dyDescent="0.3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220.75</v>
      </c>
      <c r="E23" s="2"/>
      <c r="F23" s="6">
        <f t="shared" si="0"/>
        <v>0</v>
      </c>
      <c r="G23" s="2"/>
      <c r="H23" s="7">
        <v>211.28172649999999</v>
      </c>
      <c r="I23" s="2"/>
      <c r="J23" s="6">
        <f t="shared" si="1"/>
        <v>0</v>
      </c>
      <c r="K23" s="2"/>
      <c r="L23" s="7">
        <f t="shared" si="2"/>
        <v>9.4682735000000093</v>
      </c>
      <c r="M23" s="2"/>
      <c r="N23" s="6">
        <f t="shared" si="3"/>
        <v>4.4813499287644311E-2</v>
      </c>
      <c r="O23" s="11"/>
      <c r="P23" s="7">
        <v>820.42</v>
      </c>
      <c r="Q23" s="2"/>
      <c r="R23" s="6">
        <f t="shared" si="4"/>
        <v>0</v>
      </c>
      <c r="S23" s="2"/>
      <c r="T23" s="7">
        <v>920.39842049999993</v>
      </c>
      <c r="U23" s="2"/>
      <c r="V23" s="6">
        <f t="shared" si="5"/>
        <v>0</v>
      </c>
      <c r="W23" s="2"/>
      <c r="X23" s="7">
        <f t="shared" si="6"/>
        <v>-99.97842049999997</v>
      </c>
      <c r="Y23" s="2"/>
      <c r="Z23" s="6">
        <f t="shared" si="7"/>
        <v>-0.10862515436052943</v>
      </c>
    </row>
    <row r="24" spans="1:26" s="24" customFormat="1" hidden="1" outlineLevel="2" x14ac:dyDescent="0.35">
      <c r="A24" s="29"/>
      <c r="B24" s="11" t="str">
        <f>CONCATENATE("          ", "6115", " - ", "P.E.R.S.")</f>
        <v xml:space="preserve">          6115 - P.E.R.S.</v>
      </c>
      <c r="C24" s="11"/>
      <c r="D24" s="7">
        <v>1561.41</v>
      </c>
      <c r="E24" s="2"/>
      <c r="F24" s="6">
        <f t="shared" si="0"/>
        <v>0</v>
      </c>
      <c r="G24" s="2"/>
      <c r="H24" s="7">
        <v>937.66853500000013</v>
      </c>
      <c r="I24" s="2"/>
      <c r="J24" s="6">
        <f t="shared" si="1"/>
        <v>0</v>
      </c>
      <c r="K24" s="2"/>
      <c r="L24" s="7">
        <f t="shared" si="2"/>
        <v>623.74146499999995</v>
      </c>
      <c r="M24" s="2"/>
      <c r="N24" s="6">
        <f t="shared" si="3"/>
        <v>0.66520464505082266</v>
      </c>
      <c r="O24" s="11"/>
      <c r="P24" s="7">
        <v>9468.89</v>
      </c>
      <c r="Q24" s="2"/>
      <c r="R24" s="6">
        <f t="shared" si="4"/>
        <v>0</v>
      </c>
      <c r="S24" s="2"/>
      <c r="T24" s="7">
        <v>5693.9793749999999</v>
      </c>
      <c r="U24" s="2"/>
      <c r="V24" s="6">
        <f t="shared" si="5"/>
        <v>0</v>
      </c>
      <c r="W24" s="2"/>
      <c r="X24" s="7">
        <f t="shared" si="6"/>
        <v>3774.9106249999995</v>
      </c>
      <c r="Y24" s="2"/>
      <c r="Z24" s="6">
        <f t="shared" si="7"/>
        <v>0.66296527900577429</v>
      </c>
    </row>
    <row r="25" spans="1:26" s="24" customFormat="1" hidden="1" outlineLevel="2" x14ac:dyDescent="0.3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401.9</v>
      </c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401.9</v>
      </c>
      <c r="Y25" s="2"/>
      <c r="Z25" s="6">
        <f t="shared" si="7"/>
        <v>0</v>
      </c>
    </row>
    <row r="26" spans="1:26" s="24" customFormat="1" hidden="1" outlineLevel="2" x14ac:dyDescent="0.35">
      <c r="A26" s="29"/>
      <c r="B26" s="11" t="str">
        <f>CONCATENATE("          ", "6117", " - ", "RETIREMENT STAFF HOURLY")</f>
        <v xml:space="preserve">          6117 - RETIREMENT STAFF HOURLY</v>
      </c>
      <c r="C26" s="11"/>
      <c r="D26" s="7">
        <v>209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209</v>
      </c>
      <c r="M26" s="2"/>
      <c r="N26" s="6">
        <f t="shared" si="3"/>
        <v>0</v>
      </c>
      <c r="O26" s="11"/>
      <c r="P26" s="7">
        <v>398.96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398.96</v>
      </c>
      <c r="Y26" s="2"/>
      <c r="Z26" s="6">
        <f t="shared" si="7"/>
        <v>0</v>
      </c>
    </row>
    <row r="27" spans="1:26" s="24" customFormat="1" hidden="1" outlineLevel="2" x14ac:dyDescent="0.35">
      <c r="A27" s="29"/>
      <c r="B27" s="11" t="str">
        <f>CONCATENATE("          ", "6118", " - ", "VACATION")</f>
        <v xml:space="preserve">          6118 - VACATION</v>
      </c>
      <c r="C27" s="11"/>
      <c r="D27" s="7">
        <v>1307.48</v>
      </c>
      <c r="E27" s="2"/>
      <c r="F27" s="6">
        <f t="shared" si="0"/>
        <v>0</v>
      </c>
      <c r="G27" s="2"/>
      <c r="H27" s="7">
        <v>695.15612499999997</v>
      </c>
      <c r="I27" s="2"/>
      <c r="J27" s="6">
        <f t="shared" si="1"/>
        <v>0</v>
      </c>
      <c r="K27" s="2"/>
      <c r="L27" s="7">
        <f t="shared" si="2"/>
        <v>612.32387500000004</v>
      </c>
      <c r="M27" s="2"/>
      <c r="N27" s="6">
        <f t="shared" si="3"/>
        <v>0.88084367378623052</v>
      </c>
      <c r="O27" s="11"/>
      <c r="P27" s="7">
        <v>7882.85</v>
      </c>
      <c r="Q27" s="2"/>
      <c r="R27" s="6">
        <f t="shared" si="4"/>
        <v>0</v>
      </c>
      <c r="S27" s="2"/>
      <c r="T27" s="7">
        <v>4240.4531250000018</v>
      </c>
      <c r="U27" s="2"/>
      <c r="V27" s="6">
        <f t="shared" si="5"/>
        <v>0</v>
      </c>
      <c r="W27" s="2"/>
      <c r="X27" s="7">
        <f t="shared" si="6"/>
        <v>3642.3968749999985</v>
      </c>
      <c r="Y27" s="2"/>
      <c r="Z27" s="6">
        <f t="shared" si="7"/>
        <v>0.85896407002494501</v>
      </c>
    </row>
    <row r="28" spans="1:26" s="24" customFormat="1" hidden="1" outlineLevel="2" x14ac:dyDescent="0.35">
      <c r="A28" s="29"/>
      <c r="B28" s="11" t="str">
        <f>CONCATENATE("          ", "6119", " - ", "SICK LEAVE")</f>
        <v xml:space="preserve">          6119 - SICK LEAVE</v>
      </c>
      <c r="C28" s="11"/>
      <c r="D28" s="7">
        <v>832.35</v>
      </c>
      <c r="E28" s="2"/>
      <c r="F28" s="6">
        <f t="shared" si="0"/>
        <v>0</v>
      </c>
      <c r="G28" s="2"/>
      <c r="H28" s="7">
        <v>1351.6219249999999</v>
      </c>
      <c r="I28" s="2"/>
      <c r="J28" s="6">
        <f t="shared" si="1"/>
        <v>0</v>
      </c>
      <c r="K28" s="2"/>
      <c r="L28" s="7">
        <f t="shared" si="2"/>
        <v>-519.2719249999999</v>
      </c>
      <c r="M28" s="2"/>
      <c r="N28" s="6">
        <f t="shared" si="3"/>
        <v>-0.38418430139034621</v>
      </c>
      <c r="O28" s="11"/>
      <c r="P28" s="7">
        <v>5270.38</v>
      </c>
      <c r="Q28" s="2"/>
      <c r="R28" s="6">
        <f t="shared" si="4"/>
        <v>0</v>
      </c>
      <c r="S28" s="2"/>
      <c r="T28" s="7">
        <v>6820.3314249999994</v>
      </c>
      <c r="U28" s="2"/>
      <c r="V28" s="6">
        <f t="shared" si="5"/>
        <v>0</v>
      </c>
      <c r="W28" s="2"/>
      <c r="X28" s="7">
        <f t="shared" si="6"/>
        <v>-1549.9514249999993</v>
      </c>
      <c r="Y28" s="2"/>
      <c r="Z28" s="6">
        <f t="shared" si="7"/>
        <v>-0.22725456116672504</v>
      </c>
    </row>
    <row r="29" spans="1:26" s="24" customFormat="1" hidden="1" outlineLevel="2" x14ac:dyDescent="0.35">
      <c r="A29" s="29"/>
      <c r="B29" s="11" t="str">
        <f>CONCATENATE("          ", "6156", " - ", "EMPLOYEE MEALS")</f>
        <v xml:space="preserve">          6156 - EMPLOYEE MEALS</v>
      </c>
      <c r="C29" s="11"/>
      <c r="D29" s="7">
        <v>260.82</v>
      </c>
      <c r="E29" s="2"/>
      <c r="F29" s="6">
        <f t="shared" si="0"/>
        <v>0</v>
      </c>
      <c r="G29" s="2"/>
      <c r="H29" s="7"/>
      <c r="I29" s="2"/>
      <c r="J29" s="6">
        <f t="shared" si="1"/>
        <v>0</v>
      </c>
      <c r="K29" s="2"/>
      <c r="L29" s="7">
        <f t="shared" si="2"/>
        <v>260.82</v>
      </c>
      <c r="M29" s="2"/>
      <c r="N29" s="6">
        <f t="shared" si="3"/>
        <v>0</v>
      </c>
      <c r="O29" s="11"/>
      <c r="P29" s="7">
        <v>1288.3800000000001</v>
      </c>
      <c r="Q29" s="2"/>
      <c r="R29" s="6">
        <f t="shared" si="4"/>
        <v>0</v>
      </c>
      <c r="S29" s="2"/>
      <c r="T29" s="7"/>
      <c r="U29" s="2"/>
      <c r="V29" s="6">
        <f t="shared" si="5"/>
        <v>0</v>
      </c>
      <c r="W29" s="2"/>
      <c r="X29" s="7">
        <f t="shared" si="6"/>
        <v>1288.3800000000001</v>
      </c>
      <c r="Y29" s="2"/>
      <c r="Z29" s="6">
        <f t="shared" si="7"/>
        <v>0</v>
      </c>
    </row>
    <row r="30" spans="1:26" s="28" customFormat="1" outlineLevel="1" collapsed="1" x14ac:dyDescent="0.3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60404.84</v>
      </c>
      <c r="E30" s="1"/>
      <c r="F30" s="5">
        <f t="shared" ref="F30:F40" si="8">IF(D$12=0,0,D30/D$12)</f>
        <v>0</v>
      </c>
      <c r="G30" s="1"/>
      <c r="H30" s="1">
        <f>SUM(OSRRefH22_1x_0)</f>
        <v>79921.890250000011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-19517.050250000015</v>
      </c>
      <c r="M30" s="1"/>
      <c r="N30" s="5">
        <f t="shared" ref="N30:N40" si="11">IF(H30=0,0,L30/H30)</f>
        <v>-0.24420155965968299</v>
      </c>
      <c r="O30" s="14"/>
      <c r="P30" s="1">
        <f>SUM(OSRRefP22_1x_0)</f>
        <v>308590.32000000007</v>
      </c>
      <c r="Q30" s="1"/>
      <c r="R30" s="5">
        <f t="shared" ref="R30:R40" si="12">IF(P$12=0,0,P30/P$12)</f>
        <v>0</v>
      </c>
      <c r="S30" s="1"/>
      <c r="T30" s="1">
        <f>SUM(OSRRefT22_1x_0)</f>
        <v>345828.48625000007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-37238.166250000009</v>
      </c>
      <c r="Y30" s="1"/>
      <c r="Z30" s="5">
        <f t="shared" ref="Z30:Z40" si="15">IF(T30=0,0,X30/T30)</f>
        <v>-0.10767813448161256</v>
      </c>
    </row>
    <row r="31" spans="1:26" s="24" customFormat="1" hidden="1" outlineLevel="2" x14ac:dyDescent="0.3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>
        <v>5332.74</v>
      </c>
      <c r="E31" s="2"/>
      <c r="F31" s="6">
        <f t="shared" si="8"/>
        <v>0</v>
      </c>
      <c r="G31" s="2"/>
      <c r="H31" s="7">
        <v>4759.6153846153902</v>
      </c>
      <c r="I31" s="2"/>
      <c r="J31" s="6">
        <f t="shared" si="9"/>
        <v>0</v>
      </c>
      <c r="K31" s="2"/>
      <c r="L31" s="7">
        <f t="shared" si="10"/>
        <v>573.12461538460957</v>
      </c>
      <c r="M31" s="2"/>
      <c r="N31" s="6">
        <f t="shared" si="11"/>
        <v>0.12041406060605925</v>
      </c>
      <c r="O31" s="11"/>
      <c r="P31" s="7">
        <v>30527.17</v>
      </c>
      <c r="Q31" s="2"/>
      <c r="R31" s="6">
        <f t="shared" si="12"/>
        <v>0</v>
      </c>
      <c r="S31" s="2"/>
      <c r="T31" s="7">
        <v>29509.615384615408</v>
      </c>
      <c r="U31" s="2"/>
      <c r="V31" s="6">
        <f t="shared" si="13"/>
        <v>0</v>
      </c>
      <c r="W31" s="2"/>
      <c r="X31" s="7">
        <f t="shared" si="14"/>
        <v>1017.5546153845899</v>
      </c>
      <c r="Y31" s="2"/>
      <c r="Z31" s="6">
        <f t="shared" si="15"/>
        <v>3.4482137504072093E-2</v>
      </c>
    </row>
    <row r="32" spans="1:26" s="24" customFormat="1" hidden="1" outlineLevel="2" x14ac:dyDescent="0.35">
      <c r="A32" s="29"/>
      <c r="B32" s="11" t="str">
        <f>CONCATENATE("          ", "6002", " - ", "STAFF SALARIES")</f>
        <v xml:space="preserve">          6002 - STAFF SALARIES</v>
      </c>
      <c r="C32" s="11"/>
      <c r="D32" s="7">
        <v>11452.71</v>
      </c>
      <c r="E32" s="2"/>
      <c r="F32" s="6">
        <f t="shared" si="8"/>
        <v>0</v>
      </c>
      <c r="G32" s="2"/>
      <c r="H32" s="7">
        <v>5053.1948653846202</v>
      </c>
      <c r="I32" s="2"/>
      <c r="J32" s="6">
        <f t="shared" si="9"/>
        <v>0</v>
      </c>
      <c r="K32" s="2"/>
      <c r="L32" s="7">
        <f t="shared" si="10"/>
        <v>6399.5151346153789</v>
      </c>
      <c r="M32" s="2"/>
      <c r="N32" s="6">
        <f t="shared" si="11"/>
        <v>1.2664295173838076</v>
      </c>
      <c r="O32" s="11"/>
      <c r="P32" s="7">
        <v>63742.8</v>
      </c>
      <c r="Q32" s="2"/>
      <c r="R32" s="6">
        <f t="shared" si="12"/>
        <v>0</v>
      </c>
      <c r="S32" s="2"/>
      <c r="T32" s="7">
        <v>30078.540865384617</v>
      </c>
      <c r="U32" s="2"/>
      <c r="V32" s="6">
        <f t="shared" si="13"/>
        <v>0</v>
      </c>
      <c r="W32" s="2"/>
      <c r="X32" s="7">
        <f t="shared" si="14"/>
        <v>33664.259134615386</v>
      </c>
      <c r="Y32" s="2"/>
      <c r="Z32" s="6">
        <f t="shared" si="15"/>
        <v>1.1192118422658373</v>
      </c>
    </row>
    <row r="33" spans="1:26" s="24" customFormat="1" hidden="1" outlineLevel="2" x14ac:dyDescent="0.3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35">
      <c r="A34" s="29"/>
      <c r="B34" s="11" t="str">
        <f>CONCATENATE("          ", "6004", " - ", "STAFF HOURLY")</f>
        <v xml:space="preserve">          6004 - STAFF HOURLY</v>
      </c>
      <c r="C34" s="11"/>
      <c r="D34" s="7">
        <v>7157.45</v>
      </c>
      <c r="E34" s="2"/>
      <c r="F34" s="6">
        <f t="shared" si="8"/>
        <v>0</v>
      </c>
      <c r="G34" s="2"/>
      <c r="H34" s="7">
        <v>15325</v>
      </c>
      <c r="I34" s="2"/>
      <c r="J34" s="6">
        <f t="shared" si="9"/>
        <v>0</v>
      </c>
      <c r="K34" s="2"/>
      <c r="L34" s="7">
        <f t="shared" si="10"/>
        <v>-8167.55</v>
      </c>
      <c r="M34" s="2"/>
      <c r="N34" s="6">
        <f t="shared" si="11"/>
        <v>-0.53295595432300169</v>
      </c>
      <c r="O34" s="11"/>
      <c r="P34" s="7">
        <v>16464.329999999998</v>
      </c>
      <c r="Q34" s="2"/>
      <c r="R34" s="6">
        <f t="shared" si="12"/>
        <v>0</v>
      </c>
      <c r="S34" s="2"/>
      <c r="T34" s="7">
        <v>93845</v>
      </c>
      <c r="U34" s="2"/>
      <c r="V34" s="6">
        <f t="shared" si="13"/>
        <v>0</v>
      </c>
      <c r="W34" s="2"/>
      <c r="X34" s="7">
        <f t="shared" si="14"/>
        <v>-77380.67</v>
      </c>
      <c r="Y34" s="2"/>
      <c r="Z34" s="6">
        <f t="shared" si="15"/>
        <v>-0.82455826096222495</v>
      </c>
    </row>
    <row r="35" spans="1:26" s="24" customFormat="1" hidden="1" outlineLevel="2" x14ac:dyDescent="0.3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>
        <v>6800.16</v>
      </c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6800.16</v>
      </c>
      <c r="M35" s="2"/>
      <c r="N35" s="6">
        <f t="shared" si="11"/>
        <v>0</v>
      </c>
      <c r="O35" s="11"/>
      <c r="P35" s="7">
        <v>54317.84</v>
      </c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54317.84</v>
      </c>
      <c r="Y35" s="2"/>
      <c r="Z35" s="6">
        <f t="shared" si="15"/>
        <v>0</v>
      </c>
    </row>
    <row r="36" spans="1:26" s="24" customFormat="1" hidden="1" outlineLevel="2" x14ac:dyDescent="0.35">
      <c r="A36" s="29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>
        <v>9485.67</v>
      </c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9485.67</v>
      </c>
      <c r="Y36" s="2"/>
      <c r="Z36" s="6">
        <f t="shared" si="15"/>
        <v>0</v>
      </c>
    </row>
    <row r="37" spans="1:26" s="24" customFormat="1" hidden="1" outlineLevel="2" x14ac:dyDescent="0.35">
      <c r="A37" s="29"/>
      <c r="B37" s="11" t="str">
        <f>CONCATENATE("          ", "6007", " - ", "STUDENT HOURLY")</f>
        <v xml:space="preserve">          6007 - STUDENT HOURLY</v>
      </c>
      <c r="C37" s="11"/>
      <c r="D37" s="7">
        <v>29661.779999999995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29661.779999999995</v>
      </c>
      <c r="M37" s="2"/>
      <c r="N37" s="6">
        <f t="shared" si="11"/>
        <v>0</v>
      </c>
      <c r="O37" s="11"/>
      <c r="P37" s="7">
        <v>134052.51</v>
      </c>
      <c r="Q37" s="2"/>
      <c r="R37" s="6">
        <f t="shared" si="12"/>
        <v>0</v>
      </c>
      <c r="S37" s="2"/>
      <c r="T37" s="7">
        <v>42926</v>
      </c>
      <c r="U37" s="2"/>
      <c r="V37" s="6">
        <f t="shared" si="13"/>
        <v>0</v>
      </c>
      <c r="W37" s="2"/>
      <c r="X37" s="7">
        <f t="shared" si="14"/>
        <v>91126.510000000009</v>
      </c>
      <c r="Y37" s="2"/>
      <c r="Z37" s="6">
        <f t="shared" si="15"/>
        <v>2.1228744816661234</v>
      </c>
    </row>
    <row r="38" spans="1:26" s="24" customFormat="1" hidden="1" outlineLevel="2" x14ac:dyDescent="0.3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54784.08</v>
      </c>
      <c r="I38" s="2"/>
      <c r="J38" s="6">
        <f t="shared" si="9"/>
        <v>0</v>
      </c>
      <c r="K38" s="2"/>
      <c r="L38" s="7">
        <f t="shared" si="10"/>
        <v>-54784.08</v>
      </c>
      <c r="M38" s="2"/>
      <c r="N38" s="6">
        <f t="shared" si="11"/>
        <v>-1</v>
      </c>
      <c r="O38" s="11"/>
      <c r="P38" s="7"/>
      <c r="Q38" s="2"/>
      <c r="R38" s="6">
        <f t="shared" si="12"/>
        <v>0</v>
      </c>
      <c r="S38" s="2"/>
      <c r="T38" s="7">
        <v>149469.33000000002</v>
      </c>
      <c r="U38" s="2"/>
      <c r="V38" s="6">
        <f t="shared" si="13"/>
        <v>0</v>
      </c>
      <c r="W38" s="2"/>
      <c r="X38" s="7">
        <f t="shared" si="14"/>
        <v>-149469.33000000002</v>
      </c>
      <c r="Y38" s="2"/>
      <c r="Z38" s="6">
        <f t="shared" si="15"/>
        <v>-1</v>
      </c>
    </row>
    <row r="39" spans="1:26" s="24" customFormat="1" hidden="1" outlineLevel="2" x14ac:dyDescent="0.3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3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8" customFormat="1" outlineLevel="1" collapsed="1" x14ac:dyDescent="0.3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125</v>
      </c>
      <c r="E41" s="1"/>
      <c r="F41" s="5">
        <f t="shared" ref="F41:F45" si="16">IF(D$12=0,0,D41/D$12)</f>
        <v>0</v>
      </c>
      <c r="G41" s="1"/>
      <c r="H41" s="1">
        <f>SUM(OSRRefH22_2x_0)</f>
        <v>0</v>
      </c>
      <c r="I41" s="1"/>
      <c r="J41" s="5">
        <f t="shared" ref="J41:J45" si="17">IF(H$12=0,0,H41/H$12)</f>
        <v>0</v>
      </c>
      <c r="K41" s="1"/>
      <c r="L41" s="1">
        <f t="shared" ref="L41:L45" si="18">+D41-H41</f>
        <v>125</v>
      </c>
      <c r="M41" s="1"/>
      <c r="N41" s="5">
        <f t="shared" ref="N41:N45" si="19">IF(H41=0,0,L41/H41)</f>
        <v>0</v>
      </c>
      <c r="O41" s="14"/>
      <c r="P41" s="1">
        <f>SUM(OSRRefP22_2x_0)</f>
        <v>225</v>
      </c>
      <c r="Q41" s="1"/>
      <c r="R41" s="5">
        <f t="shared" ref="R41:R45" si="20">IF(P$12=0,0,P41/P$12)</f>
        <v>0</v>
      </c>
      <c r="S41" s="1"/>
      <c r="T41" s="1">
        <f>SUM(OSRRefT22_2x_0)</f>
        <v>0</v>
      </c>
      <c r="U41" s="1"/>
      <c r="V41" s="5">
        <f t="shared" ref="V41:V45" si="21">IF(T$12=0,0,T41/T$12)</f>
        <v>0</v>
      </c>
      <c r="W41" s="1"/>
      <c r="X41" s="1">
        <f t="shared" ref="X41:X45" si="22">+P41-T41</f>
        <v>225</v>
      </c>
      <c r="Y41" s="1"/>
      <c r="Z41" s="5">
        <f t="shared" ref="Z41:Z45" si="23">IF(T41=0,0,X41/T41)</f>
        <v>0</v>
      </c>
    </row>
    <row r="42" spans="1:26" s="24" customFormat="1" hidden="1" outlineLevel="2" x14ac:dyDescent="0.35">
      <c r="A42" s="29"/>
      <c r="B42" s="11" t="str">
        <f>CONCATENATE("          ", "6362", " - ", "ADVERTISING EXPENSE")</f>
        <v xml:space="preserve">          6362 - ADVERTISING EXPENSE</v>
      </c>
      <c r="C42" s="11"/>
      <c r="D42" s="7">
        <v>125</v>
      </c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125</v>
      </c>
      <c r="M42" s="2"/>
      <c r="N42" s="6">
        <f t="shared" si="19"/>
        <v>0</v>
      </c>
      <c r="O42" s="11"/>
      <c r="P42" s="7">
        <v>225</v>
      </c>
      <c r="Q42" s="2"/>
      <c r="R42" s="6">
        <f t="shared" si="20"/>
        <v>0</v>
      </c>
      <c r="S42" s="2"/>
      <c r="T42" s="7"/>
      <c r="U42" s="2"/>
      <c r="V42" s="6">
        <f t="shared" si="21"/>
        <v>0</v>
      </c>
      <c r="W42" s="2"/>
      <c r="X42" s="7">
        <f t="shared" si="22"/>
        <v>225</v>
      </c>
      <c r="Y42" s="2"/>
      <c r="Z42" s="6">
        <f t="shared" si="23"/>
        <v>0</v>
      </c>
    </row>
    <row r="43" spans="1:26" s="28" customFormat="1" outlineLevel="1" collapsed="1" x14ac:dyDescent="0.35">
      <c r="A43" s="27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1872.51</v>
      </c>
      <c r="E43" s="1"/>
      <c r="F43" s="5">
        <f t="shared" si="16"/>
        <v>0</v>
      </c>
      <c r="G43" s="1"/>
      <c r="H43" s="1">
        <f>SUM(OSRRefH22_3x_0)</f>
        <v>100</v>
      </c>
      <c r="I43" s="1"/>
      <c r="J43" s="5">
        <f t="shared" si="17"/>
        <v>0</v>
      </c>
      <c r="K43" s="1"/>
      <c r="L43" s="1">
        <f t="shared" si="18"/>
        <v>1772.51</v>
      </c>
      <c r="M43" s="1"/>
      <c r="N43" s="5">
        <f t="shared" si="19"/>
        <v>17.725100000000001</v>
      </c>
      <c r="O43" s="14"/>
      <c r="P43" s="1">
        <f>SUM(OSRRefP22_3x_0)</f>
        <v>1918.76</v>
      </c>
      <c r="Q43" s="1"/>
      <c r="R43" s="5">
        <f t="shared" si="20"/>
        <v>0</v>
      </c>
      <c r="S43" s="1"/>
      <c r="T43" s="1">
        <f>SUM(OSRRefT22_3x_0)</f>
        <v>700</v>
      </c>
      <c r="U43" s="1"/>
      <c r="V43" s="5">
        <f t="shared" si="21"/>
        <v>0</v>
      </c>
      <c r="W43" s="1"/>
      <c r="X43" s="1">
        <f t="shared" si="22"/>
        <v>1218.76</v>
      </c>
      <c r="Y43" s="1"/>
      <c r="Z43" s="5">
        <f t="shared" si="23"/>
        <v>1.7410857142857143</v>
      </c>
    </row>
    <row r="44" spans="1:26" s="24" customFormat="1" hidden="1" outlineLevel="2" x14ac:dyDescent="0.35">
      <c r="A44" s="29"/>
      <c r="B44" s="11" t="str">
        <f>CONCATENATE("          ", "6272", " - ", "CASH (OVER/SHORT)")</f>
        <v xml:space="preserve">          6272 - CASH (OVER/SHORT)</v>
      </c>
      <c r="C44" s="11"/>
      <c r="D44" s="7">
        <v>-124.27</v>
      </c>
      <c r="E44" s="2"/>
      <c r="F44" s="6">
        <f t="shared" si="16"/>
        <v>0</v>
      </c>
      <c r="G44" s="2"/>
      <c r="H44" s="7">
        <v>50</v>
      </c>
      <c r="I44" s="2"/>
      <c r="J44" s="6">
        <f t="shared" si="17"/>
        <v>0</v>
      </c>
      <c r="K44" s="2"/>
      <c r="L44" s="7">
        <f t="shared" si="18"/>
        <v>-174.26999999999998</v>
      </c>
      <c r="M44" s="2"/>
      <c r="N44" s="6">
        <f t="shared" si="19"/>
        <v>-3.4853999999999998</v>
      </c>
      <c r="O44" s="11"/>
      <c r="P44" s="7">
        <v>-78.02</v>
      </c>
      <c r="Q44" s="2"/>
      <c r="R44" s="6">
        <f t="shared" si="20"/>
        <v>0</v>
      </c>
      <c r="S44" s="2"/>
      <c r="T44" s="7">
        <v>350</v>
      </c>
      <c r="U44" s="2"/>
      <c r="V44" s="6">
        <f t="shared" si="21"/>
        <v>0</v>
      </c>
      <c r="W44" s="2"/>
      <c r="X44" s="7">
        <f t="shared" si="22"/>
        <v>-428.02</v>
      </c>
      <c r="Y44" s="2"/>
      <c r="Z44" s="6">
        <f t="shared" si="23"/>
        <v>-1.2229142857142856</v>
      </c>
    </row>
    <row r="45" spans="1:26" s="24" customFormat="1" hidden="1" outlineLevel="2" x14ac:dyDescent="0.35">
      <c r="A45" s="29"/>
      <c r="B45" s="11" t="str">
        <f>CONCATENATE("          ", "6342", " - ", "BAD DEBT")</f>
        <v xml:space="preserve">          6342 - BAD DEBT</v>
      </c>
      <c r="C45" s="11"/>
      <c r="D45" s="7">
        <v>1996.78</v>
      </c>
      <c r="E45" s="2"/>
      <c r="F45" s="6">
        <f t="shared" si="16"/>
        <v>0</v>
      </c>
      <c r="G45" s="2"/>
      <c r="H45" s="7">
        <v>50</v>
      </c>
      <c r="I45" s="2"/>
      <c r="J45" s="6">
        <f t="shared" si="17"/>
        <v>0</v>
      </c>
      <c r="K45" s="2"/>
      <c r="L45" s="7">
        <f t="shared" si="18"/>
        <v>1946.78</v>
      </c>
      <c r="M45" s="2"/>
      <c r="N45" s="6">
        <f t="shared" si="19"/>
        <v>38.935600000000001</v>
      </c>
      <c r="O45" s="11"/>
      <c r="P45" s="7">
        <v>1996.78</v>
      </c>
      <c r="Q45" s="2"/>
      <c r="R45" s="6">
        <f t="shared" si="20"/>
        <v>0</v>
      </c>
      <c r="S45" s="2"/>
      <c r="T45" s="7">
        <v>350</v>
      </c>
      <c r="U45" s="2"/>
      <c r="V45" s="6">
        <f t="shared" si="21"/>
        <v>0</v>
      </c>
      <c r="W45" s="2"/>
      <c r="X45" s="7">
        <f t="shared" si="22"/>
        <v>1646.78</v>
      </c>
      <c r="Y45" s="2"/>
      <c r="Z45" s="6">
        <f t="shared" si="23"/>
        <v>4.7050857142857145</v>
      </c>
    </row>
    <row r="46" spans="1:26" s="28" customFormat="1" outlineLevel="1" collapsed="1" x14ac:dyDescent="0.35">
      <c r="A46" s="27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SUM(OSRRefD22_4x_0)</f>
        <v>14703.14</v>
      </c>
      <c r="E46" s="1"/>
      <c r="F46" s="5">
        <f t="shared" ref="F46:F50" si="24">IF(D$12=0,0,D46/D$12)</f>
        <v>0</v>
      </c>
      <c r="G46" s="1"/>
      <c r="H46" s="1">
        <f>SUM(OSRRefH22_4x_0)</f>
        <v>14000</v>
      </c>
      <c r="I46" s="1"/>
      <c r="J46" s="5">
        <f t="shared" ref="J46:J50" si="25">IF(H$12=0,0,H46/H$12)</f>
        <v>0</v>
      </c>
      <c r="K46" s="1"/>
      <c r="L46" s="1">
        <f t="shared" ref="L46:L50" si="26">+D46-H46</f>
        <v>703.13999999999942</v>
      </c>
      <c r="M46" s="1"/>
      <c r="N46" s="5">
        <f t="shared" ref="N46:N50" si="27">IF(H46=0,0,L46/H46)</f>
        <v>5.0224285714285673E-2</v>
      </c>
      <c r="O46" s="14"/>
      <c r="P46" s="1">
        <f>SUM(OSRRefP22_4x_0)</f>
        <v>59185.65</v>
      </c>
      <c r="Q46" s="1"/>
      <c r="R46" s="5">
        <f t="shared" ref="R46:R50" si="28">IF(P$12=0,0,P46/P$12)</f>
        <v>0</v>
      </c>
      <c r="S46" s="1"/>
      <c r="T46" s="1">
        <f>SUM(OSRRefT22_4x_0)</f>
        <v>128000</v>
      </c>
      <c r="U46" s="1"/>
      <c r="V46" s="5">
        <f t="shared" ref="V46:V50" si="29">IF(T$12=0,0,T46/T$12)</f>
        <v>0</v>
      </c>
      <c r="W46" s="1"/>
      <c r="X46" s="1">
        <f t="shared" ref="X46:X50" si="30">+P46-T46</f>
        <v>-68814.350000000006</v>
      </c>
      <c r="Y46" s="1"/>
      <c r="Z46" s="5">
        <f t="shared" ref="Z46:Z50" si="31">IF(T46=0,0,X46/T46)</f>
        <v>-0.53761210937500004</v>
      </c>
    </row>
    <row r="47" spans="1:26" s="24" customFormat="1" hidden="1" outlineLevel="2" x14ac:dyDescent="0.35">
      <c r="A47" s="29"/>
      <c r="B47" s="11" t="str">
        <f>CONCATENATE("          ", "6381", " - ", "BANK/CREDIT CARD FEES")</f>
        <v xml:space="preserve">          6381 - BANK/CREDIT CARD FEES</v>
      </c>
      <c r="C47" s="11"/>
      <c r="D47" s="7">
        <v>14703.14</v>
      </c>
      <c r="E47" s="2"/>
      <c r="F47" s="6">
        <f t="shared" si="24"/>
        <v>0</v>
      </c>
      <c r="G47" s="2"/>
      <c r="H47" s="7">
        <v>14000</v>
      </c>
      <c r="I47" s="2"/>
      <c r="J47" s="6">
        <f t="shared" si="25"/>
        <v>0</v>
      </c>
      <c r="K47" s="2"/>
      <c r="L47" s="7">
        <f t="shared" si="26"/>
        <v>703.13999999999942</v>
      </c>
      <c r="M47" s="2"/>
      <c r="N47" s="6">
        <f t="shared" si="27"/>
        <v>5.0224285714285673E-2</v>
      </c>
      <c r="O47" s="11"/>
      <c r="P47" s="7">
        <v>59185.65</v>
      </c>
      <c r="Q47" s="2"/>
      <c r="R47" s="6">
        <f t="shared" si="28"/>
        <v>0</v>
      </c>
      <c r="S47" s="2"/>
      <c r="T47" s="7">
        <v>128000</v>
      </c>
      <c r="U47" s="2"/>
      <c r="V47" s="6">
        <f t="shared" si="29"/>
        <v>0</v>
      </c>
      <c r="W47" s="2"/>
      <c r="X47" s="7">
        <f t="shared" si="30"/>
        <v>-68814.350000000006</v>
      </c>
      <c r="Y47" s="2"/>
      <c r="Z47" s="6">
        <f t="shared" si="31"/>
        <v>-0.53761210937500004</v>
      </c>
    </row>
    <row r="48" spans="1:26" s="28" customFormat="1" outlineLevel="1" collapsed="1" x14ac:dyDescent="0.35">
      <c r="A48" s="27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SUM(OSRRefD22_5x_0)</f>
        <v>30565.97</v>
      </c>
      <c r="E48" s="1"/>
      <c r="F48" s="5">
        <f t="shared" si="24"/>
        <v>0</v>
      </c>
      <c r="G48" s="1"/>
      <c r="H48" s="1">
        <f>SUM(OSRRefH22_5x_0)</f>
        <v>30124</v>
      </c>
      <c r="I48" s="1"/>
      <c r="J48" s="5">
        <f t="shared" si="25"/>
        <v>0</v>
      </c>
      <c r="K48" s="1"/>
      <c r="L48" s="1">
        <f t="shared" si="26"/>
        <v>441.97000000000116</v>
      </c>
      <c r="M48" s="1"/>
      <c r="N48" s="5">
        <f t="shared" si="27"/>
        <v>1.4671690346567559E-2</v>
      </c>
      <c r="O48" s="14"/>
      <c r="P48" s="1">
        <f>SUM(OSRRefP22_5x_0)</f>
        <v>214257.28</v>
      </c>
      <c r="Q48" s="1"/>
      <c r="R48" s="5">
        <f t="shared" si="28"/>
        <v>0</v>
      </c>
      <c r="S48" s="1"/>
      <c r="T48" s="1">
        <f>SUM(OSRRefT22_5x_0)</f>
        <v>211876</v>
      </c>
      <c r="U48" s="1"/>
      <c r="V48" s="5">
        <f t="shared" si="29"/>
        <v>0</v>
      </c>
      <c r="W48" s="1"/>
      <c r="X48" s="1">
        <f t="shared" si="30"/>
        <v>2381.2799999999988</v>
      </c>
      <c r="Y48" s="1"/>
      <c r="Z48" s="5">
        <f t="shared" si="31"/>
        <v>1.1239026600464417E-2</v>
      </c>
    </row>
    <row r="49" spans="1:26" s="24" customFormat="1" hidden="1" outlineLevel="2" x14ac:dyDescent="0.35">
      <c r="A49" s="29"/>
      <c r="B49" s="11" t="str">
        <f>CONCATENATE("          ", "6321", " - ", "BUILDING DEPRECIATION")</f>
        <v xml:space="preserve">          6321 - BUILDING DEPRECIATION</v>
      </c>
      <c r="C49" s="11"/>
      <c r="D49" s="7">
        <v>16396.52</v>
      </c>
      <c r="E49" s="2"/>
      <c r="F49" s="6">
        <f t="shared" si="24"/>
        <v>0</v>
      </c>
      <c r="G49" s="2"/>
      <c r="H49" s="7"/>
      <c r="I49" s="2"/>
      <c r="J49" s="6">
        <f t="shared" si="25"/>
        <v>0</v>
      </c>
      <c r="K49" s="2"/>
      <c r="L49" s="7">
        <f t="shared" si="26"/>
        <v>16396.52</v>
      </c>
      <c r="M49" s="2"/>
      <c r="N49" s="6">
        <f t="shared" si="27"/>
        <v>0</v>
      </c>
      <c r="O49" s="11"/>
      <c r="P49" s="7">
        <v>114775.64</v>
      </c>
      <c r="Q49" s="2"/>
      <c r="R49" s="6">
        <f t="shared" si="28"/>
        <v>0</v>
      </c>
      <c r="S49" s="2"/>
      <c r="T49" s="7"/>
      <c r="U49" s="2"/>
      <c r="V49" s="6">
        <f t="shared" si="29"/>
        <v>0</v>
      </c>
      <c r="W49" s="2"/>
      <c r="X49" s="7">
        <f t="shared" si="30"/>
        <v>114775.64</v>
      </c>
      <c r="Y49" s="2"/>
      <c r="Z49" s="6">
        <f t="shared" si="31"/>
        <v>0</v>
      </c>
    </row>
    <row r="50" spans="1:26" s="24" customFormat="1" hidden="1" outlineLevel="2" x14ac:dyDescent="0.35">
      <c r="A50" s="29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14169.45</v>
      </c>
      <c r="E50" s="2"/>
      <c r="F50" s="6">
        <f t="shared" si="24"/>
        <v>0</v>
      </c>
      <c r="G50" s="2"/>
      <c r="H50" s="7">
        <v>30124</v>
      </c>
      <c r="I50" s="2"/>
      <c r="J50" s="6">
        <f t="shared" si="25"/>
        <v>0</v>
      </c>
      <c r="K50" s="2"/>
      <c r="L50" s="7">
        <f t="shared" si="26"/>
        <v>-15954.55</v>
      </c>
      <c r="M50" s="2"/>
      <c r="N50" s="6">
        <f t="shared" si="27"/>
        <v>-0.52962919930952057</v>
      </c>
      <c r="O50" s="11"/>
      <c r="P50" s="7">
        <v>99481.64</v>
      </c>
      <c r="Q50" s="2"/>
      <c r="R50" s="6">
        <f t="shared" si="28"/>
        <v>0</v>
      </c>
      <c r="S50" s="2"/>
      <c r="T50" s="7">
        <v>211876</v>
      </c>
      <c r="U50" s="2"/>
      <c r="V50" s="6">
        <f t="shared" si="29"/>
        <v>0</v>
      </c>
      <c r="W50" s="2"/>
      <c r="X50" s="7">
        <f t="shared" si="30"/>
        <v>-112394.36</v>
      </c>
      <c r="Y50" s="2"/>
      <c r="Z50" s="6">
        <f t="shared" si="31"/>
        <v>-0.53047235175291207</v>
      </c>
    </row>
    <row r="51" spans="1:26" s="28" customFormat="1" outlineLevel="1" collapsed="1" x14ac:dyDescent="0.35">
      <c r="A51" s="27"/>
      <c r="B51" s="14" t="str">
        <f>CONCATENATE("     ","Donations                                         ")</f>
        <v xml:space="preserve">     Donations                                         </v>
      </c>
      <c r="C51" s="14"/>
      <c r="D51" s="1">
        <f>SUM(OSRRefD22_6x_0)</f>
        <v>0</v>
      </c>
      <c r="E51" s="1"/>
      <c r="F51" s="5">
        <f t="shared" ref="F51:F71" si="32">IF(D$12=0,0,D51/D$12)</f>
        <v>0</v>
      </c>
      <c r="G51" s="1"/>
      <c r="H51" s="1">
        <f>SUM(OSRRefH22_6x_0)</f>
        <v>1000</v>
      </c>
      <c r="I51" s="1"/>
      <c r="J51" s="5">
        <f t="shared" ref="J51:J71" si="33">IF(H$12=0,0,H51/H$12)</f>
        <v>0</v>
      </c>
      <c r="K51" s="1"/>
      <c r="L51" s="1">
        <f t="shared" ref="L51:L71" si="34">+D51-H51</f>
        <v>-1000</v>
      </c>
      <c r="M51" s="1"/>
      <c r="N51" s="5">
        <f t="shared" ref="N51:N71" si="35">IF(H51=0,0,L51/H51)</f>
        <v>-1</v>
      </c>
      <c r="O51" s="14"/>
      <c r="P51" s="1">
        <f>SUM(OSRRefP22_6x_0)</f>
        <v>0</v>
      </c>
      <c r="Q51" s="1"/>
      <c r="R51" s="5">
        <f t="shared" ref="R51:R71" si="36">IF(P$12=0,0,P51/P$12)</f>
        <v>0</v>
      </c>
      <c r="S51" s="1"/>
      <c r="T51" s="1">
        <f>SUM(OSRRefT22_6x_0)</f>
        <v>7000</v>
      </c>
      <c r="U51" s="1"/>
      <c r="V51" s="5">
        <f t="shared" ref="V51:V71" si="37">IF(T$12=0,0,T51/T$12)</f>
        <v>0</v>
      </c>
      <c r="W51" s="1"/>
      <c r="X51" s="1">
        <f t="shared" ref="X51:X71" si="38">+P51-T51</f>
        <v>-7000</v>
      </c>
      <c r="Y51" s="1"/>
      <c r="Z51" s="5">
        <f t="shared" ref="Z51:Z71" si="39">IF(T51=0,0,X51/T51)</f>
        <v>-1</v>
      </c>
    </row>
    <row r="52" spans="1:26" s="24" customFormat="1" hidden="1" outlineLevel="2" x14ac:dyDescent="0.35">
      <c r="A52" s="29"/>
      <c r="B52" s="11" t="str">
        <f>CONCATENATE("          ", "6399", " - ", "DONATION-ON CAMPUS")</f>
        <v xml:space="preserve">          6399 - DONATION-ON CAMPUS</v>
      </c>
      <c r="C52" s="11"/>
      <c r="D52" s="7"/>
      <c r="E52" s="2"/>
      <c r="F52" s="6">
        <f t="shared" si="32"/>
        <v>0</v>
      </c>
      <c r="G52" s="2"/>
      <c r="H52" s="7">
        <v>1000</v>
      </c>
      <c r="I52" s="2"/>
      <c r="J52" s="6">
        <f t="shared" si="33"/>
        <v>0</v>
      </c>
      <c r="K52" s="2"/>
      <c r="L52" s="7">
        <f t="shared" si="34"/>
        <v>-1000</v>
      </c>
      <c r="M52" s="2"/>
      <c r="N52" s="6">
        <f t="shared" si="35"/>
        <v>-1</v>
      </c>
      <c r="O52" s="11"/>
      <c r="P52" s="7"/>
      <c r="Q52" s="2"/>
      <c r="R52" s="6">
        <f t="shared" si="36"/>
        <v>0</v>
      </c>
      <c r="S52" s="2"/>
      <c r="T52" s="7">
        <v>7000</v>
      </c>
      <c r="U52" s="2"/>
      <c r="V52" s="6">
        <f t="shared" si="37"/>
        <v>0</v>
      </c>
      <c r="W52" s="2"/>
      <c r="X52" s="7">
        <f t="shared" si="38"/>
        <v>-7000</v>
      </c>
      <c r="Y52" s="2"/>
      <c r="Z52" s="6">
        <f t="shared" si="39"/>
        <v>-1</v>
      </c>
    </row>
    <row r="53" spans="1:26" s="28" customFormat="1" outlineLevel="1" collapsed="1" x14ac:dyDescent="0.35">
      <c r="A53" s="27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SUM(OSRRefD22_7x_0)</f>
        <v>78.33</v>
      </c>
      <c r="E53" s="1"/>
      <c r="F53" s="5">
        <f t="shared" si="32"/>
        <v>0</v>
      </c>
      <c r="G53" s="1"/>
      <c r="H53" s="1">
        <f>SUM(OSRRefH22_7x_0)</f>
        <v>150</v>
      </c>
      <c r="I53" s="1"/>
      <c r="J53" s="5">
        <f t="shared" si="33"/>
        <v>0</v>
      </c>
      <c r="K53" s="1"/>
      <c r="L53" s="1">
        <f t="shared" si="34"/>
        <v>-71.67</v>
      </c>
      <c r="M53" s="1"/>
      <c r="N53" s="5">
        <f t="shared" si="35"/>
        <v>-0.4778</v>
      </c>
      <c r="O53" s="14"/>
      <c r="P53" s="1">
        <f>SUM(OSRRefP22_7x_0)</f>
        <v>78.33</v>
      </c>
      <c r="Q53" s="1"/>
      <c r="R53" s="5">
        <f t="shared" si="36"/>
        <v>0</v>
      </c>
      <c r="S53" s="1"/>
      <c r="T53" s="1">
        <f>SUM(OSRRefT22_7x_0)</f>
        <v>950</v>
      </c>
      <c r="U53" s="1"/>
      <c r="V53" s="5">
        <f t="shared" si="37"/>
        <v>0</v>
      </c>
      <c r="W53" s="1"/>
      <c r="X53" s="1">
        <f t="shared" si="38"/>
        <v>-871.67</v>
      </c>
      <c r="Y53" s="1"/>
      <c r="Z53" s="5">
        <f t="shared" si="39"/>
        <v>-0.91754736842105256</v>
      </c>
    </row>
    <row r="54" spans="1:26" s="24" customFormat="1" hidden="1" outlineLevel="2" x14ac:dyDescent="0.35">
      <c r="A54" s="29"/>
      <c r="B54" s="11" t="str">
        <f>CONCATENATE("          ", "6277", " - ", "EMPLOYEE APPRECIATION")</f>
        <v xml:space="preserve">          6277 - EMPLOYEE APPRECIATION</v>
      </c>
      <c r="C54" s="11"/>
      <c r="D54" s="7">
        <v>78.33</v>
      </c>
      <c r="E54" s="2"/>
      <c r="F54" s="6">
        <f t="shared" si="32"/>
        <v>0</v>
      </c>
      <c r="G54" s="2"/>
      <c r="H54" s="7">
        <v>150</v>
      </c>
      <c r="I54" s="2"/>
      <c r="J54" s="6">
        <f t="shared" si="33"/>
        <v>0</v>
      </c>
      <c r="K54" s="2"/>
      <c r="L54" s="7">
        <f t="shared" si="34"/>
        <v>-71.67</v>
      </c>
      <c r="M54" s="2"/>
      <c r="N54" s="6">
        <f t="shared" si="35"/>
        <v>-0.4778</v>
      </c>
      <c r="O54" s="11"/>
      <c r="P54" s="7">
        <v>78.33</v>
      </c>
      <c r="Q54" s="2"/>
      <c r="R54" s="6">
        <f t="shared" si="36"/>
        <v>0</v>
      </c>
      <c r="S54" s="2"/>
      <c r="T54" s="7">
        <v>950</v>
      </c>
      <c r="U54" s="2"/>
      <c r="V54" s="6">
        <f t="shared" si="37"/>
        <v>0</v>
      </c>
      <c r="W54" s="2"/>
      <c r="X54" s="7">
        <f t="shared" si="38"/>
        <v>-871.67</v>
      </c>
      <c r="Y54" s="2"/>
      <c r="Z54" s="6">
        <f t="shared" si="39"/>
        <v>-0.91754736842105256</v>
      </c>
    </row>
    <row r="55" spans="1:26" s="28" customFormat="1" outlineLevel="1" collapsed="1" x14ac:dyDescent="0.35">
      <c r="A55" s="27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SUM(OSRRefD22_8x_0)</f>
        <v>91.26</v>
      </c>
      <c r="E55" s="1"/>
      <c r="F55" s="5">
        <f t="shared" si="32"/>
        <v>0</v>
      </c>
      <c r="G55" s="1"/>
      <c r="H55" s="1">
        <f>SUM(OSRRefH22_8x_0)</f>
        <v>1700</v>
      </c>
      <c r="I55" s="1"/>
      <c r="J55" s="5">
        <f t="shared" si="33"/>
        <v>0</v>
      </c>
      <c r="K55" s="1"/>
      <c r="L55" s="1">
        <f t="shared" si="34"/>
        <v>-1608.74</v>
      </c>
      <c r="M55" s="1"/>
      <c r="N55" s="5">
        <f t="shared" si="35"/>
        <v>-0.94631764705882349</v>
      </c>
      <c r="O55" s="14"/>
      <c r="P55" s="1">
        <f>SUM(OSRRefP22_8x_0)</f>
        <v>1286.5999999999999</v>
      </c>
      <c r="Q55" s="1"/>
      <c r="R55" s="5">
        <f t="shared" si="36"/>
        <v>0</v>
      </c>
      <c r="S55" s="1"/>
      <c r="T55" s="1">
        <f>SUM(OSRRefT22_8x_0)</f>
        <v>11900</v>
      </c>
      <c r="U55" s="1"/>
      <c r="V55" s="5">
        <f t="shared" si="37"/>
        <v>0</v>
      </c>
      <c r="W55" s="1"/>
      <c r="X55" s="1">
        <f t="shared" si="38"/>
        <v>-10613.4</v>
      </c>
      <c r="Y55" s="1"/>
      <c r="Z55" s="5">
        <f t="shared" si="39"/>
        <v>-0.89188235294117646</v>
      </c>
    </row>
    <row r="56" spans="1:26" s="24" customFormat="1" hidden="1" outlineLevel="2" x14ac:dyDescent="0.35">
      <c r="A56" s="29"/>
      <c r="B56" s="11" t="str">
        <f>CONCATENATE("          ", "6351", " - ", "EQUIPMENT RENTAL")</f>
        <v xml:space="preserve">          6351 - EQUIPMENT RENTAL</v>
      </c>
      <c r="C56" s="11"/>
      <c r="D56" s="7">
        <v>91.26</v>
      </c>
      <c r="E56" s="2"/>
      <c r="F56" s="6">
        <f t="shared" si="32"/>
        <v>0</v>
      </c>
      <c r="G56" s="2"/>
      <c r="H56" s="7">
        <v>1700</v>
      </c>
      <c r="I56" s="2"/>
      <c r="J56" s="6">
        <f t="shared" si="33"/>
        <v>0</v>
      </c>
      <c r="K56" s="2"/>
      <c r="L56" s="7">
        <f t="shared" si="34"/>
        <v>-1608.74</v>
      </c>
      <c r="M56" s="2"/>
      <c r="N56" s="6">
        <f t="shared" si="35"/>
        <v>-0.94631764705882349</v>
      </c>
      <c r="O56" s="11"/>
      <c r="P56" s="7">
        <v>1286.5999999999999</v>
      </c>
      <c r="Q56" s="2"/>
      <c r="R56" s="6">
        <f t="shared" si="36"/>
        <v>0</v>
      </c>
      <c r="S56" s="2"/>
      <c r="T56" s="7">
        <v>11900</v>
      </c>
      <c r="U56" s="2"/>
      <c r="V56" s="6">
        <f t="shared" si="37"/>
        <v>0</v>
      </c>
      <c r="W56" s="2"/>
      <c r="X56" s="7">
        <f t="shared" si="38"/>
        <v>-10613.4</v>
      </c>
      <c r="Y56" s="2"/>
      <c r="Z56" s="6">
        <f t="shared" si="39"/>
        <v>-0.89188235294117646</v>
      </c>
    </row>
    <row r="57" spans="1:26" s="28" customFormat="1" outlineLevel="1" collapsed="1" x14ac:dyDescent="0.35">
      <c r="A57" s="27"/>
      <c r="B57" s="14" t="str">
        <f>CONCATENATE("     ","Freight out/Postage                               ")</f>
        <v xml:space="preserve">     Freight out/Postage                               </v>
      </c>
      <c r="C57" s="14"/>
      <c r="D57" s="1">
        <f>SUM(OSRRefD22_9x_0)</f>
        <v>1321.95</v>
      </c>
      <c r="E57" s="1"/>
      <c r="F57" s="5">
        <f t="shared" si="32"/>
        <v>0</v>
      </c>
      <c r="G57" s="1"/>
      <c r="H57" s="1">
        <f>SUM(OSRRefH22_9x_0)</f>
        <v>10</v>
      </c>
      <c r="I57" s="1"/>
      <c r="J57" s="5">
        <f t="shared" si="33"/>
        <v>0</v>
      </c>
      <c r="K57" s="1"/>
      <c r="L57" s="1">
        <f t="shared" si="34"/>
        <v>1311.95</v>
      </c>
      <c r="M57" s="1"/>
      <c r="N57" s="5">
        <f t="shared" si="35"/>
        <v>131.19499999999999</v>
      </c>
      <c r="O57" s="14"/>
      <c r="P57" s="1">
        <f>SUM(OSRRefP22_9x_0)</f>
        <v>2001.7</v>
      </c>
      <c r="Q57" s="1"/>
      <c r="R57" s="5">
        <f t="shared" si="36"/>
        <v>0</v>
      </c>
      <c r="S57" s="1"/>
      <c r="T57" s="1">
        <f>SUM(OSRRefT22_9x_0)</f>
        <v>70</v>
      </c>
      <c r="U57" s="1"/>
      <c r="V57" s="5">
        <f t="shared" si="37"/>
        <v>0</v>
      </c>
      <c r="W57" s="1"/>
      <c r="X57" s="1">
        <f t="shared" si="38"/>
        <v>1931.7</v>
      </c>
      <c r="Y57" s="1"/>
      <c r="Z57" s="5">
        <f t="shared" si="39"/>
        <v>27.595714285714287</v>
      </c>
    </row>
    <row r="58" spans="1:26" s="24" customFormat="1" hidden="1" outlineLevel="2" x14ac:dyDescent="0.35">
      <c r="A58" s="29"/>
      <c r="B58" s="11" t="str">
        <f>CONCATENATE("          ", "6307", " - ", "POSTAGE")</f>
        <v xml:space="preserve">          6307 - POSTAGE</v>
      </c>
      <c r="C58" s="11"/>
      <c r="D58" s="7">
        <v>1321.95</v>
      </c>
      <c r="E58" s="2"/>
      <c r="F58" s="6">
        <f t="shared" si="32"/>
        <v>0</v>
      </c>
      <c r="G58" s="2"/>
      <c r="H58" s="7">
        <v>10</v>
      </c>
      <c r="I58" s="2"/>
      <c r="J58" s="6">
        <f t="shared" si="33"/>
        <v>0</v>
      </c>
      <c r="K58" s="2"/>
      <c r="L58" s="7">
        <f t="shared" si="34"/>
        <v>1311.95</v>
      </c>
      <c r="M58" s="2"/>
      <c r="N58" s="6">
        <f t="shared" si="35"/>
        <v>131.19499999999999</v>
      </c>
      <c r="O58" s="11"/>
      <c r="P58" s="7">
        <v>2001.7</v>
      </c>
      <c r="Q58" s="2"/>
      <c r="R58" s="6">
        <f t="shared" si="36"/>
        <v>0</v>
      </c>
      <c r="S58" s="2"/>
      <c r="T58" s="7">
        <v>70</v>
      </c>
      <c r="U58" s="2"/>
      <c r="V58" s="6">
        <f t="shared" si="37"/>
        <v>0</v>
      </c>
      <c r="W58" s="2"/>
      <c r="X58" s="7">
        <f t="shared" si="38"/>
        <v>1931.7</v>
      </c>
      <c r="Y58" s="2"/>
      <c r="Z58" s="6">
        <f t="shared" si="39"/>
        <v>27.595714285714287</v>
      </c>
    </row>
    <row r="59" spans="1:26" s="28" customFormat="1" outlineLevel="1" collapsed="1" x14ac:dyDescent="0.35">
      <c r="A59" s="27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SUM(OSRRefD22_10x_0)</f>
        <v>219</v>
      </c>
      <c r="E59" s="1"/>
      <c r="F59" s="5">
        <f t="shared" si="32"/>
        <v>0</v>
      </c>
      <c r="G59" s="1"/>
      <c r="H59" s="1">
        <f>SUM(OSRRefH22_10x_0)</f>
        <v>500</v>
      </c>
      <c r="I59" s="1"/>
      <c r="J59" s="5">
        <f t="shared" si="33"/>
        <v>0</v>
      </c>
      <c r="K59" s="1"/>
      <c r="L59" s="1">
        <f t="shared" si="34"/>
        <v>-281</v>
      </c>
      <c r="M59" s="1"/>
      <c r="N59" s="5">
        <f t="shared" si="35"/>
        <v>-0.56200000000000006</v>
      </c>
      <c r="O59" s="14"/>
      <c r="P59" s="1">
        <f>SUM(OSRRefP22_10x_0)</f>
        <v>1386.81</v>
      </c>
      <c r="Q59" s="1"/>
      <c r="R59" s="5">
        <f t="shared" si="36"/>
        <v>0</v>
      </c>
      <c r="S59" s="1"/>
      <c r="T59" s="1">
        <f>SUM(OSRRefT22_10x_0)</f>
        <v>3500</v>
      </c>
      <c r="U59" s="1"/>
      <c r="V59" s="5">
        <f t="shared" si="37"/>
        <v>0</v>
      </c>
      <c r="W59" s="1"/>
      <c r="X59" s="1">
        <f t="shared" si="38"/>
        <v>-2113.19</v>
      </c>
      <c r="Y59" s="1"/>
      <c r="Z59" s="5">
        <f t="shared" si="39"/>
        <v>-0.60376857142857143</v>
      </c>
    </row>
    <row r="60" spans="1:26" s="24" customFormat="1" hidden="1" outlineLevel="2" x14ac:dyDescent="0.35">
      <c r="A60" s="29"/>
      <c r="B60" s="11" t="str">
        <f>CONCATENATE("          ", "6279", " - ", "GENERAL EXPENSE")</f>
        <v xml:space="preserve">          6279 - GENERAL EXPENSE</v>
      </c>
      <c r="C60" s="11"/>
      <c r="D60" s="7">
        <v>219</v>
      </c>
      <c r="E60" s="2"/>
      <c r="F60" s="6">
        <f t="shared" si="32"/>
        <v>0</v>
      </c>
      <c r="G60" s="2"/>
      <c r="H60" s="7">
        <v>500</v>
      </c>
      <c r="I60" s="2"/>
      <c r="J60" s="6">
        <f t="shared" si="33"/>
        <v>0</v>
      </c>
      <c r="K60" s="2"/>
      <c r="L60" s="7">
        <f t="shared" si="34"/>
        <v>-281</v>
      </c>
      <c r="M60" s="2"/>
      <c r="N60" s="6">
        <f t="shared" si="35"/>
        <v>-0.56200000000000006</v>
      </c>
      <c r="O60" s="11"/>
      <c r="P60" s="7">
        <v>1386.81</v>
      </c>
      <c r="Q60" s="2"/>
      <c r="R60" s="6">
        <f t="shared" si="36"/>
        <v>0</v>
      </c>
      <c r="S60" s="2"/>
      <c r="T60" s="7">
        <v>3500</v>
      </c>
      <c r="U60" s="2"/>
      <c r="V60" s="6">
        <f t="shared" si="37"/>
        <v>0</v>
      </c>
      <c r="W60" s="2"/>
      <c r="X60" s="7">
        <f t="shared" si="38"/>
        <v>-2113.19</v>
      </c>
      <c r="Y60" s="2"/>
      <c r="Z60" s="6">
        <f t="shared" si="39"/>
        <v>-0.60376857142857143</v>
      </c>
    </row>
    <row r="61" spans="1:26" s="28" customFormat="1" outlineLevel="1" collapsed="1" x14ac:dyDescent="0.35">
      <c r="A61" s="27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SUM(OSRRefD22_11x_0)</f>
        <v>3883.56</v>
      </c>
      <c r="E61" s="1"/>
      <c r="F61" s="5">
        <f t="shared" si="32"/>
        <v>0</v>
      </c>
      <c r="G61" s="1"/>
      <c r="H61" s="1">
        <f>SUM(OSRRefH22_11x_0)</f>
        <v>4270</v>
      </c>
      <c r="I61" s="1"/>
      <c r="J61" s="5">
        <f t="shared" si="33"/>
        <v>0</v>
      </c>
      <c r="K61" s="1"/>
      <c r="L61" s="1">
        <f t="shared" si="34"/>
        <v>-386.44000000000005</v>
      </c>
      <c r="M61" s="1"/>
      <c r="N61" s="5">
        <f t="shared" si="35"/>
        <v>-9.0501170960187366E-2</v>
      </c>
      <c r="O61" s="14"/>
      <c r="P61" s="1">
        <f>SUM(OSRRefP22_11x_0)</f>
        <v>27184.92</v>
      </c>
      <c r="Q61" s="1"/>
      <c r="R61" s="5">
        <f t="shared" si="36"/>
        <v>0</v>
      </c>
      <c r="S61" s="1"/>
      <c r="T61" s="1">
        <f>SUM(OSRRefT22_11x_0)</f>
        <v>29890</v>
      </c>
      <c r="U61" s="1"/>
      <c r="V61" s="5">
        <f t="shared" si="37"/>
        <v>0</v>
      </c>
      <c r="W61" s="1"/>
      <c r="X61" s="1">
        <f t="shared" si="38"/>
        <v>-2705.0800000000017</v>
      </c>
      <c r="Y61" s="1"/>
      <c r="Z61" s="5">
        <f t="shared" si="39"/>
        <v>-9.0501170960187408E-2</v>
      </c>
    </row>
    <row r="62" spans="1:26" s="24" customFormat="1" hidden="1" outlineLevel="2" x14ac:dyDescent="0.35">
      <c r="A62" s="29"/>
      <c r="B62" s="11" t="str">
        <f>CONCATENATE("          ", "6314", " - ", "LIABILITY INSURANCE")</f>
        <v xml:space="preserve">          6314 - LIABILITY INSURANCE</v>
      </c>
      <c r="C62" s="11"/>
      <c r="D62" s="7">
        <v>3883.56</v>
      </c>
      <c r="E62" s="2"/>
      <c r="F62" s="6">
        <f t="shared" si="32"/>
        <v>0</v>
      </c>
      <c r="G62" s="2"/>
      <c r="H62" s="7">
        <v>4270</v>
      </c>
      <c r="I62" s="2"/>
      <c r="J62" s="6">
        <f t="shared" si="33"/>
        <v>0</v>
      </c>
      <c r="K62" s="2"/>
      <c r="L62" s="7">
        <f t="shared" si="34"/>
        <v>-386.44000000000005</v>
      </c>
      <c r="M62" s="2"/>
      <c r="N62" s="6">
        <f t="shared" si="35"/>
        <v>-9.0501170960187366E-2</v>
      </c>
      <c r="O62" s="11"/>
      <c r="P62" s="7">
        <v>27184.92</v>
      </c>
      <c r="Q62" s="2"/>
      <c r="R62" s="6">
        <f t="shared" si="36"/>
        <v>0</v>
      </c>
      <c r="S62" s="2"/>
      <c r="T62" s="7">
        <v>29890</v>
      </c>
      <c r="U62" s="2"/>
      <c r="V62" s="6">
        <f t="shared" si="37"/>
        <v>0</v>
      </c>
      <c r="W62" s="2"/>
      <c r="X62" s="7">
        <f t="shared" si="38"/>
        <v>-2705.0800000000017</v>
      </c>
      <c r="Y62" s="2"/>
      <c r="Z62" s="6">
        <f t="shared" si="39"/>
        <v>-9.0501170960187408E-2</v>
      </c>
    </row>
    <row r="63" spans="1:26" s="28" customFormat="1" outlineLevel="1" collapsed="1" x14ac:dyDescent="0.35">
      <c r="A63" s="27"/>
      <c r="B63" s="14" t="str">
        <f>CONCATENATE("     ","Inventory Adjustment                              ")</f>
        <v xml:space="preserve">     Inventory Adjustment                              </v>
      </c>
      <c r="C63" s="14"/>
      <c r="D63" s="1">
        <f>SUM(OSRRefD22_12x_0)</f>
        <v>0</v>
      </c>
      <c r="E63" s="1"/>
      <c r="F63" s="5">
        <f t="shared" si="32"/>
        <v>0</v>
      </c>
      <c r="G63" s="1"/>
      <c r="H63" s="1">
        <f>SUM(OSRRefH22_12x_0)</f>
        <v>1000</v>
      </c>
      <c r="I63" s="1"/>
      <c r="J63" s="5">
        <f t="shared" si="33"/>
        <v>0</v>
      </c>
      <c r="K63" s="1"/>
      <c r="L63" s="1">
        <f t="shared" si="34"/>
        <v>-1000</v>
      </c>
      <c r="M63" s="1"/>
      <c r="N63" s="5">
        <f t="shared" si="35"/>
        <v>-1</v>
      </c>
      <c r="O63" s="14"/>
      <c r="P63" s="1">
        <f>SUM(OSRRefP22_12x_0)</f>
        <v>0</v>
      </c>
      <c r="Q63" s="1"/>
      <c r="R63" s="5">
        <f t="shared" si="36"/>
        <v>0</v>
      </c>
      <c r="S63" s="1"/>
      <c r="T63" s="1">
        <f>SUM(OSRRefT22_12x_0)</f>
        <v>7000</v>
      </c>
      <c r="U63" s="1"/>
      <c r="V63" s="5">
        <f t="shared" si="37"/>
        <v>0</v>
      </c>
      <c r="W63" s="1"/>
      <c r="X63" s="1">
        <f t="shared" si="38"/>
        <v>-7000</v>
      </c>
      <c r="Y63" s="1"/>
      <c r="Z63" s="5">
        <f t="shared" si="39"/>
        <v>-1</v>
      </c>
    </row>
    <row r="64" spans="1:26" s="24" customFormat="1" hidden="1" outlineLevel="2" x14ac:dyDescent="0.35">
      <c r="A64" s="29"/>
      <c r="B64" s="11" t="str">
        <f>CONCATENATE("          ", "6408", " - ", "INVENTORY ADJUSTMENT")</f>
        <v xml:space="preserve">          6408 - INVENTORY ADJUSTMENT</v>
      </c>
      <c r="C64" s="11"/>
      <c r="D64" s="7"/>
      <c r="E64" s="2"/>
      <c r="F64" s="6">
        <f t="shared" si="32"/>
        <v>0</v>
      </c>
      <c r="G64" s="2"/>
      <c r="H64" s="7">
        <v>1000</v>
      </c>
      <c r="I64" s="2"/>
      <c r="J64" s="6">
        <f t="shared" si="33"/>
        <v>0</v>
      </c>
      <c r="K64" s="2"/>
      <c r="L64" s="7">
        <f t="shared" si="34"/>
        <v>-1000</v>
      </c>
      <c r="M64" s="2"/>
      <c r="N64" s="6">
        <f t="shared" si="35"/>
        <v>-1</v>
      </c>
      <c r="O64" s="11"/>
      <c r="P64" s="7"/>
      <c r="Q64" s="2"/>
      <c r="R64" s="6">
        <f t="shared" si="36"/>
        <v>0</v>
      </c>
      <c r="S64" s="2"/>
      <c r="T64" s="7">
        <v>7000</v>
      </c>
      <c r="U64" s="2"/>
      <c r="V64" s="6">
        <f t="shared" si="37"/>
        <v>0</v>
      </c>
      <c r="W64" s="2"/>
      <c r="X64" s="7">
        <f t="shared" si="38"/>
        <v>-7000</v>
      </c>
      <c r="Y64" s="2"/>
      <c r="Z64" s="6">
        <f t="shared" si="39"/>
        <v>-1</v>
      </c>
    </row>
    <row r="65" spans="1:26" s="28" customFormat="1" outlineLevel="1" collapsed="1" x14ac:dyDescent="0.35">
      <c r="A65" s="27"/>
      <c r="B65" s="14" t="str">
        <f>CONCATENATE("     ","Rent                                              ")</f>
        <v xml:space="preserve">     Rent                                              </v>
      </c>
      <c r="C65" s="14"/>
      <c r="D65" s="1">
        <f>SUM(OSRRefD22_13x_0)</f>
        <v>-800</v>
      </c>
      <c r="E65" s="1"/>
      <c r="F65" s="5">
        <f t="shared" si="32"/>
        <v>0</v>
      </c>
      <c r="G65" s="1"/>
      <c r="H65" s="1">
        <f>SUM(OSRRefH22_13x_0)</f>
        <v>-800</v>
      </c>
      <c r="I65" s="1"/>
      <c r="J65" s="5">
        <f t="shared" si="33"/>
        <v>0</v>
      </c>
      <c r="K65" s="1"/>
      <c r="L65" s="1">
        <f t="shared" si="34"/>
        <v>0</v>
      </c>
      <c r="M65" s="1"/>
      <c r="N65" s="5">
        <f t="shared" si="35"/>
        <v>0</v>
      </c>
      <c r="O65" s="14"/>
      <c r="P65" s="1">
        <f>SUM(OSRRefP22_13x_0)</f>
        <v>-5600</v>
      </c>
      <c r="Q65" s="1"/>
      <c r="R65" s="5">
        <f t="shared" si="36"/>
        <v>0</v>
      </c>
      <c r="S65" s="1"/>
      <c r="T65" s="1">
        <f>SUM(OSRRefT22_13x_0)</f>
        <v>-5600</v>
      </c>
      <c r="U65" s="1"/>
      <c r="V65" s="5">
        <f t="shared" si="37"/>
        <v>0</v>
      </c>
      <c r="W65" s="1"/>
      <c r="X65" s="1">
        <f t="shared" si="38"/>
        <v>0</v>
      </c>
      <c r="Y65" s="1"/>
      <c r="Z65" s="5">
        <f t="shared" si="39"/>
        <v>0</v>
      </c>
    </row>
    <row r="66" spans="1:26" s="24" customFormat="1" hidden="1" outlineLevel="2" x14ac:dyDescent="0.35">
      <c r="A66" s="29"/>
      <c r="B66" s="11" t="str">
        <f>CONCATENATE("          ", "6273", " - ", "RENT")</f>
        <v xml:space="preserve">          6273 - RENT</v>
      </c>
      <c r="C66" s="11"/>
      <c r="D66" s="7">
        <v>-800</v>
      </c>
      <c r="E66" s="2"/>
      <c r="F66" s="6">
        <f t="shared" si="32"/>
        <v>0</v>
      </c>
      <c r="G66" s="2"/>
      <c r="H66" s="7">
        <v>-800</v>
      </c>
      <c r="I66" s="2"/>
      <c r="J66" s="6">
        <f t="shared" si="33"/>
        <v>0</v>
      </c>
      <c r="K66" s="2"/>
      <c r="L66" s="7">
        <f t="shared" si="34"/>
        <v>0</v>
      </c>
      <c r="M66" s="2"/>
      <c r="N66" s="6">
        <f t="shared" si="35"/>
        <v>0</v>
      </c>
      <c r="O66" s="11"/>
      <c r="P66" s="7">
        <v>-5600</v>
      </c>
      <c r="Q66" s="2"/>
      <c r="R66" s="6">
        <f t="shared" si="36"/>
        <v>0</v>
      </c>
      <c r="S66" s="2"/>
      <c r="T66" s="7">
        <v>-5600</v>
      </c>
      <c r="U66" s="2"/>
      <c r="V66" s="6">
        <f t="shared" si="37"/>
        <v>0</v>
      </c>
      <c r="W66" s="2"/>
      <c r="X66" s="7">
        <f t="shared" si="38"/>
        <v>0</v>
      </c>
      <c r="Y66" s="2"/>
      <c r="Z66" s="6">
        <f t="shared" si="39"/>
        <v>0</v>
      </c>
    </row>
    <row r="67" spans="1:26" s="28" customFormat="1" outlineLevel="1" collapsed="1" x14ac:dyDescent="0.35">
      <c r="A67" s="27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SUM(OSRRefD22_14x_0)</f>
        <v>2626.01</v>
      </c>
      <c r="E67" s="1"/>
      <c r="F67" s="5">
        <f t="shared" si="32"/>
        <v>0</v>
      </c>
      <c r="G67" s="1"/>
      <c r="H67" s="1">
        <f>SUM(OSRRefH22_14x_0)</f>
        <v>9000</v>
      </c>
      <c r="I67" s="1"/>
      <c r="J67" s="5">
        <f t="shared" si="33"/>
        <v>0</v>
      </c>
      <c r="K67" s="1"/>
      <c r="L67" s="1">
        <f t="shared" si="34"/>
        <v>-6373.99</v>
      </c>
      <c r="M67" s="1"/>
      <c r="N67" s="5">
        <f t="shared" si="35"/>
        <v>-0.70822111111111108</v>
      </c>
      <c r="O67" s="14"/>
      <c r="P67" s="1">
        <f>SUM(OSRRefP22_14x_0)</f>
        <v>81930.09</v>
      </c>
      <c r="Q67" s="1"/>
      <c r="R67" s="5">
        <f t="shared" si="36"/>
        <v>0</v>
      </c>
      <c r="S67" s="1"/>
      <c r="T67" s="1">
        <f>SUM(OSRRefT22_14x_0)</f>
        <v>108000</v>
      </c>
      <c r="U67" s="1"/>
      <c r="V67" s="5">
        <f t="shared" si="37"/>
        <v>0</v>
      </c>
      <c r="W67" s="1"/>
      <c r="X67" s="1">
        <f t="shared" si="38"/>
        <v>-26069.910000000003</v>
      </c>
      <c r="Y67" s="1"/>
      <c r="Z67" s="5">
        <f t="shared" si="39"/>
        <v>-0.24138805555555559</v>
      </c>
    </row>
    <row r="68" spans="1:26" s="24" customFormat="1" hidden="1" outlineLevel="2" x14ac:dyDescent="0.35">
      <c r="A68" s="29"/>
      <c r="B68" s="11" t="str">
        <f>CONCATENATE("          ", "6371", " - ", "COMPUTER SOFTWARE MAINTENANCE")</f>
        <v xml:space="preserve">          6371 - COMPUTER SOFTWARE MAINTENANCE</v>
      </c>
      <c r="C68" s="11"/>
      <c r="D68" s="7"/>
      <c r="E68" s="2"/>
      <c r="F68" s="6">
        <f t="shared" si="32"/>
        <v>0</v>
      </c>
      <c r="G68" s="2"/>
      <c r="H68" s="7"/>
      <c r="I68" s="2"/>
      <c r="J68" s="6">
        <f t="shared" si="33"/>
        <v>0</v>
      </c>
      <c r="K68" s="2"/>
      <c r="L68" s="7">
        <f t="shared" si="34"/>
        <v>0</v>
      </c>
      <c r="M68" s="2"/>
      <c r="N68" s="6">
        <f t="shared" si="35"/>
        <v>0</v>
      </c>
      <c r="O68" s="11"/>
      <c r="P68" s="7">
        <v>58428.780000000006</v>
      </c>
      <c r="Q68" s="2"/>
      <c r="R68" s="6">
        <f t="shared" si="36"/>
        <v>0</v>
      </c>
      <c r="S68" s="2"/>
      <c r="T68" s="7">
        <v>45000</v>
      </c>
      <c r="U68" s="2"/>
      <c r="V68" s="6">
        <f t="shared" si="37"/>
        <v>0</v>
      </c>
      <c r="W68" s="2"/>
      <c r="X68" s="7">
        <f t="shared" si="38"/>
        <v>13428.780000000006</v>
      </c>
      <c r="Y68" s="2"/>
      <c r="Z68" s="6">
        <f t="shared" si="39"/>
        <v>0.29841733333333348</v>
      </c>
    </row>
    <row r="69" spans="1:26" s="24" customFormat="1" hidden="1" outlineLevel="2" x14ac:dyDescent="0.35">
      <c r="A69" s="29"/>
      <c r="B69" s="11" t="str">
        <f>CONCATENATE("          ", "6372", " - ", "COMPUTER HARDWARE MAINTENANCE")</f>
        <v xml:space="preserve">          6372 - COMPUTER HARDWARE MAINTENANCE</v>
      </c>
      <c r="C69" s="11"/>
      <c r="D69" s="7"/>
      <c r="E69" s="2"/>
      <c r="F69" s="6">
        <f t="shared" si="32"/>
        <v>0</v>
      </c>
      <c r="G69" s="2"/>
      <c r="H69" s="7"/>
      <c r="I69" s="2"/>
      <c r="J69" s="6">
        <f t="shared" si="33"/>
        <v>0</v>
      </c>
      <c r="K69" s="2"/>
      <c r="L69" s="7">
        <f t="shared" si="34"/>
        <v>0</v>
      </c>
      <c r="M69" s="2"/>
      <c r="N69" s="6">
        <f t="shared" si="35"/>
        <v>0</v>
      </c>
      <c r="O69" s="11"/>
      <c r="P69" s="7">
        <v>0</v>
      </c>
      <c r="Q69" s="2"/>
      <c r="R69" s="6">
        <f t="shared" si="36"/>
        <v>0</v>
      </c>
      <c r="S69" s="2"/>
      <c r="T69" s="7"/>
      <c r="U69" s="2"/>
      <c r="V69" s="6">
        <f t="shared" si="37"/>
        <v>0</v>
      </c>
      <c r="W69" s="2"/>
      <c r="X69" s="7">
        <f t="shared" si="38"/>
        <v>0</v>
      </c>
      <c r="Y69" s="2"/>
      <c r="Z69" s="6">
        <f t="shared" si="39"/>
        <v>0</v>
      </c>
    </row>
    <row r="70" spans="1:26" s="24" customFormat="1" hidden="1" outlineLevel="2" x14ac:dyDescent="0.35">
      <c r="A70" s="29"/>
      <c r="B70" s="11" t="str">
        <f>CONCATENATE("          ", "6373", " - ", "MAINTENANCE CONTRACTS")</f>
        <v xml:space="preserve">          6373 - MAINTENANCE CONTRACTS</v>
      </c>
      <c r="C70" s="11"/>
      <c r="D70" s="7">
        <v>51.01</v>
      </c>
      <c r="E70" s="2"/>
      <c r="F70" s="6">
        <f t="shared" si="32"/>
        <v>0</v>
      </c>
      <c r="G70" s="2"/>
      <c r="H70" s="7">
        <v>1000</v>
      </c>
      <c r="I70" s="2"/>
      <c r="J70" s="6">
        <f t="shared" si="33"/>
        <v>0</v>
      </c>
      <c r="K70" s="2"/>
      <c r="L70" s="7">
        <f t="shared" si="34"/>
        <v>-948.99</v>
      </c>
      <c r="M70" s="2"/>
      <c r="N70" s="6">
        <f t="shared" si="35"/>
        <v>-0.94899</v>
      </c>
      <c r="O70" s="11"/>
      <c r="P70" s="7">
        <v>9189.75</v>
      </c>
      <c r="Q70" s="2"/>
      <c r="R70" s="6">
        <f t="shared" si="36"/>
        <v>0</v>
      </c>
      <c r="S70" s="2"/>
      <c r="T70" s="7">
        <v>7000</v>
      </c>
      <c r="U70" s="2"/>
      <c r="V70" s="6">
        <f t="shared" si="37"/>
        <v>0</v>
      </c>
      <c r="W70" s="2"/>
      <c r="X70" s="7">
        <f t="shared" si="38"/>
        <v>2189.75</v>
      </c>
      <c r="Y70" s="2"/>
      <c r="Z70" s="6">
        <f t="shared" si="39"/>
        <v>0.31282142857142858</v>
      </c>
    </row>
    <row r="71" spans="1:26" s="24" customFormat="1" hidden="1" outlineLevel="2" x14ac:dyDescent="0.35">
      <c r="A71" s="29"/>
      <c r="B71" s="11" t="str">
        <f>CONCATENATE("          ", "6375", " - ", "OUTSIDE REPAIRS &amp; MAINTENANCE")</f>
        <v xml:space="preserve">          6375 - OUTSIDE REPAIRS &amp; MAINTENANCE</v>
      </c>
      <c r="C71" s="11"/>
      <c r="D71" s="7">
        <v>2575</v>
      </c>
      <c r="E71" s="2"/>
      <c r="F71" s="6">
        <f t="shared" si="32"/>
        <v>0</v>
      </c>
      <c r="G71" s="2"/>
      <c r="H71" s="7">
        <v>8000</v>
      </c>
      <c r="I71" s="2"/>
      <c r="J71" s="6">
        <f t="shared" si="33"/>
        <v>0</v>
      </c>
      <c r="K71" s="2"/>
      <c r="L71" s="7">
        <f t="shared" si="34"/>
        <v>-5425</v>
      </c>
      <c r="M71" s="2"/>
      <c r="N71" s="6">
        <f t="shared" si="35"/>
        <v>-0.67812499999999998</v>
      </c>
      <c r="O71" s="11"/>
      <c r="P71" s="7">
        <v>14311.56</v>
      </c>
      <c r="Q71" s="2"/>
      <c r="R71" s="6">
        <f t="shared" si="36"/>
        <v>0</v>
      </c>
      <c r="S71" s="2"/>
      <c r="T71" s="7">
        <v>56000</v>
      </c>
      <c r="U71" s="2"/>
      <c r="V71" s="6">
        <f t="shared" si="37"/>
        <v>0</v>
      </c>
      <c r="W71" s="2"/>
      <c r="X71" s="7">
        <f t="shared" si="38"/>
        <v>-41688.44</v>
      </c>
      <c r="Y71" s="2"/>
      <c r="Z71" s="6">
        <f t="shared" si="39"/>
        <v>-0.74443642857142867</v>
      </c>
    </row>
    <row r="72" spans="1:26" s="28" customFormat="1" outlineLevel="1" collapsed="1" x14ac:dyDescent="0.35">
      <c r="A72" s="27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SUM(OSRRefD22_15x_0)</f>
        <v>5463.73</v>
      </c>
      <c r="E72" s="1"/>
      <c r="F72" s="5">
        <f t="shared" ref="F72:F75" si="40">IF(D$12=0,0,D72/D$12)</f>
        <v>0</v>
      </c>
      <c r="G72" s="1"/>
      <c r="H72" s="1">
        <f>SUM(OSRRefH22_15x_0)</f>
        <v>4300</v>
      </c>
      <c r="I72" s="1"/>
      <c r="J72" s="5">
        <f t="shared" ref="J72:J75" si="41">IF(H$12=0,0,H72/H$12)</f>
        <v>0</v>
      </c>
      <c r="K72" s="1"/>
      <c r="L72" s="1">
        <f t="shared" ref="L72:L75" si="42">+D72-H72</f>
        <v>1163.7299999999996</v>
      </c>
      <c r="M72" s="1"/>
      <c r="N72" s="5">
        <f t="shared" ref="N72:N75" si="43">IF(H72=0,0,L72/H72)</f>
        <v>0.27063488372093014</v>
      </c>
      <c r="O72" s="14"/>
      <c r="P72" s="1">
        <f>SUM(OSRRefP22_15x_0)</f>
        <v>24436.16</v>
      </c>
      <c r="Q72" s="1"/>
      <c r="R72" s="5">
        <f t="shared" ref="R72:R75" si="44">IF(P$12=0,0,P72/P$12)</f>
        <v>0</v>
      </c>
      <c r="S72" s="1"/>
      <c r="T72" s="1">
        <f>SUM(OSRRefT22_15x_0)</f>
        <v>30100</v>
      </c>
      <c r="U72" s="1"/>
      <c r="V72" s="5">
        <f t="shared" ref="V72:V75" si="45">IF(T$12=0,0,T72/T$12)</f>
        <v>0</v>
      </c>
      <c r="W72" s="1"/>
      <c r="X72" s="1">
        <f t="shared" ref="X72:X75" si="46">+P72-T72</f>
        <v>-5663.84</v>
      </c>
      <c r="Y72" s="1"/>
      <c r="Z72" s="5">
        <f t="shared" ref="Z72:Z75" si="47">IF(T72=0,0,X72/T72)</f>
        <v>-0.18816744186046513</v>
      </c>
    </row>
    <row r="73" spans="1:26" s="24" customFormat="1" hidden="1" outlineLevel="2" x14ac:dyDescent="0.35">
      <c r="A73" s="29"/>
      <c r="B73" s="11" t="str">
        <f>CONCATENATE("          ", "6282", " - ", "JANITORIAL/EXTERMINATOR EXPENS")</f>
        <v xml:space="preserve">          6282 - JANITORIAL/EXTERMINATOR EXPENS</v>
      </c>
      <c r="C73" s="11"/>
      <c r="D73" s="7">
        <v>1613</v>
      </c>
      <c r="E73" s="2"/>
      <c r="F73" s="6">
        <f t="shared" si="40"/>
        <v>0</v>
      </c>
      <c r="G73" s="2"/>
      <c r="H73" s="7">
        <v>4000</v>
      </c>
      <c r="I73" s="2"/>
      <c r="J73" s="6">
        <f t="shared" si="41"/>
        <v>0</v>
      </c>
      <c r="K73" s="2"/>
      <c r="L73" s="7">
        <f t="shared" si="42"/>
        <v>-2387</v>
      </c>
      <c r="M73" s="2"/>
      <c r="N73" s="6">
        <f t="shared" si="43"/>
        <v>-0.59675</v>
      </c>
      <c r="O73" s="11"/>
      <c r="P73" s="7">
        <v>6777.12</v>
      </c>
      <c r="Q73" s="2"/>
      <c r="R73" s="6">
        <f t="shared" si="44"/>
        <v>0</v>
      </c>
      <c r="S73" s="2"/>
      <c r="T73" s="7">
        <v>28000</v>
      </c>
      <c r="U73" s="2"/>
      <c r="V73" s="6">
        <f t="shared" si="45"/>
        <v>0</v>
      </c>
      <c r="W73" s="2"/>
      <c r="X73" s="7">
        <f t="shared" si="46"/>
        <v>-21222.880000000001</v>
      </c>
      <c r="Y73" s="2"/>
      <c r="Z73" s="6">
        <f t="shared" si="47"/>
        <v>-0.75796000000000008</v>
      </c>
    </row>
    <row r="74" spans="1:26" s="24" customFormat="1" hidden="1" outlineLevel="2" x14ac:dyDescent="0.35">
      <c r="A74" s="29"/>
      <c r="B74" s="11" t="str">
        <f>CONCATENATE("          ", "6283", " - ", "PLANT SERVICE")</f>
        <v xml:space="preserve">          6283 - PLANT SERVICE</v>
      </c>
      <c r="C74" s="11"/>
      <c r="D74" s="7"/>
      <c r="E74" s="2"/>
      <c r="F74" s="6">
        <f t="shared" si="40"/>
        <v>0</v>
      </c>
      <c r="G74" s="2"/>
      <c r="H74" s="7"/>
      <c r="I74" s="2"/>
      <c r="J74" s="6">
        <f t="shared" si="41"/>
        <v>0</v>
      </c>
      <c r="K74" s="2"/>
      <c r="L74" s="7">
        <f t="shared" si="42"/>
        <v>0</v>
      </c>
      <c r="M74" s="2"/>
      <c r="N74" s="6">
        <f t="shared" si="43"/>
        <v>0</v>
      </c>
      <c r="O74" s="11"/>
      <c r="P74" s="7">
        <v>130</v>
      </c>
      <c r="Q74" s="2"/>
      <c r="R74" s="6">
        <f t="shared" si="44"/>
        <v>0</v>
      </c>
      <c r="S74" s="2"/>
      <c r="T74" s="7"/>
      <c r="U74" s="2"/>
      <c r="V74" s="6">
        <f t="shared" si="45"/>
        <v>0</v>
      </c>
      <c r="W74" s="2"/>
      <c r="X74" s="7">
        <f t="shared" si="46"/>
        <v>130</v>
      </c>
      <c r="Y74" s="2"/>
      <c r="Z74" s="6">
        <f t="shared" si="47"/>
        <v>0</v>
      </c>
    </row>
    <row r="75" spans="1:26" s="24" customFormat="1" hidden="1" outlineLevel="2" x14ac:dyDescent="0.35">
      <c r="A75" s="29"/>
      <c r="B75" s="11" t="str">
        <f>CONCATENATE("          ", "6285", " - ", "JANITORIAL SERVICES")</f>
        <v xml:space="preserve">          6285 - JANITORIAL SERVICES</v>
      </c>
      <c r="C75" s="11"/>
      <c r="D75" s="7">
        <v>3850.73</v>
      </c>
      <c r="E75" s="2"/>
      <c r="F75" s="6">
        <f t="shared" si="40"/>
        <v>0</v>
      </c>
      <c r="G75" s="2"/>
      <c r="H75" s="7">
        <v>300</v>
      </c>
      <c r="I75" s="2"/>
      <c r="J75" s="6">
        <f t="shared" si="41"/>
        <v>0</v>
      </c>
      <c r="K75" s="2"/>
      <c r="L75" s="7">
        <f t="shared" si="42"/>
        <v>3550.73</v>
      </c>
      <c r="M75" s="2"/>
      <c r="N75" s="6">
        <f t="shared" si="43"/>
        <v>11.835766666666666</v>
      </c>
      <c r="O75" s="11"/>
      <c r="P75" s="7">
        <v>17529.04</v>
      </c>
      <c r="Q75" s="2"/>
      <c r="R75" s="6">
        <f t="shared" si="44"/>
        <v>0</v>
      </c>
      <c r="S75" s="2"/>
      <c r="T75" s="7">
        <v>2100</v>
      </c>
      <c r="U75" s="2"/>
      <c r="V75" s="6">
        <f t="shared" si="45"/>
        <v>0</v>
      </c>
      <c r="W75" s="2"/>
      <c r="X75" s="7">
        <f t="shared" si="46"/>
        <v>15429.04</v>
      </c>
      <c r="Y75" s="2"/>
      <c r="Z75" s="6">
        <f t="shared" si="47"/>
        <v>7.3471619047619052</v>
      </c>
    </row>
    <row r="76" spans="1:26" s="28" customFormat="1" outlineLevel="1" collapsed="1" x14ac:dyDescent="0.35">
      <c r="A76" s="27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1">
        <f>SUM(OSRRefD22_16x_0)</f>
        <v>0</v>
      </c>
      <c r="E76" s="1"/>
      <c r="F76" s="5">
        <f t="shared" ref="F76:F85" si="48">IF(D$12=0,0,D76/D$12)</f>
        <v>0</v>
      </c>
      <c r="G76" s="1"/>
      <c r="H76" s="1">
        <f>SUM(OSRRefH22_16x_0)</f>
        <v>800</v>
      </c>
      <c r="I76" s="1"/>
      <c r="J76" s="5">
        <f t="shared" ref="J76:J85" si="49">IF(H$12=0,0,H76/H$12)</f>
        <v>0</v>
      </c>
      <c r="K76" s="1"/>
      <c r="L76" s="1">
        <f t="shared" ref="L76:L85" si="50">+D76-H76</f>
        <v>-800</v>
      </c>
      <c r="M76" s="1"/>
      <c r="N76" s="5">
        <f t="shared" ref="N76:N85" si="51">IF(H76=0,0,L76/H76)</f>
        <v>-1</v>
      </c>
      <c r="O76" s="14"/>
      <c r="P76" s="1">
        <f>SUM(OSRRefP22_16x_0)</f>
        <v>0</v>
      </c>
      <c r="Q76" s="1"/>
      <c r="R76" s="5">
        <f t="shared" ref="R76:R85" si="52">IF(P$12=0,0,P76/P$12)</f>
        <v>0</v>
      </c>
      <c r="S76" s="1"/>
      <c r="T76" s="1">
        <f>SUM(OSRRefT22_16x_0)</f>
        <v>5600</v>
      </c>
      <c r="U76" s="1"/>
      <c r="V76" s="5">
        <f t="shared" ref="V76:V85" si="53">IF(T$12=0,0,T76/T$12)</f>
        <v>0</v>
      </c>
      <c r="W76" s="1"/>
      <c r="X76" s="1">
        <f t="shared" ref="X76:X85" si="54">+P76-T76</f>
        <v>-5600</v>
      </c>
      <c r="Y76" s="1"/>
      <c r="Z76" s="5">
        <f t="shared" ref="Z76:Z85" si="55">IF(T76=0,0,X76/T76)</f>
        <v>-1</v>
      </c>
    </row>
    <row r="77" spans="1:26" s="24" customFormat="1" hidden="1" outlineLevel="2" x14ac:dyDescent="0.35">
      <c r="A77" s="29"/>
      <c r="B77" s="11" t="str">
        <f>CONCATENATE("          ", "6258", " - ", "MEMBERSHIP DUES")</f>
        <v xml:space="preserve">          6258 - MEMBERSHIP DUES</v>
      </c>
      <c r="C77" s="11"/>
      <c r="D77" s="7"/>
      <c r="E77" s="2"/>
      <c r="F77" s="6">
        <f t="shared" si="48"/>
        <v>0</v>
      </c>
      <c r="G77" s="2"/>
      <c r="H77" s="7">
        <v>800</v>
      </c>
      <c r="I77" s="2"/>
      <c r="J77" s="6">
        <f t="shared" si="49"/>
        <v>0</v>
      </c>
      <c r="K77" s="2"/>
      <c r="L77" s="7">
        <f t="shared" si="50"/>
        <v>-800</v>
      </c>
      <c r="M77" s="2"/>
      <c r="N77" s="6">
        <f t="shared" si="51"/>
        <v>-1</v>
      </c>
      <c r="O77" s="11"/>
      <c r="P77" s="7"/>
      <c r="Q77" s="2"/>
      <c r="R77" s="6">
        <f t="shared" si="52"/>
        <v>0</v>
      </c>
      <c r="S77" s="2"/>
      <c r="T77" s="7">
        <v>5600</v>
      </c>
      <c r="U77" s="2"/>
      <c r="V77" s="6">
        <f t="shared" si="53"/>
        <v>0</v>
      </c>
      <c r="W77" s="2"/>
      <c r="X77" s="7">
        <f t="shared" si="54"/>
        <v>-5600</v>
      </c>
      <c r="Y77" s="2"/>
      <c r="Z77" s="6">
        <f t="shared" si="55"/>
        <v>-1</v>
      </c>
    </row>
    <row r="78" spans="1:26" s="28" customFormat="1" outlineLevel="1" collapsed="1" x14ac:dyDescent="0.35">
      <c r="A78" s="27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SUM(OSRRefD22_17x_0)</f>
        <v>3619.8199999999997</v>
      </c>
      <c r="E78" s="1"/>
      <c r="F78" s="5">
        <f t="shared" si="48"/>
        <v>0</v>
      </c>
      <c r="G78" s="1"/>
      <c r="H78" s="1">
        <f>SUM(OSRRefH22_17x_0)</f>
        <v>3900</v>
      </c>
      <c r="I78" s="1"/>
      <c r="J78" s="5">
        <f t="shared" si="49"/>
        <v>0</v>
      </c>
      <c r="K78" s="1"/>
      <c r="L78" s="1">
        <f t="shared" si="50"/>
        <v>-280.18000000000029</v>
      </c>
      <c r="M78" s="1"/>
      <c r="N78" s="5">
        <f t="shared" si="51"/>
        <v>-7.1841025641025721E-2</v>
      </c>
      <c r="O78" s="14"/>
      <c r="P78" s="1">
        <f>SUM(OSRRefP22_17x_0)</f>
        <v>48922.29</v>
      </c>
      <c r="Q78" s="1"/>
      <c r="R78" s="5">
        <f t="shared" si="52"/>
        <v>0</v>
      </c>
      <c r="S78" s="1"/>
      <c r="T78" s="1">
        <f>SUM(OSRRefT22_17x_0)</f>
        <v>87100</v>
      </c>
      <c r="U78" s="1"/>
      <c r="V78" s="5">
        <f t="shared" si="53"/>
        <v>0</v>
      </c>
      <c r="W78" s="1"/>
      <c r="X78" s="1">
        <f t="shared" si="54"/>
        <v>-38177.71</v>
      </c>
      <c r="Y78" s="1"/>
      <c r="Z78" s="5">
        <f t="shared" si="55"/>
        <v>-0.43832043628013778</v>
      </c>
    </row>
    <row r="79" spans="1:26" s="24" customFormat="1" hidden="1" outlineLevel="2" x14ac:dyDescent="0.35">
      <c r="A79" s="29"/>
      <c r="B79" s="11" t="str">
        <f>CONCATENATE("          ", "6234", " - ", "EXPENDABLE SUPPLIES &amp; EQUIPMEN")</f>
        <v xml:space="preserve">          6234 - EXPENDABLE SUPPLIES &amp; EQUIPMEN</v>
      </c>
      <c r="C79" s="11"/>
      <c r="D79" s="7"/>
      <c r="E79" s="2"/>
      <c r="F79" s="6">
        <f t="shared" si="48"/>
        <v>0</v>
      </c>
      <c r="G79" s="2"/>
      <c r="H79" s="7">
        <v>100</v>
      </c>
      <c r="I79" s="2"/>
      <c r="J79" s="6">
        <f t="shared" si="49"/>
        <v>0</v>
      </c>
      <c r="K79" s="2"/>
      <c r="L79" s="7">
        <f t="shared" si="50"/>
        <v>-100</v>
      </c>
      <c r="M79" s="2"/>
      <c r="N79" s="6">
        <f t="shared" si="51"/>
        <v>-1</v>
      </c>
      <c r="O79" s="11"/>
      <c r="P79" s="7">
        <v>-449.34</v>
      </c>
      <c r="Q79" s="2"/>
      <c r="R79" s="6">
        <f t="shared" si="52"/>
        <v>0</v>
      </c>
      <c r="S79" s="2"/>
      <c r="T79" s="7">
        <v>700</v>
      </c>
      <c r="U79" s="2"/>
      <c r="V79" s="6">
        <f t="shared" si="53"/>
        <v>0</v>
      </c>
      <c r="W79" s="2"/>
      <c r="X79" s="7">
        <f t="shared" si="54"/>
        <v>-1149.3399999999999</v>
      </c>
      <c r="Y79" s="2"/>
      <c r="Z79" s="6">
        <f t="shared" si="55"/>
        <v>-1.6419142857142857</v>
      </c>
    </row>
    <row r="80" spans="1:26" s="24" customFormat="1" hidden="1" outlineLevel="2" x14ac:dyDescent="0.35">
      <c r="A80" s="29"/>
      <c r="B80" s="11" t="str">
        <f>CONCATENATE("          ", "6235", " - ", "COVID-19 EXPENSES")</f>
        <v xml:space="preserve">          6235 - COVID-19 EXPENSES</v>
      </c>
      <c r="C80" s="11"/>
      <c r="D80" s="7">
        <v>2921.2</v>
      </c>
      <c r="E80" s="2"/>
      <c r="F80" s="6">
        <f t="shared" si="48"/>
        <v>0</v>
      </c>
      <c r="G80" s="2"/>
      <c r="H80" s="7">
        <v>100</v>
      </c>
      <c r="I80" s="2"/>
      <c r="J80" s="6">
        <f t="shared" si="49"/>
        <v>0</v>
      </c>
      <c r="K80" s="2"/>
      <c r="L80" s="7">
        <f t="shared" si="50"/>
        <v>2821.2</v>
      </c>
      <c r="M80" s="2"/>
      <c r="N80" s="6">
        <f t="shared" si="51"/>
        <v>28.212</v>
      </c>
      <c r="O80" s="11"/>
      <c r="P80" s="7">
        <v>32251.69</v>
      </c>
      <c r="Q80" s="2"/>
      <c r="R80" s="6">
        <f t="shared" si="52"/>
        <v>0</v>
      </c>
      <c r="S80" s="2"/>
      <c r="T80" s="7">
        <v>60500</v>
      </c>
      <c r="U80" s="2"/>
      <c r="V80" s="6">
        <f t="shared" si="53"/>
        <v>0</v>
      </c>
      <c r="W80" s="2"/>
      <c r="X80" s="7">
        <f t="shared" si="54"/>
        <v>-28248.31</v>
      </c>
      <c r="Y80" s="2"/>
      <c r="Z80" s="6">
        <f t="shared" si="55"/>
        <v>-0.46691421487603307</v>
      </c>
    </row>
    <row r="81" spans="1:26" s="24" customFormat="1" hidden="1" outlineLevel="2" x14ac:dyDescent="0.35">
      <c r="A81" s="29"/>
      <c r="B81" s="11" t="str">
        <f>CONCATENATE("          ", "6237", " - ", "JANITORIAL SUPPLIES")</f>
        <v xml:space="preserve">          6237 - JANITORIAL SUPPLIES</v>
      </c>
      <c r="C81" s="11"/>
      <c r="D81" s="7">
        <v>329.77</v>
      </c>
      <c r="E81" s="2"/>
      <c r="F81" s="6">
        <f t="shared" si="48"/>
        <v>0</v>
      </c>
      <c r="G81" s="2"/>
      <c r="H81" s="7">
        <v>200</v>
      </c>
      <c r="I81" s="2"/>
      <c r="J81" s="6">
        <f t="shared" si="49"/>
        <v>0</v>
      </c>
      <c r="K81" s="2"/>
      <c r="L81" s="7">
        <f t="shared" si="50"/>
        <v>129.76999999999998</v>
      </c>
      <c r="M81" s="2"/>
      <c r="N81" s="6">
        <f t="shared" si="51"/>
        <v>0.64884999999999993</v>
      </c>
      <c r="O81" s="11"/>
      <c r="P81" s="7">
        <v>2071.91</v>
      </c>
      <c r="Q81" s="2"/>
      <c r="R81" s="6">
        <f t="shared" si="52"/>
        <v>0</v>
      </c>
      <c r="S81" s="2"/>
      <c r="T81" s="7">
        <v>1400</v>
      </c>
      <c r="U81" s="2"/>
      <c r="V81" s="6">
        <f t="shared" si="53"/>
        <v>0</v>
      </c>
      <c r="W81" s="2"/>
      <c r="X81" s="7">
        <f t="shared" si="54"/>
        <v>671.90999999999985</v>
      </c>
      <c r="Y81" s="2"/>
      <c r="Z81" s="6">
        <f t="shared" si="55"/>
        <v>0.47993571428571419</v>
      </c>
    </row>
    <row r="82" spans="1:26" s="24" customFormat="1" hidden="1" outlineLevel="2" x14ac:dyDescent="0.35">
      <c r="A82" s="29"/>
      <c r="B82" s="11" t="str">
        <f>CONCATENATE("          ", "6241", " - ", "OFFICE EXPENSE")</f>
        <v xml:space="preserve">          6241 - OFFICE EXPENSE</v>
      </c>
      <c r="C82" s="11"/>
      <c r="D82" s="7">
        <v>21.92</v>
      </c>
      <c r="E82" s="2"/>
      <c r="F82" s="6">
        <f t="shared" si="48"/>
        <v>0</v>
      </c>
      <c r="G82" s="2"/>
      <c r="H82" s="7"/>
      <c r="I82" s="2"/>
      <c r="J82" s="6">
        <f t="shared" si="49"/>
        <v>0</v>
      </c>
      <c r="K82" s="2"/>
      <c r="L82" s="7">
        <f t="shared" si="50"/>
        <v>21.92</v>
      </c>
      <c r="M82" s="2"/>
      <c r="N82" s="6">
        <f t="shared" si="51"/>
        <v>0</v>
      </c>
      <c r="O82" s="11"/>
      <c r="P82" s="7">
        <v>2295.9699999999998</v>
      </c>
      <c r="Q82" s="2"/>
      <c r="R82" s="6">
        <f t="shared" si="52"/>
        <v>0</v>
      </c>
      <c r="S82" s="2"/>
      <c r="T82" s="7"/>
      <c r="U82" s="2"/>
      <c r="V82" s="6">
        <f t="shared" si="53"/>
        <v>0</v>
      </c>
      <c r="W82" s="2"/>
      <c r="X82" s="7">
        <f t="shared" si="54"/>
        <v>2295.9699999999998</v>
      </c>
      <c r="Y82" s="2"/>
      <c r="Z82" s="6">
        <f t="shared" si="55"/>
        <v>0</v>
      </c>
    </row>
    <row r="83" spans="1:26" s="24" customFormat="1" hidden="1" outlineLevel="2" x14ac:dyDescent="0.35">
      <c r="A83" s="29"/>
      <c r="B83" s="11" t="str">
        <f>CONCATENATE("          ", "6245", " - ", "PRINTING")</f>
        <v xml:space="preserve">          6245 - PRINTING</v>
      </c>
      <c r="C83" s="11"/>
      <c r="D83" s="7"/>
      <c r="E83" s="2"/>
      <c r="F83" s="6">
        <f t="shared" si="48"/>
        <v>0</v>
      </c>
      <c r="G83" s="2"/>
      <c r="H83" s="7"/>
      <c r="I83" s="2"/>
      <c r="J83" s="6">
        <f t="shared" si="49"/>
        <v>0</v>
      </c>
      <c r="K83" s="2"/>
      <c r="L83" s="7">
        <f t="shared" si="50"/>
        <v>0</v>
      </c>
      <c r="M83" s="2"/>
      <c r="N83" s="6">
        <f t="shared" si="51"/>
        <v>0</v>
      </c>
      <c r="O83" s="11"/>
      <c r="P83" s="7">
        <v>68.66</v>
      </c>
      <c r="Q83" s="2"/>
      <c r="R83" s="6">
        <f t="shared" si="52"/>
        <v>0</v>
      </c>
      <c r="S83" s="2"/>
      <c r="T83" s="7"/>
      <c r="U83" s="2"/>
      <c r="V83" s="6">
        <f t="shared" si="53"/>
        <v>0</v>
      </c>
      <c r="W83" s="2"/>
      <c r="X83" s="7">
        <f t="shared" si="54"/>
        <v>68.66</v>
      </c>
      <c r="Y83" s="2"/>
      <c r="Z83" s="6">
        <f t="shared" si="55"/>
        <v>0</v>
      </c>
    </row>
    <row r="84" spans="1:26" s="24" customFormat="1" hidden="1" outlineLevel="2" x14ac:dyDescent="0.35">
      <c r="A84" s="29"/>
      <c r="B84" s="11" t="str">
        <f>CONCATENATE("          ", "6247", " - ", "STORE SUPPLIES")</f>
        <v xml:space="preserve">          6247 - STORE SUPPLIES</v>
      </c>
      <c r="C84" s="11"/>
      <c r="D84" s="7">
        <v>346.93</v>
      </c>
      <c r="E84" s="2"/>
      <c r="F84" s="6">
        <f t="shared" si="48"/>
        <v>0</v>
      </c>
      <c r="G84" s="2"/>
      <c r="H84" s="7">
        <v>2000</v>
      </c>
      <c r="I84" s="2"/>
      <c r="J84" s="6">
        <f t="shared" si="49"/>
        <v>0</v>
      </c>
      <c r="K84" s="2"/>
      <c r="L84" s="7">
        <f t="shared" si="50"/>
        <v>-1653.07</v>
      </c>
      <c r="M84" s="2"/>
      <c r="N84" s="6">
        <f t="shared" si="51"/>
        <v>-0.82653500000000002</v>
      </c>
      <c r="O84" s="11"/>
      <c r="P84" s="7">
        <v>12683.4</v>
      </c>
      <c r="Q84" s="2"/>
      <c r="R84" s="6">
        <f t="shared" si="52"/>
        <v>0</v>
      </c>
      <c r="S84" s="2"/>
      <c r="T84" s="7">
        <v>14000</v>
      </c>
      <c r="U84" s="2"/>
      <c r="V84" s="6">
        <f t="shared" si="53"/>
        <v>0</v>
      </c>
      <c r="W84" s="2"/>
      <c r="X84" s="7">
        <f t="shared" si="54"/>
        <v>-1316.6000000000004</v>
      </c>
      <c r="Y84" s="2"/>
      <c r="Z84" s="6">
        <f t="shared" si="55"/>
        <v>-9.4042857142857164E-2</v>
      </c>
    </row>
    <row r="85" spans="1:26" s="24" customFormat="1" hidden="1" outlineLevel="2" x14ac:dyDescent="0.35">
      <c r="A85" s="29"/>
      <c r="B85" s="11" t="str">
        <f>CONCATENATE("          ", "6248", " - ", "UNIFORMS")</f>
        <v xml:space="preserve">          6248 - UNIFORMS</v>
      </c>
      <c r="C85" s="11"/>
      <c r="D85" s="7"/>
      <c r="E85" s="2"/>
      <c r="F85" s="6">
        <f t="shared" si="48"/>
        <v>0</v>
      </c>
      <c r="G85" s="2"/>
      <c r="H85" s="7">
        <v>1500</v>
      </c>
      <c r="I85" s="2"/>
      <c r="J85" s="6">
        <f t="shared" si="49"/>
        <v>0</v>
      </c>
      <c r="K85" s="2"/>
      <c r="L85" s="7">
        <f t="shared" si="50"/>
        <v>-1500</v>
      </c>
      <c r="M85" s="2"/>
      <c r="N85" s="6">
        <f t="shared" si="51"/>
        <v>-1</v>
      </c>
      <c r="O85" s="11"/>
      <c r="P85" s="7"/>
      <c r="Q85" s="2"/>
      <c r="R85" s="6">
        <f t="shared" si="52"/>
        <v>0</v>
      </c>
      <c r="S85" s="2"/>
      <c r="T85" s="7">
        <v>10500</v>
      </c>
      <c r="U85" s="2"/>
      <c r="V85" s="6">
        <f t="shared" si="53"/>
        <v>0</v>
      </c>
      <c r="W85" s="2"/>
      <c r="X85" s="7">
        <f t="shared" si="54"/>
        <v>-10500</v>
      </c>
      <c r="Y85" s="2"/>
      <c r="Z85" s="6">
        <f t="shared" si="55"/>
        <v>-1</v>
      </c>
    </row>
    <row r="86" spans="1:26" s="28" customFormat="1" outlineLevel="1" collapsed="1" x14ac:dyDescent="0.35">
      <c r="A86" s="27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SUM(OSRRefD22_18x_0)</f>
        <v>473.32</v>
      </c>
      <c r="E86" s="1"/>
      <c r="F86" s="5">
        <f t="shared" ref="F86:F92" si="56">IF(D$12=0,0,D86/D$12)</f>
        <v>0</v>
      </c>
      <c r="G86" s="1"/>
      <c r="H86" s="1">
        <f>SUM(OSRRefH22_18x_0)</f>
        <v>600</v>
      </c>
      <c r="I86" s="1"/>
      <c r="J86" s="5">
        <f t="shared" ref="J86:J92" si="57">IF(H$12=0,0,H86/H$12)</f>
        <v>0</v>
      </c>
      <c r="K86" s="1"/>
      <c r="L86" s="1">
        <f t="shared" ref="L86:L92" si="58">+D86-H86</f>
        <v>-126.68</v>
      </c>
      <c r="M86" s="1"/>
      <c r="N86" s="5">
        <f t="shared" ref="N86:N92" si="59">IF(H86=0,0,L86/H86)</f>
        <v>-0.21113333333333334</v>
      </c>
      <c r="O86" s="14"/>
      <c r="P86" s="1">
        <f>SUM(OSRRefP22_18x_0)</f>
        <v>4206.26</v>
      </c>
      <c r="Q86" s="1"/>
      <c r="R86" s="5">
        <f t="shared" ref="R86:R92" si="60">IF(P$12=0,0,P86/P$12)</f>
        <v>0</v>
      </c>
      <c r="S86" s="1"/>
      <c r="T86" s="1">
        <f>SUM(OSRRefT22_18x_0)</f>
        <v>4200</v>
      </c>
      <c r="U86" s="1"/>
      <c r="V86" s="5">
        <f t="shared" ref="V86:V92" si="61">IF(T$12=0,0,T86/T$12)</f>
        <v>0</v>
      </c>
      <c r="W86" s="1"/>
      <c r="X86" s="1">
        <f t="shared" ref="X86:X92" si="62">+P86-T86</f>
        <v>6.2600000000002183</v>
      </c>
      <c r="Y86" s="1"/>
      <c r="Z86" s="5">
        <f t="shared" ref="Z86:Z92" si="63">IF(T86=0,0,X86/T86)</f>
        <v>1.4904761904762425E-3</v>
      </c>
    </row>
    <row r="87" spans="1:26" s="24" customFormat="1" hidden="1" outlineLevel="2" x14ac:dyDescent="0.35">
      <c r="A87" s="29"/>
      <c r="B87" s="11" t="str">
        <f>CONCATENATE("          ", "6309", " - ", "TELEPHONE")</f>
        <v xml:space="preserve">          6309 - TELEPHONE</v>
      </c>
      <c r="C87" s="11"/>
      <c r="D87" s="7">
        <v>473.32</v>
      </c>
      <c r="E87" s="2"/>
      <c r="F87" s="6">
        <f t="shared" si="56"/>
        <v>0</v>
      </c>
      <c r="G87" s="2"/>
      <c r="H87" s="7">
        <v>600</v>
      </c>
      <c r="I87" s="2"/>
      <c r="J87" s="6">
        <f t="shared" si="57"/>
        <v>0</v>
      </c>
      <c r="K87" s="2"/>
      <c r="L87" s="7">
        <f t="shared" si="58"/>
        <v>-126.68</v>
      </c>
      <c r="M87" s="2"/>
      <c r="N87" s="6">
        <f t="shared" si="59"/>
        <v>-0.21113333333333334</v>
      </c>
      <c r="O87" s="11"/>
      <c r="P87" s="7">
        <v>4206.26</v>
      </c>
      <c r="Q87" s="2"/>
      <c r="R87" s="6">
        <f t="shared" si="60"/>
        <v>0</v>
      </c>
      <c r="S87" s="2"/>
      <c r="T87" s="7">
        <v>4200</v>
      </c>
      <c r="U87" s="2"/>
      <c r="V87" s="6">
        <f t="shared" si="61"/>
        <v>0</v>
      </c>
      <c r="W87" s="2"/>
      <c r="X87" s="7">
        <f t="shared" si="62"/>
        <v>6.2600000000002183</v>
      </c>
      <c r="Y87" s="2"/>
      <c r="Z87" s="6">
        <f t="shared" si="63"/>
        <v>1.4904761904762425E-3</v>
      </c>
    </row>
    <row r="88" spans="1:26" s="28" customFormat="1" outlineLevel="1" collapsed="1" x14ac:dyDescent="0.35">
      <c r="A88" s="27"/>
      <c r="B88" s="14" t="str">
        <f>CONCATENATE("     ","Training                                          ")</f>
        <v xml:space="preserve">     Training                                          </v>
      </c>
      <c r="C88" s="14"/>
      <c r="D88" s="1">
        <f>SUM(OSRRefD22_19x_0)</f>
        <v>0</v>
      </c>
      <c r="E88" s="1"/>
      <c r="F88" s="5">
        <f t="shared" si="56"/>
        <v>0</v>
      </c>
      <c r="G88" s="1"/>
      <c r="H88" s="1">
        <f>SUM(OSRRefH22_19x_0)</f>
        <v>0</v>
      </c>
      <c r="I88" s="1"/>
      <c r="J88" s="5">
        <f t="shared" si="57"/>
        <v>0</v>
      </c>
      <c r="K88" s="1"/>
      <c r="L88" s="1">
        <f t="shared" si="58"/>
        <v>0</v>
      </c>
      <c r="M88" s="1"/>
      <c r="N88" s="5">
        <f t="shared" si="59"/>
        <v>0</v>
      </c>
      <c r="O88" s="14"/>
      <c r="P88" s="1">
        <f>SUM(OSRRefP22_19x_0)</f>
        <v>131.63</v>
      </c>
      <c r="Q88" s="1"/>
      <c r="R88" s="5">
        <f t="shared" si="60"/>
        <v>0</v>
      </c>
      <c r="S88" s="1"/>
      <c r="T88" s="1">
        <f>SUM(OSRRefT22_19x_0)</f>
        <v>3250</v>
      </c>
      <c r="U88" s="1"/>
      <c r="V88" s="5">
        <f t="shared" si="61"/>
        <v>0</v>
      </c>
      <c r="W88" s="1"/>
      <c r="X88" s="1">
        <f t="shared" si="62"/>
        <v>-3118.37</v>
      </c>
      <c r="Y88" s="1"/>
      <c r="Z88" s="5">
        <f t="shared" si="63"/>
        <v>-0.95949846153846152</v>
      </c>
    </row>
    <row r="89" spans="1:26" s="24" customFormat="1" hidden="1" outlineLevel="2" x14ac:dyDescent="0.35">
      <c r="A89" s="29"/>
      <c r="B89" s="11" t="str">
        <f>CONCATENATE("          ", "6376", " - ", "TRAINING")</f>
        <v xml:space="preserve">          6376 - TRAINING</v>
      </c>
      <c r="C89" s="11"/>
      <c r="D89" s="7"/>
      <c r="E89" s="2"/>
      <c r="F89" s="6">
        <f t="shared" si="56"/>
        <v>0</v>
      </c>
      <c r="G89" s="2"/>
      <c r="H89" s="7"/>
      <c r="I89" s="2"/>
      <c r="J89" s="6">
        <f t="shared" si="57"/>
        <v>0</v>
      </c>
      <c r="K89" s="2"/>
      <c r="L89" s="7">
        <f t="shared" si="58"/>
        <v>0</v>
      </c>
      <c r="M89" s="2"/>
      <c r="N89" s="6">
        <f t="shared" si="59"/>
        <v>0</v>
      </c>
      <c r="O89" s="11"/>
      <c r="P89" s="7">
        <v>131.63</v>
      </c>
      <c r="Q89" s="2"/>
      <c r="R89" s="6">
        <f t="shared" si="60"/>
        <v>0</v>
      </c>
      <c r="S89" s="2"/>
      <c r="T89" s="7">
        <v>3250</v>
      </c>
      <c r="U89" s="2"/>
      <c r="V89" s="6">
        <f t="shared" si="61"/>
        <v>0</v>
      </c>
      <c r="W89" s="2"/>
      <c r="X89" s="7">
        <f t="shared" si="62"/>
        <v>-3118.37</v>
      </c>
      <c r="Y89" s="2"/>
      <c r="Z89" s="6">
        <f t="shared" si="63"/>
        <v>-0.95949846153846152</v>
      </c>
    </row>
    <row r="90" spans="1:26" s="28" customFormat="1" outlineLevel="1" collapsed="1" x14ac:dyDescent="0.35">
      <c r="A90" s="27"/>
      <c r="B90" s="14" t="str">
        <f>CONCATENATE("     ","Travel                                            ")</f>
        <v xml:space="preserve">     Travel                                            </v>
      </c>
      <c r="C90" s="14"/>
      <c r="D90" s="1">
        <f>SUM(OSRRefD22_20x_0)</f>
        <v>0</v>
      </c>
      <c r="E90" s="1"/>
      <c r="F90" s="5">
        <f t="shared" si="56"/>
        <v>0</v>
      </c>
      <c r="G90" s="1"/>
      <c r="H90" s="1">
        <f>SUM(OSRRefH22_20x_0)</f>
        <v>0</v>
      </c>
      <c r="I90" s="1"/>
      <c r="J90" s="5">
        <f t="shared" si="57"/>
        <v>0</v>
      </c>
      <c r="K90" s="1"/>
      <c r="L90" s="1">
        <f t="shared" si="58"/>
        <v>0</v>
      </c>
      <c r="M90" s="1"/>
      <c r="N90" s="5">
        <f t="shared" si="59"/>
        <v>0</v>
      </c>
      <c r="O90" s="14"/>
      <c r="P90" s="1">
        <f>SUM(OSRRefP22_20x_0)</f>
        <v>358.89</v>
      </c>
      <c r="Q90" s="1"/>
      <c r="R90" s="5">
        <f t="shared" si="60"/>
        <v>0</v>
      </c>
      <c r="S90" s="1"/>
      <c r="T90" s="1">
        <f>SUM(OSRRefT22_20x_0)</f>
        <v>0</v>
      </c>
      <c r="U90" s="1"/>
      <c r="V90" s="5">
        <f t="shared" si="61"/>
        <v>0</v>
      </c>
      <c r="W90" s="1"/>
      <c r="X90" s="1">
        <f t="shared" si="62"/>
        <v>358.89</v>
      </c>
      <c r="Y90" s="1"/>
      <c r="Z90" s="5">
        <f t="shared" si="63"/>
        <v>0</v>
      </c>
    </row>
    <row r="91" spans="1:26" s="24" customFormat="1" hidden="1" outlineLevel="2" x14ac:dyDescent="0.35">
      <c r="A91" s="29"/>
      <c r="B91" s="11" t="str">
        <f>CONCATENATE("          ", "6292", " - ", "TRAVEL/CONFERENCE")</f>
        <v xml:space="preserve">          6292 - TRAVEL/CONFERENCE</v>
      </c>
      <c r="C91" s="11"/>
      <c r="D91" s="7"/>
      <c r="E91" s="2"/>
      <c r="F91" s="6">
        <f t="shared" si="56"/>
        <v>0</v>
      </c>
      <c r="G91" s="2"/>
      <c r="H91" s="7"/>
      <c r="I91" s="2"/>
      <c r="J91" s="6">
        <f t="shared" si="57"/>
        <v>0</v>
      </c>
      <c r="K91" s="2"/>
      <c r="L91" s="7">
        <f t="shared" si="58"/>
        <v>0</v>
      </c>
      <c r="M91" s="2"/>
      <c r="N91" s="6">
        <f t="shared" si="59"/>
        <v>0</v>
      </c>
      <c r="O91" s="11"/>
      <c r="P91" s="7">
        <v>299</v>
      </c>
      <c r="Q91" s="2"/>
      <c r="R91" s="6">
        <f t="shared" si="60"/>
        <v>0</v>
      </c>
      <c r="S91" s="2"/>
      <c r="T91" s="7"/>
      <c r="U91" s="2"/>
      <c r="V91" s="6">
        <f t="shared" si="61"/>
        <v>0</v>
      </c>
      <c r="W91" s="2"/>
      <c r="X91" s="7">
        <f t="shared" si="62"/>
        <v>299</v>
      </c>
      <c r="Y91" s="2"/>
      <c r="Z91" s="6">
        <f t="shared" si="63"/>
        <v>0</v>
      </c>
    </row>
    <row r="92" spans="1:26" s="24" customFormat="1" hidden="1" outlineLevel="2" x14ac:dyDescent="0.35">
      <c r="A92" s="29"/>
      <c r="B92" s="11" t="str">
        <f>CONCATENATE("          ", "6298", " - ", "VEHICLE MILEAGE")</f>
        <v xml:space="preserve">          6298 - VEHICLE MILEAGE</v>
      </c>
      <c r="C92" s="11"/>
      <c r="D92" s="7"/>
      <c r="E92" s="2"/>
      <c r="F92" s="6">
        <f t="shared" si="56"/>
        <v>0</v>
      </c>
      <c r="G92" s="2"/>
      <c r="H92" s="7"/>
      <c r="I92" s="2"/>
      <c r="J92" s="6">
        <f t="shared" si="57"/>
        <v>0</v>
      </c>
      <c r="K92" s="2"/>
      <c r="L92" s="7">
        <f t="shared" si="58"/>
        <v>0</v>
      </c>
      <c r="M92" s="2"/>
      <c r="N92" s="6">
        <f t="shared" si="59"/>
        <v>0</v>
      </c>
      <c r="O92" s="11"/>
      <c r="P92" s="7">
        <v>59.89</v>
      </c>
      <c r="Q92" s="2"/>
      <c r="R92" s="6">
        <f t="shared" si="60"/>
        <v>0</v>
      </c>
      <c r="S92" s="2"/>
      <c r="T92" s="7"/>
      <c r="U92" s="2"/>
      <c r="V92" s="6">
        <f t="shared" si="61"/>
        <v>0</v>
      </c>
      <c r="W92" s="2"/>
      <c r="X92" s="7">
        <f t="shared" si="62"/>
        <v>59.89</v>
      </c>
      <c r="Y92" s="2"/>
      <c r="Z92" s="6">
        <f t="shared" si="63"/>
        <v>0</v>
      </c>
    </row>
    <row r="93" spans="1:26" s="28" customFormat="1" outlineLevel="1" collapsed="1" x14ac:dyDescent="0.35">
      <c r="A93" s="27"/>
      <c r="B93" s="14" t="str">
        <f>CONCATENATE("     ","Utilities                                         ")</f>
        <v xml:space="preserve">     Utilities                                         </v>
      </c>
      <c r="C93" s="14"/>
      <c r="D93" s="1">
        <f>SUM(OSRRefD22_21x_0)</f>
        <v>6133</v>
      </c>
      <c r="E93" s="1"/>
      <c r="F93" s="5">
        <f t="shared" ref="F93:F94" si="64">IF(D$12=0,0,D93/D$12)</f>
        <v>0</v>
      </c>
      <c r="G93" s="1"/>
      <c r="H93" s="1">
        <f>SUM(OSRRefH22_21x_0)</f>
        <v>6000</v>
      </c>
      <c r="I93" s="1"/>
      <c r="J93" s="5">
        <f t="shared" ref="J93:J94" si="65">IF(H$12=0,0,H93/H$12)</f>
        <v>0</v>
      </c>
      <c r="K93" s="1"/>
      <c r="L93" s="1">
        <f t="shared" ref="L93:L94" si="66">+D93-H93</f>
        <v>133</v>
      </c>
      <c r="M93" s="1"/>
      <c r="N93" s="5">
        <f t="shared" ref="N93:N94" si="67">IF(H93=0,0,L93/H93)</f>
        <v>2.2166666666666668E-2</v>
      </c>
      <c r="O93" s="14"/>
      <c r="P93" s="1">
        <f>SUM(OSRRefP22_21x_0)</f>
        <v>42735</v>
      </c>
      <c r="Q93" s="1"/>
      <c r="R93" s="5">
        <f t="shared" ref="R93:R94" si="68">IF(P$12=0,0,P93/P$12)</f>
        <v>0</v>
      </c>
      <c r="S93" s="1"/>
      <c r="T93" s="1">
        <f>SUM(OSRRefT22_21x_0)</f>
        <v>42000</v>
      </c>
      <c r="U93" s="1"/>
      <c r="V93" s="5">
        <f t="shared" ref="V93:V94" si="69">IF(T$12=0,0,T93/T$12)</f>
        <v>0</v>
      </c>
      <c r="W93" s="1"/>
      <c r="X93" s="1">
        <f t="shared" ref="X93:X94" si="70">+P93-T93</f>
        <v>735</v>
      </c>
      <c r="Y93" s="1"/>
      <c r="Z93" s="5">
        <f t="shared" ref="Z93:Z94" si="71">IF(T93=0,0,X93/T93)</f>
        <v>1.7500000000000002E-2</v>
      </c>
    </row>
    <row r="94" spans="1:26" s="24" customFormat="1" hidden="1" outlineLevel="2" x14ac:dyDescent="0.35">
      <c r="A94" s="29"/>
      <c r="B94" s="11" t="str">
        <f>CONCATENATE("          ", "6274", " - ", "UTILITIES")</f>
        <v xml:space="preserve">          6274 - UTILITIES</v>
      </c>
      <c r="C94" s="11"/>
      <c r="D94" s="7">
        <v>6133</v>
      </c>
      <c r="E94" s="2"/>
      <c r="F94" s="6">
        <f t="shared" si="64"/>
        <v>0</v>
      </c>
      <c r="G94" s="2"/>
      <c r="H94" s="7">
        <v>6000</v>
      </c>
      <c r="I94" s="2"/>
      <c r="J94" s="6">
        <f t="shared" si="65"/>
        <v>0</v>
      </c>
      <c r="K94" s="2"/>
      <c r="L94" s="7">
        <f t="shared" si="66"/>
        <v>133</v>
      </c>
      <c r="M94" s="2"/>
      <c r="N94" s="6">
        <f t="shared" si="67"/>
        <v>2.2166666666666668E-2</v>
      </c>
      <c r="O94" s="11"/>
      <c r="P94" s="7">
        <v>42735</v>
      </c>
      <c r="Q94" s="2"/>
      <c r="R94" s="6">
        <f t="shared" si="68"/>
        <v>0</v>
      </c>
      <c r="S94" s="2"/>
      <c r="T94" s="7">
        <v>42000</v>
      </c>
      <c r="U94" s="2"/>
      <c r="V94" s="6">
        <f t="shared" si="69"/>
        <v>0</v>
      </c>
      <c r="W94" s="2"/>
      <c r="X94" s="7">
        <f t="shared" si="70"/>
        <v>735</v>
      </c>
      <c r="Y94" s="2"/>
      <c r="Z94" s="6">
        <f t="shared" si="71"/>
        <v>1.7500000000000002E-2</v>
      </c>
    </row>
    <row r="95" spans="1:26" s="55" customFormat="1" x14ac:dyDescent="0.3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collapsed="1" x14ac:dyDescent="0.35">
      <c r="A96" s="10"/>
      <c r="B96" s="25" t="s">
        <v>0</v>
      </c>
      <c r="C96" s="10"/>
      <c r="D96" s="4">
        <f>SUM(OSRRefD25x_0)</f>
        <v>2579.89</v>
      </c>
      <c r="E96" s="4"/>
      <c r="F96" s="12">
        <f t="shared" ref="F96:F98" si="72">IF(D$12=0,0,D96/D$12)</f>
        <v>0</v>
      </c>
      <c r="G96" s="4"/>
      <c r="H96" s="4">
        <f>SUM(OSRRefH25x_0)</f>
        <v>17275</v>
      </c>
      <c r="I96" s="4"/>
      <c r="J96" s="12">
        <f t="shared" ref="J96:J98" si="73">IF(H$12=0,0,H96/H$12)</f>
        <v>0</v>
      </c>
      <c r="K96" s="4"/>
      <c r="L96" s="4">
        <f t="shared" ref="L96:L98" si="74">+D96-H96</f>
        <v>-14695.11</v>
      </c>
      <c r="M96" s="4"/>
      <c r="N96" s="12">
        <f t="shared" ref="N96:N98" si="75">IF(H96=0,0,L96/H96)</f>
        <v>-0.85065759768451521</v>
      </c>
      <c r="O96" s="10"/>
      <c r="P96" s="4">
        <f>SUM(OSRRefP25x_0)</f>
        <v>126303.77</v>
      </c>
      <c r="Q96" s="4"/>
      <c r="R96" s="12">
        <f t="shared" ref="R96:R98" si="76">IF(P$12=0,0,P96/P$12)</f>
        <v>0</v>
      </c>
      <c r="S96" s="4"/>
      <c r="T96" s="4">
        <f>SUM(OSRRefT25x_0)</f>
        <v>120925</v>
      </c>
      <c r="U96" s="4"/>
      <c r="V96" s="12">
        <f t="shared" ref="V96:V98" si="77">IF(T$12=0,0,T96/T$12)</f>
        <v>0</v>
      </c>
      <c r="W96" s="4"/>
      <c r="X96" s="4">
        <f t="shared" ref="X96:X98" si="78">+P96-T96</f>
        <v>5378.7700000000041</v>
      </c>
      <c r="Y96" s="4"/>
      <c r="Z96" s="12">
        <f t="shared" ref="Z96:Z98" si="79">IF(T96=0,0,X96/T96)</f>
        <v>4.4480215009303319E-2</v>
      </c>
    </row>
    <row r="97" spans="1:26" s="24" customFormat="1" hidden="1" outlineLevel="1" x14ac:dyDescent="0.35">
      <c r="A97" s="51"/>
      <c r="B97" s="11" t="str">
        <f>CONCATENATE("          ", "9150", " - ", "MISC. INCOME")</f>
        <v xml:space="preserve">          9150 - MISC. INCOME</v>
      </c>
      <c r="C97" s="11"/>
      <c r="D97" s="2">
        <f>--2579.89</f>
        <v>2579.89</v>
      </c>
      <c r="E97" s="2"/>
      <c r="F97" s="22">
        <f t="shared" si="72"/>
        <v>0</v>
      </c>
      <c r="G97" s="2"/>
      <c r="H97" s="2">
        <v>2100</v>
      </c>
      <c r="I97" s="2"/>
      <c r="J97" s="22">
        <f t="shared" si="73"/>
        <v>0</v>
      </c>
      <c r="K97" s="2"/>
      <c r="L97" s="2">
        <f t="shared" si="74"/>
        <v>479.88999999999987</v>
      </c>
      <c r="M97" s="2"/>
      <c r="N97" s="22">
        <f t="shared" si="75"/>
        <v>0.22851904761904757</v>
      </c>
      <c r="O97" s="11"/>
      <c r="P97" s="2">
        <f>--126303.77</f>
        <v>126303.77</v>
      </c>
      <c r="Q97" s="2"/>
      <c r="R97" s="22">
        <f t="shared" si="76"/>
        <v>0</v>
      </c>
      <c r="S97" s="2"/>
      <c r="T97" s="2">
        <v>14700</v>
      </c>
      <c r="U97" s="2"/>
      <c r="V97" s="22">
        <f t="shared" si="77"/>
        <v>0</v>
      </c>
      <c r="W97" s="2"/>
      <c r="X97" s="2">
        <f t="shared" si="78"/>
        <v>111603.77</v>
      </c>
      <c r="Y97" s="2"/>
      <c r="Z97" s="22">
        <f t="shared" si="79"/>
        <v>7.5920931972789116</v>
      </c>
    </row>
    <row r="98" spans="1:26" s="24" customFormat="1" hidden="1" outlineLevel="1" x14ac:dyDescent="0.35">
      <c r="A98" s="51"/>
      <c r="B98" s="11" t="str">
        <f>CONCATENATE("          ", "9151", " - ", "MISC. INCOME")</f>
        <v xml:space="preserve">          9151 - MISC. INCOME</v>
      </c>
      <c r="C98" s="11"/>
      <c r="D98" s="2">
        <f>0</f>
        <v>0</v>
      </c>
      <c r="E98" s="2"/>
      <c r="F98" s="22">
        <f t="shared" si="72"/>
        <v>0</v>
      </c>
      <c r="G98" s="2"/>
      <c r="H98" s="2">
        <v>15175</v>
      </c>
      <c r="I98" s="2"/>
      <c r="J98" s="22">
        <f t="shared" si="73"/>
        <v>0</v>
      </c>
      <c r="K98" s="2"/>
      <c r="L98" s="2">
        <f t="shared" si="74"/>
        <v>-15175</v>
      </c>
      <c r="M98" s="2"/>
      <c r="N98" s="22">
        <f t="shared" si="75"/>
        <v>-1</v>
      </c>
      <c r="O98" s="11"/>
      <c r="P98" s="2">
        <f>0</f>
        <v>0</v>
      </c>
      <c r="Q98" s="2"/>
      <c r="R98" s="22">
        <f t="shared" si="76"/>
        <v>0</v>
      </c>
      <c r="S98" s="2"/>
      <c r="T98" s="2">
        <v>106225</v>
      </c>
      <c r="U98" s="2"/>
      <c r="V98" s="22">
        <f t="shared" si="77"/>
        <v>0</v>
      </c>
      <c r="W98" s="2"/>
      <c r="X98" s="2">
        <f t="shared" si="78"/>
        <v>-106225</v>
      </c>
      <c r="Y98" s="2"/>
      <c r="Z98" s="22">
        <f t="shared" si="79"/>
        <v>-1</v>
      </c>
    </row>
    <row r="99" spans="1:26" x14ac:dyDescent="0.3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35">
      <c r="A100" s="10"/>
      <c r="B100" s="26" t="s">
        <v>3</v>
      </c>
      <c r="C100" s="26"/>
      <c r="D100" s="19">
        <f>+D16-D18+D96</f>
        <v>-140379.47999999998</v>
      </c>
      <c r="E100" s="13"/>
      <c r="F100" s="21">
        <f>IF(D$12=0,0,D100/D$12)</f>
        <v>0</v>
      </c>
      <c r="G100" s="13"/>
      <c r="H100" s="19">
        <f>+H16-H18+H96</f>
        <v>-149701.91694575193</v>
      </c>
      <c r="I100" s="13"/>
      <c r="J100" s="21">
        <f>IF(H$12=0,0,H100/H$12)</f>
        <v>0</v>
      </c>
      <c r="K100" s="16"/>
      <c r="L100" s="19">
        <f>+D100-H100</f>
        <v>9322.4369457519497</v>
      </c>
      <c r="M100" s="16"/>
      <c r="N100" s="21">
        <f>IF(H100=0,0,L100/H100)</f>
        <v>-6.2273330468641613E-2</v>
      </c>
      <c r="O100" s="25"/>
      <c r="P100" s="19">
        <f>+P16-P18+P96</f>
        <v>-749743.74000000022</v>
      </c>
      <c r="Q100" s="13"/>
      <c r="R100" s="21">
        <f>IF(P$12=0,0,P100/P$12)</f>
        <v>0</v>
      </c>
      <c r="S100" s="13"/>
      <c r="T100" s="19">
        <f>+T16-T18+T96</f>
        <v>-964766.89996295189</v>
      </c>
      <c r="U100" s="13"/>
      <c r="V100" s="21">
        <f>IF(T$12=0,0,T100/T$12)</f>
        <v>0</v>
      </c>
      <c r="W100" s="16"/>
      <c r="X100" s="19">
        <f>+P100-T100</f>
        <v>215023.15996295167</v>
      </c>
      <c r="Y100" s="16"/>
      <c r="Z100" s="21">
        <f>IF(T100=0,0,X100/T100)</f>
        <v>-0.22287576405368881</v>
      </c>
    </row>
    <row r="101" spans="1:26" x14ac:dyDescent="0.3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35">
      <c r="A102" s="52"/>
      <c r="B102" s="10" t="s">
        <v>14</v>
      </c>
      <c r="C102" s="10"/>
      <c r="D102" s="4"/>
      <c r="E102" s="4"/>
      <c r="F102" s="12">
        <f>IF(D$12=0,0,D102/D$12)</f>
        <v>0</v>
      </c>
      <c r="G102" s="4"/>
      <c r="H102" s="4"/>
      <c r="I102" s="4"/>
      <c r="J102" s="12">
        <f>IF(H$12=0,0,H102/H$12)</f>
        <v>0</v>
      </c>
      <c r="K102" s="4"/>
      <c r="L102" s="4">
        <f>+D102-H102</f>
        <v>0</v>
      </c>
      <c r="M102" s="4"/>
      <c r="N102" s="12">
        <f>IF(H102=0,0,L102/H102)</f>
        <v>0</v>
      </c>
      <c r="O102" s="10"/>
      <c r="P102" s="4"/>
      <c r="Q102" s="4"/>
      <c r="R102" s="12">
        <f>IF(P$12=0,0,P102/P$12)</f>
        <v>0</v>
      </c>
      <c r="S102" s="4"/>
      <c r="T102" s="4"/>
      <c r="U102" s="4"/>
      <c r="V102" s="12">
        <f>IF(T$12=0,0,T102/T$12)</f>
        <v>0</v>
      </c>
      <c r="W102" s="4"/>
      <c r="X102" s="4">
        <f>+P102-T102</f>
        <v>0</v>
      </c>
      <c r="Y102" s="4"/>
      <c r="Z102" s="12">
        <f>IF(T102=0,0,X102/T102)</f>
        <v>0</v>
      </c>
    </row>
    <row r="103" spans="1:26" x14ac:dyDescent="0.3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" thickBot="1" x14ac:dyDescent="0.4">
      <c r="A104" s="10"/>
      <c r="B104" s="26" t="s">
        <v>4</v>
      </c>
      <c r="C104" s="26"/>
      <c r="D104" s="33">
        <f>+D100-D102</f>
        <v>-140379.47999999998</v>
      </c>
      <c r="E104" s="13"/>
      <c r="F104" s="31">
        <f>IF(D$12=0,0,D104/D$12)</f>
        <v>0</v>
      </c>
      <c r="G104" s="13"/>
      <c r="H104" s="33">
        <f>+H100-H102</f>
        <v>-149701.91694575193</v>
      </c>
      <c r="I104" s="13"/>
      <c r="J104" s="31">
        <f>IF(H$12=0,0,H104/H$12)</f>
        <v>0</v>
      </c>
      <c r="K104" s="16"/>
      <c r="L104" s="33">
        <f>D104-H104</f>
        <v>9322.4369457519497</v>
      </c>
      <c r="M104" s="16"/>
      <c r="N104" s="31">
        <f>IF(H104=0,0,L104/H104)</f>
        <v>-6.2273330468641613E-2</v>
      </c>
      <c r="O104" s="25"/>
      <c r="P104" s="33">
        <f>+P100-P102</f>
        <v>-749743.74000000022</v>
      </c>
      <c r="Q104" s="13"/>
      <c r="R104" s="31">
        <f>IF(P$12=0,0,P104/P$12)</f>
        <v>0</v>
      </c>
      <c r="S104" s="13"/>
      <c r="T104" s="33">
        <f>+T100-T102</f>
        <v>-964766.89996295189</v>
      </c>
      <c r="U104" s="13"/>
      <c r="V104" s="31">
        <f>IF(T$12=0,0,T104/T$12)</f>
        <v>0</v>
      </c>
      <c r="W104" s="16"/>
      <c r="X104" s="33">
        <f>P104-T104</f>
        <v>215023.15996295167</v>
      </c>
      <c r="Y104" s="16"/>
      <c r="Z104" s="31">
        <f>IF(T104=0,0,X104/T104)</f>
        <v>-0.22287576405368881</v>
      </c>
    </row>
    <row r="105" spans="1:26" ht="15" thickTop="1" x14ac:dyDescent="0.3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3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" thickBot="1" x14ac:dyDescent="0.4">
      <c r="A107" s="10"/>
      <c r="B107" s="26" t="s">
        <v>5</v>
      </c>
      <c r="C107" s="26"/>
      <c r="D107" s="34">
        <f>SUM(D104:D106)</f>
        <v>-140379.47999999998</v>
      </c>
      <c r="E107" s="13"/>
      <c r="F107" s="32">
        <f>IF(D$12=0,0,D107/D$12)</f>
        <v>0</v>
      </c>
      <c r="G107" s="13"/>
      <c r="H107" s="34">
        <f>SUM(H104:H106)</f>
        <v>-149701.91694575193</v>
      </c>
      <c r="I107" s="13"/>
      <c r="J107" s="32">
        <f>IF(H$12=0,0,H107/H$12)</f>
        <v>0</v>
      </c>
      <c r="K107" s="16"/>
      <c r="L107" s="34">
        <f>+D107-H107</f>
        <v>9322.4369457519497</v>
      </c>
      <c r="M107" s="16"/>
      <c r="N107" s="32">
        <f>IF(H107=0,0,L107/H107)</f>
        <v>-6.2273330468641613E-2</v>
      </c>
      <c r="O107" s="25"/>
      <c r="P107" s="34">
        <f>SUM(P104:P106)</f>
        <v>-749743.74000000022</v>
      </c>
      <c r="Q107" s="13"/>
      <c r="R107" s="32">
        <f>IF(P$12=0,0,P107/P$12)</f>
        <v>0</v>
      </c>
      <c r="S107" s="13"/>
      <c r="T107" s="34">
        <f>SUM(T104:T106)</f>
        <v>-964766.89996295189</v>
      </c>
      <c r="U107" s="13"/>
      <c r="V107" s="32">
        <f>IF(T$12=0,0,T107/T$12)</f>
        <v>0</v>
      </c>
      <c r="W107" s="16"/>
      <c r="X107" s="34">
        <f>+P107-T107</f>
        <v>215023.15996295167</v>
      </c>
      <c r="Y107" s="16"/>
      <c r="Z107" s="32">
        <f>IF(T107=0,0,X107/T107)</f>
        <v>-0.22287576405368881</v>
      </c>
    </row>
    <row r="108" spans="1:26" ht="15" thickTop="1" x14ac:dyDescent="0.35">
      <c r="A108" s="9"/>
      <c r="C108" s="9"/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35">
      <c r="A109" s="9"/>
      <c r="B109" s="60">
        <v>44238.490355358794</v>
      </c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35">
      <c r="A110" s="9"/>
      <c r="B110" s="59" t="s">
        <v>314</v>
      </c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35">
      <c r="A111" s="9"/>
      <c r="B111" s="58"/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35"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306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26075</v>
      </c>
      <c r="I12" s="4"/>
      <c r="J12" s="12"/>
      <c r="K12" s="4"/>
      <c r="L12" s="4">
        <f t="shared" ref="L12:L23" si="0">+D12-H12</f>
        <v>-26075</v>
      </c>
      <c r="M12" s="4"/>
      <c r="N12" s="12">
        <f t="shared" ref="N12:N23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74034</v>
      </c>
      <c r="U12" s="4"/>
      <c r="V12" s="12"/>
      <c r="W12" s="4"/>
      <c r="X12" s="4">
        <f t="shared" ref="X12:X23" si="2">+P12-T12</f>
        <v>-52722.080000000002</v>
      </c>
      <c r="Y12" s="4"/>
      <c r="Z12" s="12">
        <f t="shared" ref="Z12:Z23" si="3">IF(T12=0,0,X12/T12)</f>
        <v>-0.71213334413917928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23" si="4"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-1096.44</f>
        <v>-1096.44</v>
      </c>
      <c r="Q13" s="2"/>
      <c r="R13" s="22"/>
      <c r="S13" s="2"/>
      <c r="T13" s="2"/>
      <c r="U13" s="2"/>
      <c r="V13" s="22"/>
      <c r="W13" s="2"/>
      <c r="X13" s="2">
        <f t="shared" si="2"/>
        <v>-1096.44</v>
      </c>
      <c r="Y13" s="2"/>
      <c r="Z13" s="22">
        <f t="shared" si="3"/>
        <v>0</v>
      </c>
    </row>
    <row r="14" spans="1:26" s="24" customFormat="1" hidden="1" outlineLevel="1" x14ac:dyDescent="0.3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--17.51</f>
        <v>17.510000000000002</v>
      </c>
      <c r="Q14" s="2"/>
      <c r="R14" s="22"/>
      <c r="S14" s="2"/>
      <c r="T14" s="2"/>
      <c r="U14" s="2"/>
      <c r="V14" s="22"/>
      <c r="W14" s="2"/>
      <c r="X14" s="2">
        <f t="shared" si="2"/>
        <v>17.510000000000002</v>
      </c>
      <c r="Y14" s="2"/>
      <c r="Z14" s="22">
        <f t="shared" si="3"/>
        <v>0</v>
      </c>
    </row>
    <row r="15" spans="1:26" s="24" customFormat="1" hidden="1" outlineLevel="1" x14ac:dyDescent="0.3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22"/>
      <c r="G15" s="2"/>
      <c r="H15" s="2"/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--7990.32</f>
        <v>7990.32</v>
      </c>
      <c r="Q15" s="2"/>
      <c r="R15" s="22"/>
      <c r="S15" s="2"/>
      <c r="T15" s="2"/>
      <c r="U15" s="2"/>
      <c r="V15" s="22"/>
      <c r="W15" s="2"/>
      <c r="X15" s="2">
        <f t="shared" si="2"/>
        <v>7990.32</v>
      </c>
      <c r="Y15" s="2"/>
      <c r="Z15" s="22">
        <f t="shared" si="3"/>
        <v>0</v>
      </c>
    </row>
    <row r="16" spans="1:26" s="24" customFormat="1" hidden="1" outlineLevel="1" x14ac:dyDescent="0.3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--12479.05</f>
        <v>12479.05</v>
      </c>
      <c r="Q16" s="2"/>
      <c r="R16" s="22"/>
      <c r="S16" s="2"/>
      <c r="T16" s="2"/>
      <c r="U16" s="2"/>
      <c r="V16" s="22"/>
      <c r="W16" s="2"/>
      <c r="X16" s="2">
        <f t="shared" si="2"/>
        <v>12479.05</v>
      </c>
      <c r="Y16" s="2"/>
      <c r="Z16" s="22">
        <f t="shared" si="3"/>
        <v>0</v>
      </c>
    </row>
    <row r="17" spans="1:26" s="24" customFormat="1" hidden="1" outlineLevel="1" x14ac:dyDescent="0.3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--374.55</f>
        <v>374.55</v>
      </c>
      <c r="Q17" s="2"/>
      <c r="R17" s="22"/>
      <c r="S17" s="2"/>
      <c r="T17" s="2"/>
      <c r="U17" s="2"/>
      <c r="V17" s="22"/>
      <c r="W17" s="2"/>
      <c r="X17" s="2">
        <f t="shared" si="2"/>
        <v>374.55</v>
      </c>
      <c r="Y17" s="2"/>
      <c r="Z17" s="22">
        <f t="shared" si="3"/>
        <v>0</v>
      </c>
    </row>
    <row r="18" spans="1:26" s="24" customFormat="1" hidden="1" outlineLevel="1" x14ac:dyDescent="0.35">
      <c r="A18" s="51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4"/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--71.95</f>
        <v>71.95</v>
      </c>
      <c r="Q18" s="2"/>
      <c r="R18" s="22"/>
      <c r="S18" s="2"/>
      <c r="T18" s="2"/>
      <c r="U18" s="2"/>
      <c r="V18" s="22"/>
      <c r="W18" s="2"/>
      <c r="X18" s="2">
        <f t="shared" si="2"/>
        <v>71.95</v>
      </c>
      <c r="Y18" s="2"/>
      <c r="Z18" s="22">
        <f t="shared" si="3"/>
        <v>0</v>
      </c>
    </row>
    <row r="19" spans="1:26" s="24" customFormat="1" hidden="1" outlineLevel="1" x14ac:dyDescent="0.35">
      <c r="A19" s="51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4"/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--9.99</f>
        <v>9.99</v>
      </c>
      <c r="Q19" s="2"/>
      <c r="R19" s="22"/>
      <c r="S19" s="2"/>
      <c r="T19" s="2"/>
      <c r="U19" s="2"/>
      <c r="V19" s="22"/>
      <c r="W19" s="2"/>
      <c r="X19" s="2">
        <f t="shared" si="2"/>
        <v>9.99</v>
      </c>
      <c r="Y19" s="2"/>
      <c r="Z19" s="22">
        <f t="shared" si="3"/>
        <v>0</v>
      </c>
    </row>
    <row r="20" spans="1:26" s="24" customFormat="1" hidden="1" outlineLevel="1" x14ac:dyDescent="0.35">
      <c r="A20" s="51"/>
      <c r="B20" s="11" t="str">
        <f>CONCATENATE("          ", "4100", " - ", "NON-TAXABLE SALES")</f>
        <v xml:space="preserve">          4100 - NON-TAXABLE SALES</v>
      </c>
      <c r="C20" s="11"/>
      <c r="D20" s="2">
        <f t="shared" si="4"/>
        <v>0</v>
      </c>
      <c r="E20" s="2"/>
      <c r="F20" s="22"/>
      <c r="G20" s="2"/>
      <c r="H20" s="2">
        <v>26075</v>
      </c>
      <c r="I20" s="2"/>
      <c r="J20" s="22"/>
      <c r="K20" s="2"/>
      <c r="L20" s="2">
        <f t="shared" si="0"/>
        <v>-26075</v>
      </c>
      <c r="M20" s="2"/>
      <c r="N20" s="22">
        <f t="shared" si="1"/>
        <v>-1</v>
      </c>
      <c r="O20" s="11"/>
      <c r="P20" s="2">
        <f>0</f>
        <v>0</v>
      </c>
      <c r="Q20" s="2"/>
      <c r="R20" s="22"/>
      <c r="S20" s="2"/>
      <c r="T20" s="2">
        <v>74034</v>
      </c>
      <c r="U20" s="2"/>
      <c r="V20" s="22"/>
      <c r="W20" s="2"/>
      <c r="X20" s="2">
        <f t="shared" si="2"/>
        <v>-74034</v>
      </c>
      <c r="Y20" s="2"/>
      <c r="Z20" s="22">
        <f t="shared" si="3"/>
        <v>-1</v>
      </c>
    </row>
    <row r="21" spans="1:26" s="24" customFormat="1" hidden="1" outlineLevel="1" x14ac:dyDescent="0.35">
      <c r="A21" s="51"/>
      <c r="B21" s="11" t="str">
        <f>CONCATENATE("          ", "4131", " - ", "NON-TAXABLE SALES-FOOD")</f>
        <v xml:space="preserve">          4131 - NON-TAXABLE SALES-FOOD</v>
      </c>
      <c r="C21" s="11"/>
      <c r="D21" s="2">
        <f t="shared" si="4"/>
        <v>0</v>
      </c>
      <c r="E21" s="2"/>
      <c r="F21" s="22"/>
      <c r="G21" s="2"/>
      <c r="H21" s="2"/>
      <c r="I21" s="2"/>
      <c r="J21" s="22"/>
      <c r="K21" s="2"/>
      <c r="L21" s="2">
        <f t="shared" si="0"/>
        <v>0</v>
      </c>
      <c r="M21" s="2"/>
      <c r="N21" s="22">
        <f t="shared" si="1"/>
        <v>0</v>
      </c>
      <c r="O21" s="11"/>
      <c r="P21" s="2">
        <f>--1847.16</f>
        <v>1847.16</v>
      </c>
      <c r="Q21" s="2"/>
      <c r="R21" s="22"/>
      <c r="S21" s="2"/>
      <c r="T21" s="2"/>
      <c r="U21" s="2"/>
      <c r="V21" s="22"/>
      <c r="W21" s="2"/>
      <c r="X21" s="2">
        <f t="shared" si="2"/>
        <v>1847.16</v>
      </c>
      <c r="Y21" s="2"/>
      <c r="Z21" s="22">
        <f t="shared" si="3"/>
        <v>0</v>
      </c>
    </row>
    <row r="22" spans="1:26" s="24" customFormat="1" hidden="1" outlineLevel="1" x14ac:dyDescent="0.35">
      <c r="A22" s="51"/>
      <c r="B22" s="11" t="str">
        <f>CONCATENATE("          ", "4227", " - ", "SALES RETURN TAXABLE-SCHOOL SU")</f>
        <v xml:space="preserve">          4227 - SALES RETURN TAXABLE-SCHOOL SU</v>
      </c>
      <c r="C22" s="11"/>
      <c r="D22" s="2">
        <f t="shared" si="4"/>
        <v>0</v>
      </c>
      <c r="E22" s="2"/>
      <c r="F22" s="22"/>
      <c r="G22" s="2"/>
      <c r="H22" s="2"/>
      <c r="I22" s="2"/>
      <c r="J22" s="22"/>
      <c r="K22" s="2"/>
      <c r="L22" s="2">
        <f t="shared" si="0"/>
        <v>0</v>
      </c>
      <c r="M22" s="2"/>
      <c r="N22" s="22">
        <f t="shared" si="1"/>
        <v>0</v>
      </c>
      <c r="O22" s="11"/>
      <c r="P22" s="2">
        <f>-159.97</f>
        <v>-159.97</v>
      </c>
      <c r="Q22" s="2"/>
      <c r="R22" s="22"/>
      <c r="S22" s="2"/>
      <c r="T22" s="2"/>
      <c r="U22" s="2"/>
      <c r="V22" s="22"/>
      <c r="W22" s="2"/>
      <c r="X22" s="2">
        <f t="shared" si="2"/>
        <v>-159.97</v>
      </c>
      <c r="Y22" s="2"/>
      <c r="Z22" s="22">
        <f t="shared" si="3"/>
        <v>0</v>
      </c>
    </row>
    <row r="23" spans="1:26" s="24" customFormat="1" hidden="1" outlineLevel="1" x14ac:dyDescent="0.35">
      <c r="A23" s="51"/>
      <c r="B23" s="11" t="str">
        <f>CONCATENATE("          ", "4228", " - ", "SALES RETURN TAXABLE-ART/TECH")</f>
        <v xml:space="preserve">          4228 - SALES RETURN TAXABLE-ART/TECH</v>
      </c>
      <c r="C23" s="11"/>
      <c r="D23" s="2">
        <f t="shared" si="4"/>
        <v>0</v>
      </c>
      <c r="E23" s="2"/>
      <c r="F23" s="22"/>
      <c r="G23" s="2"/>
      <c r="H23" s="2"/>
      <c r="I23" s="2"/>
      <c r="J23" s="22"/>
      <c r="K23" s="2"/>
      <c r="L23" s="2">
        <f t="shared" si="0"/>
        <v>0</v>
      </c>
      <c r="M23" s="2"/>
      <c r="N23" s="22">
        <f t="shared" si="1"/>
        <v>0</v>
      </c>
      <c r="O23" s="11"/>
      <c r="P23" s="2">
        <f>-222.2</f>
        <v>-222.2</v>
      </c>
      <c r="Q23" s="2"/>
      <c r="R23" s="22"/>
      <c r="S23" s="2"/>
      <c r="T23" s="2"/>
      <c r="U23" s="2"/>
      <c r="V23" s="22"/>
      <c r="W23" s="2"/>
      <c r="X23" s="2">
        <f t="shared" si="2"/>
        <v>-222.2</v>
      </c>
      <c r="Y23" s="2"/>
      <c r="Z23" s="22">
        <f t="shared" si="3"/>
        <v>0</v>
      </c>
    </row>
    <row r="24" spans="1:26" x14ac:dyDescent="0.3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35">
      <c r="A25" s="10"/>
      <c r="B25" s="25" t="s">
        <v>8</v>
      </c>
      <c r="C25" s="10"/>
      <c r="D25" s="4">
        <f>SUM(OSRRefD16x_0)</f>
        <v>18.52</v>
      </c>
      <c r="E25" s="4"/>
      <c r="F25" s="12">
        <f t="shared" ref="F25:F33" si="5">IF(D$12=0,0,D25/D$12)</f>
        <v>0</v>
      </c>
      <c r="G25" s="4"/>
      <c r="H25" s="4">
        <f>SUM(OSRRefH16x_0)</f>
        <v>13247</v>
      </c>
      <c r="I25" s="4"/>
      <c r="J25" s="12">
        <f t="shared" ref="J25:J33" si="6">IF(H$12=0,0,H25/H$12)</f>
        <v>0.50803451581975068</v>
      </c>
      <c r="K25" s="4"/>
      <c r="L25" s="4">
        <f t="shared" ref="L25:L33" si="7">+D25-H25</f>
        <v>-13228.48</v>
      </c>
      <c r="M25" s="4"/>
      <c r="N25" s="12">
        <f t="shared" ref="N25:N33" si="8">IF(H25=0,0,L25/H25)</f>
        <v>-0.99860194761077981</v>
      </c>
      <c r="O25" s="10"/>
      <c r="P25" s="4">
        <f>SUM(OSRRefP16x_0)</f>
        <v>13730.259999999995</v>
      </c>
      <c r="Q25" s="4"/>
      <c r="R25" s="12">
        <f t="shared" ref="R25:R33" si="9">IF(P$12=0,0,P25/P$12)</f>
        <v>0.64425260605332579</v>
      </c>
      <c r="S25" s="4"/>
      <c r="T25" s="4">
        <f>SUM(OSRRefT16x_0)</f>
        <v>37892</v>
      </c>
      <c r="U25" s="4"/>
      <c r="V25" s="12">
        <f t="shared" ref="V25:V33" si="10">IF(T$12=0,0,T25/T$12)</f>
        <v>0.51181889402166569</v>
      </c>
      <c r="W25" s="4"/>
      <c r="X25" s="4">
        <f t="shared" ref="X25:X33" si="11">+P25-T25</f>
        <v>-24161.740000000005</v>
      </c>
      <c r="Y25" s="4"/>
      <c r="Z25" s="12">
        <f t="shared" ref="Z25:Z33" si="12">IF(T25=0,0,X25/T25)</f>
        <v>-0.63764752454343943</v>
      </c>
    </row>
    <row r="26" spans="1:26" s="24" customFormat="1" hidden="1" outlineLevel="1" x14ac:dyDescent="0.35">
      <c r="A26" s="51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22">
        <f t="shared" si="5"/>
        <v>0</v>
      </c>
      <c r="G26" s="2"/>
      <c r="H26" s="2">
        <v>13247</v>
      </c>
      <c r="I26" s="2"/>
      <c r="J26" s="22">
        <f t="shared" si="6"/>
        <v>0.50803451581975068</v>
      </c>
      <c r="K26" s="2"/>
      <c r="L26" s="2">
        <f t="shared" si="7"/>
        <v>-13247</v>
      </c>
      <c r="M26" s="2"/>
      <c r="N26" s="22">
        <f t="shared" si="8"/>
        <v>-1</v>
      </c>
      <c r="O26" s="11"/>
      <c r="P26" s="2"/>
      <c r="Q26" s="2"/>
      <c r="R26" s="22">
        <f t="shared" si="9"/>
        <v>0</v>
      </c>
      <c r="S26" s="2"/>
      <c r="T26" s="2">
        <v>37892</v>
      </c>
      <c r="U26" s="2"/>
      <c r="V26" s="22">
        <f t="shared" si="10"/>
        <v>0.51181889402166569</v>
      </c>
      <c r="W26" s="2"/>
      <c r="X26" s="2">
        <f t="shared" si="11"/>
        <v>-37892</v>
      </c>
      <c r="Y26" s="2"/>
      <c r="Z26" s="22">
        <f t="shared" si="12"/>
        <v>-1</v>
      </c>
    </row>
    <row r="27" spans="1:26" s="24" customFormat="1" hidden="1" outlineLevel="1" x14ac:dyDescent="0.35">
      <c r="A27" s="51"/>
      <c r="B27" s="11" t="str">
        <f>CONCATENATE("          ", "5026", " - ", "PURCHASES @ COST-WRITING INSTR")</f>
        <v xml:space="preserve">          5026 - PURCHASES @ COST-WRITING INSTR</v>
      </c>
      <c r="C27" s="11"/>
      <c r="D27" s="2"/>
      <c r="E27" s="2"/>
      <c r="F27" s="22">
        <f t="shared" si="5"/>
        <v>0</v>
      </c>
      <c r="G27" s="2"/>
      <c r="H27" s="2"/>
      <c r="I27" s="2"/>
      <c r="J27" s="22">
        <f t="shared" si="6"/>
        <v>0</v>
      </c>
      <c r="K27" s="2"/>
      <c r="L27" s="2">
        <f t="shared" si="7"/>
        <v>0</v>
      </c>
      <c r="M27" s="2"/>
      <c r="N27" s="22">
        <f t="shared" si="8"/>
        <v>0</v>
      </c>
      <c r="O27" s="11"/>
      <c r="P27" s="2">
        <v>364.91</v>
      </c>
      <c r="Q27" s="2"/>
      <c r="R27" s="22">
        <f t="shared" si="9"/>
        <v>1.7122342801587094E-2</v>
      </c>
      <c r="S27" s="2"/>
      <c r="T27" s="2"/>
      <c r="U27" s="2"/>
      <c r="V27" s="22">
        <f t="shared" si="10"/>
        <v>0</v>
      </c>
      <c r="W27" s="2"/>
      <c r="X27" s="2">
        <f t="shared" si="11"/>
        <v>364.91</v>
      </c>
      <c r="Y27" s="2"/>
      <c r="Z27" s="22">
        <f t="shared" si="12"/>
        <v>0</v>
      </c>
    </row>
    <row r="28" spans="1:26" s="24" customFormat="1" hidden="1" outlineLevel="1" x14ac:dyDescent="0.35">
      <c r="A28" s="51"/>
      <c r="B28" s="11" t="str">
        <f>CONCATENATE("          ", "5027", " - ", "PURCHASES @ COST-SCHOOL SUPPLI")</f>
        <v xml:space="preserve">          5027 - PURCHASES @ COST-SCHOOL SUPPLI</v>
      </c>
      <c r="C28" s="11"/>
      <c r="D28" s="2"/>
      <c r="E28" s="2"/>
      <c r="F28" s="22">
        <f t="shared" si="5"/>
        <v>0</v>
      </c>
      <c r="G28" s="2"/>
      <c r="H28" s="2"/>
      <c r="I28" s="2"/>
      <c r="J28" s="22">
        <f t="shared" si="6"/>
        <v>0</v>
      </c>
      <c r="K28" s="2"/>
      <c r="L28" s="2">
        <f t="shared" si="7"/>
        <v>0</v>
      </c>
      <c r="M28" s="2"/>
      <c r="N28" s="22">
        <f t="shared" si="8"/>
        <v>0</v>
      </c>
      <c r="O28" s="11"/>
      <c r="P28" s="2">
        <v>895.47</v>
      </c>
      <c r="Q28" s="2"/>
      <c r="R28" s="22">
        <f t="shared" si="9"/>
        <v>4.201733114613794E-2</v>
      </c>
      <c r="S28" s="2"/>
      <c r="T28" s="2"/>
      <c r="U28" s="2"/>
      <c r="V28" s="22">
        <f t="shared" si="10"/>
        <v>0</v>
      </c>
      <c r="W28" s="2"/>
      <c r="X28" s="2">
        <f t="shared" si="11"/>
        <v>895.47</v>
      </c>
      <c r="Y28" s="2"/>
      <c r="Z28" s="22">
        <f t="shared" si="12"/>
        <v>0</v>
      </c>
    </row>
    <row r="29" spans="1:26" s="24" customFormat="1" hidden="1" outlineLevel="1" x14ac:dyDescent="0.35">
      <c r="A29" s="51"/>
      <c r="B29" s="11" t="str">
        <f>CONCATENATE("          ", "5028", " - ", "PURCHASES @ COST-ART/TECH")</f>
        <v xml:space="preserve">          5028 - PURCHASES @ COST-ART/TECH</v>
      </c>
      <c r="C29" s="11"/>
      <c r="D29" s="2"/>
      <c r="E29" s="2"/>
      <c r="F29" s="22">
        <f t="shared" si="5"/>
        <v>0</v>
      </c>
      <c r="G29" s="2"/>
      <c r="H29" s="2"/>
      <c r="I29" s="2"/>
      <c r="J29" s="22">
        <f t="shared" si="6"/>
        <v>0</v>
      </c>
      <c r="K29" s="2"/>
      <c r="L29" s="2">
        <f t="shared" si="7"/>
        <v>0</v>
      </c>
      <c r="M29" s="2"/>
      <c r="N29" s="22">
        <f t="shared" si="8"/>
        <v>0</v>
      </c>
      <c r="O29" s="11"/>
      <c r="P29" s="2">
        <v>41441.85</v>
      </c>
      <c r="Q29" s="2"/>
      <c r="R29" s="22">
        <f t="shared" si="9"/>
        <v>1.9445385493188789</v>
      </c>
      <c r="S29" s="2"/>
      <c r="T29" s="2"/>
      <c r="U29" s="2"/>
      <c r="V29" s="22">
        <f t="shared" si="10"/>
        <v>0</v>
      </c>
      <c r="W29" s="2"/>
      <c r="X29" s="2">
        <f t="shared" si="11"/>
        <v>41441.85</v>
      </c>
      <c r="Y29" s="2"/>
      <c r="Z29" s="22">
        <f t="shared" si="12"/>
        <v>0</v>
      </c>
    </row>
    <row r="30" spans="1:26" s="24" customFormat="1" hidden="1" outlineLevel="1" x14ac:dyDescent="0.35">
      <c r="A30" s="51"/>
      <c r="B30" s="11" t="str">
        <f>CONCATENATE("          ", "5031", " - ", "PURCHASES @ COST-FOOD")</f>
        <v xml:space="preserve">          5031 - PURCHASES @ COST-FOOD</v>
      </c>
      <c r="C30" s="11"/>
      <c r="D30" s="2"/>
      <c r="E30" s="2"/>
      <c r="F30" s="22">
        <f t="shared" si="5"/>
        <v>0</v>
      </c>
      <c r="G30" s="2"/>
      <c r="H30" s="2"/>
      <c r="I30" s="2"/>
      <c r="J30" s="22">
        <f t="shared" si="6"/>
        <v>0</v>
      </c>
      <c r="K30" s="2"/>
      <c r="L30" s="2">
        <f t="shared" si="7"/>
        <v>0</v>
      </c>
      <c r="M30" s="2"/>
      <c r="N30" s="22">
        <f t="shared" si="8"/>
        <v>0</v>
      </c>
      <c r="O30" s="11"/>
      <c r="P30" s="2">
        <v>2441.5700000000002</v>
      </c>
      <c r="Q30" s="2"/>
      <c r="R30" s="22">
        <f t="shared" si="9"/>
        <v>0.11456358695040149</v>
      </c>
      <c r="S30" s="2"/>
      <c r="T30" s="2"/>
      <c r="U30" s="2"/>
      <c r="V30" s="22">
        <f t="shared" si="10"/>
        <v>0</v>
      </c>
      <c r="W30" s="2"/>
      <c r="X30" s="2">
        <f t="shared" si="11"/>
        <v>2441.5700000000002</v>
      </c>
      <c r="Y30" s="2"/>
      <c r="Z30" s="22">
        <f t="shared" si="12"/>
        <v>0</v>
      </c>
    </row>
    <row r="31" spans="1:26" s="24" customFormat="1" hidden="1" outlineLevel="1" x14ac:dyDescent="0.35">
      <c r="A31" s="51"/>
      <c r="B31" s="11" t="str">
        <f>CONCATENATE("          ", "5200", " - ", "PURCHASES OFFSET")</f>
        <v xml:space="preserve">          5200 - PURCHASES OFFSET</v>
      </c>
      <c r="C31" s="11"/>
      <c r="D31" s="2"/>
      <c r="E31" s="2"/>
      <c r="F31" s="22">
        <f t="shared" si="5"/>
        <v>0</v>
      </c>
      <c r="G31" s="2"/>
      <c r="H31" s="2"/>
      <c r="I31" s="2"/>
      <c r="J31" s="22">
        <f t="shared" si="6"/>
        <v>0</v>
      </c>
      <c r="K31" s="2"/>
      <c r="L31" s="2">
        <f t="shared" si="7"/>
        <v>0</v>
      </c>
      <c r="M31" s="2"/>
      <c r="N31" s="22">
        <f t="shared" si="8"/>
        <v>0</v>
      </c>
      <c r="O31" s="11"/>
      <c r="P31" s="2">
        <v>-45863.33</v>
      </c>
      <c r="Q31" s="2"/>
      <c r="R31" s="22">
        <f t="shared" si="9"/>
        <v>-2.1520036674311842</v>
      </c>
      <c r="S31" s="2"/>
      <c r="T31" s="2"/>
      <c r="U31" s="2"/>
      <c r="V31" s="22">
        <f t="shared" si="10"/>
        <v>0</v>
      </c>
      <c r="W31" s="2"/>
      <c r="X31" s="2">
        <f t="shared" si="11"/>
        <v>-45863.33</v>
      </c>
      <c r="Y31" s="2"/>
      <c r="Z31" s="22">
        <f t="shared" si="12"/>
        <v>0</v>
      </c>
    </row>
    <row r="32" spans="1:26" s="24" customFormat="1" hidden="1" outlineLevel="1" x14ac:dyDescent="0.35">
      <c r="A32" s="51"/>
      <c r="B32" s="11" t="str">
        <f>CONCATENATE("          ", "5300", " - ", "COG$ OFFSET")</f>
        <v xml:space="preserve">          5300 - COG$ OFFSET</v>
      </c>
      <c r="C32" s="11"/>
      <c r="D32" s="2"/>
      <c r="E32" s="2"/>
      <c r="F32" s="22">
        <f t="shared" si="5"/>
        <v>0</v>
      </c>
      <c r="G32" s="2"/>
      <c r="H32" s="2"/>
      <c r="I32" s="2"/>
      <c r="J32" s="22">
        <f t="shared" si="6"/>
        <v>0</v>
      </c>
      <c r="K32" s="2"/>
      <c r="L32" s="2">
        <f t="shared" si="7"/>
        <v>0</v>
      </c>
      <c r="M32" s="2"/>
      <c r="N32" s="22">
        <f t="shared" si="8"/>
        <v>0</v>
      </c>
      <c r="O32" s="11"/>
      <c r="P32" s="2">
        <v>14145</v>
      </c>
      <c r="Q32" s="2"/>
      <c r="R32" s="22">
        <f t="shared" si="9"/>
        <v>0.66371307700103988</v>
      </c>
      <c r="S32" s="2"/>
      <c r="T32" s="2"/>
      <c r="U32" s="2"/>
      <c r="V32" s="22">
        <f t="shared" si="10"/>
        <v>0</v>
      </c>
      <c r="W32" s="2"/>
      <c r="X32" s="2">
        <f t="shared" si="11"/>
        <v>14145</v>
      </c>
      <c r="Y32" s="2"/>
      <c r="Z32" s="22">
        <f t="shared" si="12"/>
        <v>0</v>
      </c>
    </row>
    <row r="33" spans="1:26" s="24" customFormat="1" hidden="1" outlineLevel="1" x14ac:dyDescent="0.35">
      <c r="A33" s="51"/>
      <c r="B33" s="11" t="str">
        <f>CONCATENATE("          ", "5528", " - ", "FREIGHT-IN-ART/TECH")</f>
        <v xml:space="preserve">          5528 - FREIGHT-IN-ART/TECH</v>
      </c>
      <c r="C33" s="11"/>
      <c r="D33" s="2">
        <v>18.52</v>
      </c>
      <c r="E33" s="2"/>
      <c r="F33" s="22">
        <f t="shared" si="5"/>
        <v>0</v>
      </c>
      <c r="G33" s="2"/>
      <c r="H33" s="2"/>
      <c r="I33" s="2"/>
      <c r="J33" s="22">
        <f t="shared" si="6"/>
        <v>0</v>
      </c>
      <c r="K33" s="2"/>
      <c r="L33" s="2">
        <f t="shared" si="7"/>
        <v>18.52</v>
      </c>
      <c r="M33" s="2"/>
      <c r="N33" s="22">
        <f t="shared" si="8"/>
        <v>0</v>
      </c>
      <c r="O33" s="11"/>
      <c r="P33" s="2">
        <v>304.79000000000002</v>
      </c>
      <c r="Q33" s="2"/>
      <c r="R33" s="22">
        <f t="shared" si="9"/>
        <v>1.4301386266464966E-2</v>
      </c>
      <c r="S33" s="2"/>
      <c r="T33" s="2"/>
      <c r="U33" s="2"/>
      <c r="V33" s="22">
        <f t="shared" si="10"/>
        <v>0</v>
      </c>
      <c r="W33" s="2"/>
      <c r="X33" s="2">
        <f t="shared" si="11"/>
        <v>304.79000000000002</v>
      </c>
      <c r="Y33" s="2"/>
      <c r="Z33" s="22">
        <f t="shared" si="12"/>
        <v>0</v>
      </c>
    </row>
    <row r="34" spans="1:26" x14ac:dyDescent="0.3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35">
      <c r="A35" s="10"/>
      <c r="B35" s="26" t="s">
        <v>6</v>
      </c>
      <c r="C35" s="26"/>
      <c r="D35" s="19">
        <f>D12-D25</f>
        <v>-18.52</v>
      </c>
      <c r="E35" s="13"/>
      <c r="F35" s="21">
        <f>IF(D$12=0,0,D35/D$12)</f>
        <v>0</v>
      </c>
      <c r="G35" s="13"/>
      <c r="H35" s="19">
        <f>H12-H25</f>
        <v>12828</v>
      </c>
      <c r="I35" s="13"/>
      <c r="J35" s="21">
        <f>IF(H$12=0,0,H35/H$12)</f>
        <v>0.49196548418024927</v>
      </c>
      <c r="K35" s="16"/>
      <c r="L35" s="19">
        <f>+D35-H35</f>
        <v>-12846.52</v>
      </c>
      <c r="M35" s="16"/>
      <c r="N35" s="21">
        <f>IF(H35=0,0,L35/H35)</f>
        <v>-1.0014437168693484</v>
      </c>
      <c r="O35" s="25"/>
      <c r="P35" s="19">
        <f>P12-P25</f>
        <v>7581.6600000000035</v>
      </c>
      <c r="Q35" s="13"/>
      <c r="R35" s="21">
        <f>IF(P$12=0,0,P35/P$12)</f>
        <v>0.35574739394667415</v>
      </c>
      <c r="S35" s="13"/>
      <c r="T35" s="19">
        <f>T12-T25</f>
        <v>36142</v>
      </c>
      <c r="U35" s="13"/>
      <c r="V35" s="21">
        <f>IF(T$12=0,0,T35/T$12)</f>
        <v>0.48818110597833431</v>
      </c>
      <c r="W35" s="16"/>
      <c r="X35" s="19">
        <f>+P35-T35</f>
        <v>-28560.339999999997</v>
      </c>
      <c r="Y35" s="16"/>
      <c r="Z35" s="21">
        <f>IF(T35=0,0,X35/T35)</f>
        <v>-0.79022577610536204</v>
      </c>
    </row>
    <row r="36" spans="1:26" x14ac:dyDescent="0.35">
      <c r="A36" s="9"/>
      <c r="B36" s="10"/>
      <c r="C36" s="9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6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35">
      <c r="A37" s="10"/>
      <c r="B37" s="25" t="s">
        <v>9</v>
      </c>
      <c r="C37" s="10"/>
      <c r="D37" s="20">
        <f>SUM(OSRRefD22x_0)</f>
        <v>53</v>
      </c>
      <c r="E37" s="20"/>
      <c r="F37" s="30">
        <f t="shared" ref="F37:F46" si="13">IF(D$12=0,0,D37/D$12)</f>
        <v>0</v>
      </c>
      <c r="G37" s="20"/>
      <c r="H37" s="20">
        <f>SUM(OSRRefH22x_0)</f>
        <v>18641.610930000003</v>
      </c>
      <c r="I37" s="20"/>
      <c r="J37" s="30">
        <f t="shared" ref="J37:J46" si="14">IF(H$12=0,0,H37/H$12)</f>
        <v>0.71492275858101639</v>
      </c>
      <c r="K37" s="4"/>
      <c r="L37" s="20">
        <f t="shared" ref="L37:L46" si="15">+D37-H37</f>
        <v>-18588.610930000003</v>
      </c>
      <c r="M37" s="4"/>
      <c r="N37" s="30">
        <f t="shared" ref="N37:N46" si="16">IF(H37=0,0,L37/H37)</f>
        <v>-0.99715689807071839</v>
      </c>
      <c r="O37" s="10"/>
      <c r="P37" s="20">
        <f>SUM(OSRRefP22x_0)</f>
        <v>12480.749999999996</v>
      </c>
      <c r="Q37" s="20"/>
      <c r="R37" s="30">
        <f t="shared" ref="R37:R46" si="17">IF(P$12=0,0,P37/P$12)</f>
        <v>0.58562297531146879</v>
      </c>
      <c r="S37" s="20"/>
      <c r="T37" s="20">
        <f>SUM(OSRRefT22x_0)</f>
        <v>78451.992073999994</v>
      </c>
      <c r="U37" s="20"/>
      <c r="V37" s="30">
        <f t="shared" ref="V37:V46" si="18">IF(T$12=0,0,T37/T$12)</f>
        <v>1.0596751772699029</v>
      </c>
      <c r="W37" s="4"/>
      <c r="X37" s="20">
        <f t="shared" ref="X37:X46" si="19">+P37-T37</f>
        <v>-65971.242073999994</v>
      </c>
      <c r="Y37" s="4"/>
      <c r="Z37" s="30">
        <f t="shared" ref="Z37:Z46" si="20">IF(T37=0,0,X37/T37)</f>
        <v>-0.84091226149837583</v>
      </c>
    </row>
    <row r="38" spans="1:26" s="28" customFormat="1" outlineLevel="1" collapsed="1" x14ac:dyDescent="0.35">
      <c r="A38" s="27"/>
      <c r="B38" s="14" t="str">
        <f>CONCATENATE("     ","*Benefits                                         ")</f>
        <v xml:space="preserve">     *Benefits                                         </v>
      </c>
      <c r="C38" s="14"/>
      <c r="D38" s="1">
        <f>SUM(OSRRefD22_0x_0)</f>
        <v>0</v>
      </c>
      <c r="E38" s="1"/>
      <c r="F38" s="5">
        <f t="shared" si="13"/>
        <v>0</v>
      </c>
      <c r="G38" s="1"/>
      <c r="H38" s="1">
        <f>SUM(OSRRefH22_0x_0)</f>
        <v>2456.8009300000003</v>
      </c>
      <c r="I38" s="1"/>
      <c r="J38" s="5">
        <f t="shared" si="14"/>
        <v>9.4220553403643353E-2</v>
      </c>
      <c r="K38" s="1"/>
      <c r="L38" s="1">
        <f t="shared" si="15"/>
        <v>-2456.8009300000003</v>
      </c>
      <c r="M38" s="1"/>
      <c r="N38" s="5">
        <f t="shared" si="16"/>
        <v>-1</v>
      </c>
      <c r="O38" s="14"/>
      <c r="P38" s="1">
        <f>SUM(OSRRefP22_0x_0)</f>
        <v>778.2</v>
      </c>
      <c r="Q38" s="1"/>
      <c r="R38" s="5">
        <f t="shared" si="17"/>
        <v>3.6514776707119778E-2</v>
      </c>
      <c r="S38" s="1"/>
      <c r="T38" s="1">
        <f>SUM(OSRRefT22_0x_0)</f>
        <v>13644.212073999999</v>
      </c>
      <c r="U38" s="1"/>
      <c r="V38" s="5">
        <f t="shared" si="18"/>
        <v>0.18429656744198611</v>
      </c>
      <c r="W38" s="1"/>
      <c r="X38" s="1">
        <f t="shared" si="19"/>
        <v>-12866.012073999998</v>
      </c>
      <c r="Y38" s="1"/>
      <c r="Z38" s="5">
        <f t="shared" si="20"/>
        <v>-0.94296482671337867</v>
      </c>
    </row>
    <row r="39" spans="1:26" s="24" customFormat="1" hidden="1" outlineLevel="2" x14ac:dyDescent="0.35">
      <c r="A39" s="29"/>
      <c r="B39" s="11" t="str">
        <f>CONCATENATE("          ", "6111", " - ", "F.I.C.A.")</f>
        <v xml:space="preserve">          6111 - F.I.C.A.</v>
      </c>
      <c r="C39" s="11"/>
      <c r="D39" s="7"/>
      <c r="E39" s="2"/>
      <c r="F39" s="6">
        <f t="shared" si="13"/>
        <v>0</v>
      </c>
      <c r="G39" s="2"/>
      <c r="H39" s="7">
        <v>598.18143899999995</v>
      </c>
      <c r="I39" s="2"/>
      <c r="J39" s="6">
        <f t="shared" si="14"/>
        <v>2.2940803029721953E-2</v>
      </c>
      <c r="K39" s="2"/>
      <c r="L39" s="7">
        <f t="shared" si="15"/>
        <v>-598.18143899999995</v>
      </c>
      <c r="M39" s="2"/>
      <c r="N39" s="6">
        <f t="shared" si="16"/>
        <v>-1</v>
      </c>
      <c r="O39" s="11"/>
      <c r="P39" s="7">
        <v>484.61</v>
      </c>
      <c r="Q39" s="2"/>
      <c r="R39" s="6">
        <f t="shared" si="17"/>
        <v>2.2738917938881154E-2</v>
      </c>
      <c r="S39" s="2"/>
      <c r="T39" s="7">
        <v>2963.7926160000002</v>
      </c>
      <c r="U39" s="2"/>
      <c r="V39" s="6">
        <f t="shared" si="18"/>
        <v>4.0032858092227896E-2</v>
      </c>
      <c r="W39" s="2"/>
      <c r="X39" s="7">
        <f t="shared" si="19"/>
        <v>-2479.1826160000001</v>
      </c>
      <c r="Y39" s="2"/>
      <c r="Z39" s="6">
        <f t="shared" si="20"/>
        <v>-0.83648990911717691</v>
      </c>
    </row>
    <row r="40" spans="1:26" s="24" customFormat="1" hidden="1" outlineLevel="2" x14ac:dyDescent="0.35">
      <c r="A40" s="29"/>
      <c r="B40" s="11" t="str">
        <f>CONCATENATE("          ", "6112", " - ", "COMPENSATION INSURANCE")</f>
        <v xml:space="preserve">          6112 - COMPENSATION INSURANCE</v>
      </c>
      <c r="C40" s="11"/>
      <c r="D40" s="7"/>
      <c r="E40" s="2"/>
      <c r="F40" s="6">
        <f t="shared" si="13"/>
        <v>0</v>
      </c>
      <c r="G40" s="2"/>
      <c r="H40" s="7">
        <v>232.578485</v>
      </c>
      <c r="I40" s="2"/>
      <c r="J40" s="6">
        <f t="shared" si="14"/>
        <v>8.9195967401725796E-3</v>
      </c>
      <c r="K40" s="2"/>
      <c r="L40" s="7">
        <f t="shared" si="15"/>
        <v>-232.578485</v>
      </c>
      <c r="M40" s="2"/>
      <c r="N40" s="6">
        <f t="shared" si="16"/>
        <v>-1</v>
      </c>
      <c r="O40" s="11"/>
      <c r="P40" s="7">
        <v>255.57</v>
      </c>
      <c r="Q40" s="2"/>
      <c r="R40" s="6">
        <f t="shared" si="17"/>
        <v>1.1991880600152403E-2</v>
      </c>
      <c r="S40" s="2"/>
      <c r="T40" s="7">
        <v>944.18043</v>
      </c>
      <c r="U40" s="2"/>
      <c r="V40" s="6">
        <f t="shared" si="18"/>
        <v>1.2753335359429451E-2</v>
      </c>
      <c r="W40" s="2"/>
      <c r="X40" s="7">
        <f t="shared" si="19"/>
        <v>-688.61042999999995</v>
      </c>
      <c r="Y40" s="2"/>
      <c r="Z40" s="6">
        <f t="shared" si="20"/>
        <v>-0.72932080365190366</v>
      </c>
    </row>
    <row r="41" spans="1:26" s="24" customFormat="1" hidden="1" outlineLevel="2" x14ac:dyDescent="0.35">
      <c r="A41" s="29"/>
      <c r="B41" s="11" t="str">
        <f>CONCATENATE("          ", "6113", " - ", "GROUP INSURANCE")</f>
        <v xml:space="preserve">          6113 - GROUP INSURANCE</v>
      </c>
      <c r="C41" s="11"/>
      <c r="D41" s="7"/>
      <c r="E41" s="2"/>
      <c r="F41" s="6">
        <f t="shared" si="13"/>
        <v>0</v>
      </c>
      <c r="G41" s="2"/>
      <c r="H41" s="7">
        <v>665</v>
      </c>
      <c r="I41" s="2"/>
      <c r="J41" s="6">
        <f t="shared" si="14"/>
        <v>2.5503355704697986E-2</v>
      </c>
      <c r="K41" s="2"/>
      <c r="L41" s="7">
        <f t="shared" si="15"/>
        <v>-665</v>
      </c>
      <c r="M41" s="2"/>
      <c r="N41" s="6">
        <f t="shared" si="16"/>
        <v>-1</v>
      </c>
      <c r="O41" s="11"/>
      <c r="P41" s="7"/>
      <c r="Q41" s="2"/>
      <c r="R41" s="6">
        <f t="shared" si="17"/>
        <v>0</v>
      </c>
      <c r="S41" s="2"/>
      <c r="T41" s="7">
        <v>4655</v>
      </c>
      <c r="U41" s="2"/>
      <c r="V41" s="6">
        <f t="shared" si="18"/>
        <v>6.2876516195261634E-2</v>
      </c>
      <c r="W41" s="2"/>
      <c r="X41" s="7">
        <f t="shared" si="19"/>
        <v>-4655</v>
      </c>
      <c r="Y41" s="2"/>
      <c r="Z41" s="6">
        <f t="shared" si="20"/>
        <v>-1</v>
      </c>
    </row>
    <row r="42" spans="1:26" s="24" customFormat="1" hidden="1" outlineLevel="2" x14ac:dyDescent="0.35">
      <c r="A42" s="29"/>
      <c r="B42" s="11" t="str">
        <f>CONCATENATE("          ", "6114", " - ", "STATE UNEMPLOYMENT INSURANCE")</f>
        <v xml:space="preserve">          6114 - STATE UNEMPLOYMENT INSURANCE</v>
      </c>
      <c r="C42" s="11"/>
      <c r="D42" s="7"/>
      <c r="E42" s="2"/>
      <c r="F42" s="6">
        <f t="shared" si="13"/>
        <v>0</v>
      </c>
      <c r="G42" s="2"/>
      <c r="H42" s="7">
        <v>32.686706000000001</v>
      </c>
      <c r="I42" s="2"/>
      <c r="J42" s="6">
        <f t="shared" si="14"/>
        <v>1.2535649472674977E-3</v>
      </c>
      <c r="K42" s="2"/>
      <c r="L42" s="7">
        <f t="shared" si="15"/>
        <v>-32.686706000000001</v>
      </c>
      <c r="M42" s="2"/>
      <c r="N42" s="6">
        <f t="shared" si="16"/>
        <v>-1</v>
      </c>
      <c r="O42" s="11"/>
      <c r="P42" s="7">
        <v>38.020000000000003</v>
      </c>
      <c r="Q42" s="2"/>
      <c r="R42" s="6">
        <f t="shared" si="17"/>
        <v>1.7839781680862169E-3</v>
      </c>
      <c r="S42" s="2"/>
      <c r="T42" s="7">
        <v>132.695628</v>
      </c>
      <c r="U42" s="2"/>
      <c r="V42" s="6">
        <f t="shared" si="18"/>
        <v>1.792360645109004E-3</v>
      </c>
      <c r="W42" s="2"/>
      <c r="X42" s="7">
        <f t="shared" si="19"/>
        <v>-94.675627999999989</v>
      </c>
      <c r="Y42" s="2"/>
      <c r="Z42" s="6">
        <f t="shared" si="20"/>
        <v>-0.7134796332551363</v>
      </c>
    </row>
    <row r="43" spans="1:26" s="24" customFormat="1" hidden="1" outlineLevel="2" x14ac:dyDescent="0.35">
      <c r="A43" s="29"/>
      <c r="B43" s="11" t="str">
        <f>CONCATENATE("          ", "6115", " - ", "P.E.R.S.")</f>
        <v xml:space="preserve">          6115 - P.E.R.S.</v>
      </c>
      <c r="C43" s="11"/>
      <c r="D43" s="7"/>
      <c r="E43" s="2"/>
      <c r="F43" s="6">
        <f t="shared" si="13"/>
        <v>0</v>
      </c>
      <c r="G43" s="2"/>
      <c r="H43" s="7">
        <v>447.2</v>
      </c>
      <c r="I43" s="2"/>
      <c r="J43" s="6">
        <f t="shared" si="14"/>
        <v>1.7150527325023968E-2</v>
      </c>
      <c r="K43" s="2"/>
      <c r="L43" s="7">
        <f t="shared" si="15"/>
        <v>-447.2</v>
      </c>
      <c r="M43" s="2"/>
      <c r="N43" s="6">
        <f t="shared" si="16"/>
        <v>-1</v>
      </c>
      <c r="O43" s="11"/>
      <c r="P43" s="7"/>
      <c r="Q43" s="2"/>
      <c r="R43" s="6">
        <f t="shared" si="17"/>
        <v>0</v>
      </c>
      <c r="S43" s="2"/>
      <c r="T43" s="7">
        <v>2772.64</v>
      </c>
      <c r="U43" s="2"/>
      <c r="V43" s="6">
        <f t="shared" si="18"/>
        <v>3.7450900937407133E-2</v>
      </c>
      <c r="W43" s="2"/>
      <c r="X43" s="7">
        <f t="shared" si="19"/>
        <v>-2772.64</v>
      </c>
      <c r="Y43" s="2"/>
      <c r="Z43" s="6">
        <f t="shared" si="20"/>
        <v>-1</v>
      </c>
    </row>
    <row r="44" spans="1:26" s="24" customFormat="1" hidden="1" outlineLevel="2" x14ac:dyDescent="0.35">
      <c r="A44" s="29"/>
      <c r="B44" s="11" t="str">
        <f>CONCATENATE("          ", "6116", " - ", "EDUCATIONAL BENEFITS")</f>
        <v xml:space="preserve">          6116 - EDUCATIONAL BENEFITS</v>
      </c>
      <c r="C44" s="11"/>
      <c r="D44" s="7"/>
      <c r="E44" s="2"/>
      <c r="F44" s="6">
        <f t="shared" si="13"/>
        <v>0</v>
      </c>
      <c r="G44" s="2"/>
      <c r="H44" s="7">
        <v>0</v>
      </c>
      <c r="I44" s="2"/>
      <c r="J44" s="6">
        <f t="shared" si="14"/>
        <v>0</v>
      </c>
      <c r="K44" s="2"/>
      <c r="L44" s="7">
        <f t="shared" si="15"/>
        <v>0</v>
      </c>
      <c r="M44" s="2"/>
      <c r="N44" s="6">
        <f t="shared" si="16"/>
        <v>0</v>
      </c>
      <c r="O44" s="11"/>
      <c r="P44" s="7"/>
      <c r="Q44" s="2"/>
      <c r="R44" s="6">
        <f t="shared" si="17"/>
        <v>0</v>
      </c>
      <c r="S44" s="2"/>
      <c r="T44" s="7">
        <v>0</v>
      </c>
      <c r="U44" s="2"/>
      <c r="V44" s="6">
        <f t="shared" si="18"/>
        <v>0</v>
      </c>
      <c r="W44" s="2"/>
      <c r="X44" s="7">
        <f t="shared" si="19"/>
        <v>0</v>
      </c>
      <c r="Y44" s="2"/>
      <c r="Z44" s="6">
        <f t="shared" si="20"/>
        <v>0</v>
      </c>
    </row>
    <row r="45" spans="1:26" s="24" customFormat="1" hidden="1" outlineLevel="2" x14ac:dyDescent="0.35">
      <c r="A45" s="29"/>
      <c r="B45" s="11" t="str">
        <f>CONCATENATE("          ", "6118", " - ", "VACATION")</f>
        <v xml:space="preserve">          6118 - VACATION</v>
      </c>
      <c r="C45" s="11"/>
      <c r="D45" s="7"/>
      <c r="E45" s="2"/>
      <c r="F45" s="6">
        <f t="shared" si="13"/>
        <v>0</v>
      </c>
      <c r="G45" s="2"/>
      <c r="H45" s="7">
        <v>156</v>
      </c>
      <c r="I45" s="2"/>
      <c r="J45" s="6">
        <f t="shared" si="14"/>
        <v>5.9827420901246405E-3</v>
      </c>
      <c r="K45" s="2"/>
      <c r="L45" s="7">
        <f t="shared" si="15"/>
        <v>-156</v>
      </c>
      <c r="M45" s="2"/>
      <c r="N45" s="6">
        <f t="shared" si="16"/>
        <v>-1</v>
      </c>
      <c r="O45" s="11"/>
      <c r="P45" s="7"/>
      <c r="Q45" s="2"/>
      <c r="R45" s="6">
        <f t="shared" si="17"/>
        <v>0</v>
      </c>
      <c r="S45" s="2"/>
      <c r="T45" s="7">
        <v>967.2</v>
      </c>
      <c r="U45" s="2"/>
      <c r="V45" s="6">
        <f t="shared" si="18"/>
        <v>1.3064267768862955E-2</v>
      </c>
      <c r="W45" s="2"/>
      <c r="X45" s="7">
        <f t="shared" si="19"/>
        <v>-967.2</v>
      </c>
      <c r="Y45" s="2"/>
      <c r="Z45" s="6">
        <f t="shared" si="20"/>
        <v>-1</v>
      </c>
    </row>
    <row r="46" spans="1:26" s="24" customFormat="1" hidden="1" outlineLevel="2" x14ac:dyDescent="0.35">
      <c r="A46" s="29"/>
      <c r="B46" s="11" t="str">
        <f>CONCATENATE("          ", "6119", " - ", "SICK LEAVE")</f>
        <v xml:space="preserve">          6119 - SICK LEAVE</v>
      </c>
      <c r="C46" s="11"/>
      <c r="D46" s="7"/>
      <c r="E46" s="2"/>
      <c r="F46" s="6">
        <f t="shared" si="13"/>
        <v>0</v>
      </c>
      <c r="G46" s="2"/>
      <c r="H46" s="7">
        <v>325.15429999999998</v>
      </c>
      <c r="I46" s="2"/>
      <c r="J46" s="6">
        <f t="shared" si="14"/>
        <v>1.2469963566634707E-2</v>
      </c>
      <c r="K46" s="2"/>
      <c r="L46" s="7">
        <f t="shared" si="15"/>
        <v>-325.15429999999998</v>
      </c>
      <c r="M46" s="2"/>
      <c r="N46" s="6">
        <f t="shared" si="16"/>
        <v>-1</v>
      </c>
      <c r="O46" s="11"/>
      <c r="P46" s="7"/>
      <c r="Q46" s="2"/>
      <c r="R46" s="6">
        <f t="shared" si="17"/>
        <v>0</v>
      </c>
      <c r="S46" s="2"/>
      <c r="T46" s="7">
        <v>1208.7034000000001</v>
      </c>
      <c r="U46" s="2"/>
      <c r="V46" s="6">
        <f t="shared" si="18"/>
        <v>1.6326328443688035E-2</v>
      </c>
      <c r="W46" s="2"/>
      <c r="X46" s="7">
        <f t="shared" si="19"/>
        <v>-1208.7034000000001</v>
      </c>
      <c r="Y46" s="2"/>
      <c r="Z46" s="6">
        <f t="shared" si="20"/>
        <v>-1</v>
      </c>
    </row>
    <row r="47" spans="1:26" s="28" customFormat="1" outlineLevel="1" collapsed="1" x14ac:dyDescent="0.35">
      <c r="A47" s="27"/>
      <c r="B47" s="14" t="str">
        <f>CONCATENATE("     ","*Payroll                                          ")</f>
        <v xml:space="preserve">     *Payroll                                          </v>
      </c>
      <c r="C47" s="14"/>
      <c r="D47" s="1">
        <f>SUM(OSRRefD22_1x_0)</f>
        <v>0</v>
      </c>
      <c r="E47" s="1"/>
      <c r="F47" s="5">
        <f t="shared" ref="F47:F57" si="21">IF(D$12=0,0,D47/D$12)</f>
        <v>0</v>
      </c>
      <c r="G47" s="1"/>
      <c r="H47" s="1">
        <f>SUM(OSRRefH22_1x_0)</f>
        <v>12311.81</v>
      </c>
      <c r="I47" s="1"/>
      <c r="J47" s="5">
        <f t="shared" ref="J47:J57" si="22">IF(H$12=0,0,H47/H$12)</f>
        <v>0.47216912751677853</v>
      </c>
      <c r="K47" s="1"/>
      <c r="L47" s="1">
        <f t="shared" ref="L47:L57" si="23">+D47-H47</f>
        <v>-12311.81</v>
      </c>
      <c r="M47" s="1"/>
      <c r="N47" s="5">
        <f t="shared" ref="N47:N57" si="24">IF(H47=0,0,L47/H47)</f>
        <v>-1</v>
      </c>
      <c r="O47" s="14"/>
      <c r="P47" s="1">
        <f>SUM(OSRRefP22_1x_0)</f>
        <v>8152.5399999999991</v>
      </c>
      <c r="Q47" s="1"/>
      <c r="R47" s="5">
        <f t="shared" ref="R47:R57" si="25">IF(P$12=0,0,P47/P$12)</f>
        <v>0.38253428128483963</v>
      </c>
      <c r="S47" s="1"/>
      <c r="T47" s="1">
        <f>SUM(OSRRefT22_1x_0)</f>
        <v>49424.78</v>
      </c>
      <c r="U47" s="1"/>
      <c r="V47" s="5">
        <f t="shared" ref="V47:V57" si="26">IF(T$12=0,0,T47/T$12)</f>
        <v>0.66759569927330686</v>
      </c>
      <c r="W47" s="1"/>
      <c r="X47" s="1">
        <f t="shared" ref="X47:X57" si="27">+P47-T47</f>
        <v>-41272.239999999998</v>
      </c>
      <c r="Y47" s="1"/>
      <c r="Z47" s="5">
        <f t="shared" ref="Z47:Z57" si="28">IF(T47=0,0,X47/T47)</f>
        <v>-0.83505156725027407</v>
      </c>
    </row>
    <row r="48" spans="1:26" s="24" customFormat="1" hidden="1" outlineLevel="2" x14ac:dyDescent="0.35">
      <c r="A48" s="29"/>
      <c r="B48" s="11" t="str">
        <f>CONCATENATE("          ", "6001", " - ", "ADMINISTRATIVE SALARIES")</f>
        <v xml:space="preserve">          6001 - ADMINISTRATIVE SALARIES</v>
      </c>
      <c r="C48" s="11"/>
      <c r="D48" s="7"/>
      <c r="E48" s="2"/>
      <c r="F48" s="6">
        <f t="shared" si="21"/>
        <v>0</v>
      </c>
      <c r="G48" s="2"/>
      <c r="H48" s="7">
        <v>4940</v>
      </c>
      <c r="I48" s="2"/>
      <c r="J48" s="6">
        <f t="shared" si="22"/>
        <v>0.18945349952061361</v>
      </c>
      <c r="K48" s="2"/>
      <c r="L48" s="7">
        <f t="shared" si="23"/>
        <v>-4940</v>
      </c>
      <c r="M48" s="2"/>
      <c r="N48" s="6">
        <f t="shared" si="24"/>
        <v>-1</v>
      </c>
      <c r="O48" s="11"/>
      <c r="P48" s="7"/>
      <c r="Q48" s="2"/>
      <c r="R48" s="6">
        <f t="shared" si="25"/>
        <v>0</v>
      </c>
      <c r="S48" s="2"/>
      <c r="T48" s="7">
        <v>30628</v>
      </c>
      <c r="U48" s="2"/>
      <c r="V48" s="6">
        <f t="shared" si="26"/>
        <v>0.41370181268066025</v>
      </c>
      <c r="W48" s="2"/>
      <c r="X48" s="7">
        <f t="shared" si="27"/>
        <v>-30628</v>
      </c>
      <c r="Y48" s="2"/>
      <c r="Z48" s="6">
        <f t="shared" si="28"/>
        <v>-1</v>
      </c>
    </row>
    <row r="49" spans="1:26" s="24" customFormat="1" hidden="1" outlineLevel="2" x14ac:dyDescent="0.35">
      <c r="A49" s="29"/>
      <c r="B49" s="11" t="str">
        <f>CONCATENATE("          ", "6002", " - ", "STAFF SALARIES")</f>
        <v xml:space="preserve">          6002 - STAFF SALARIES</v>
      </c>
      <c r="C49" s="11"/>
      <c r="D49" s="7"/>
      <c r="E49" s="2"/>
      <c r="F49" s="6">
        <f t="shared" si="21"/>
        <v>0</v>
      </c>
      <c r="G49" s="2"/>
      <c r="H49" s="7">
        <v>0</v>
      </c>
      <c r="I49" s="2"/>
      <c r="J49" s="6">
        <f t="shared" si="22"/>
        <v>0</v>
      </c>
      <c r="K49" s="2"/>
      <c r="L49" s="7">
        <f t="shared" si="23"/>
        <v>0</v>
      </c>
      <c r="M49" s="2"/>
      <c r="N49" s="6">
        <f t="shared" si="24"/>
        <v>0</v>
      </c>
      <c r="O49" s="11"/>
      <c r="P49" s="7"/>
      <c r="Q49" s="2"/>
      <c r="R49" s="6">
        <f t="shared" si="25"/>
        <v>0</v>
      </c>
      <c r="S49" s="2"/>
      <c r="T49" s="7">
        <v>0</v>
      </c>
      <c r="U49" s="2"/>
      <c r="V49" s="6">
        <f t="shared" si="26"/>
        <v>0</v>
      </c>
      <c r="W49" s="2"/>
      <c r="X49" s="7">
        <f t="shared" si="27"/>
        <v>0</v>
      </c>
      <c r="Y49" s="2"/>
      <c r="Z49" s="6">
        <f t="shared" si="28"/>
        <v>0</v>
      </c>
    </row>
    <row r="50" spans="1:26" s="24" customFormat="1" hidden="1" outlineLevel="2" x14ac:dyDescent="0.35">
      <c r="A50" s="29"/>
      <c r="B50" s="11" t="str">
        <f>CONCATENATE("          ", "6003", " - ", "STAFF HOURLY-9 MONTH")</f>
        <v xml:space="preserve">          6003 - STAFF HOURLY-9 MONTH</v>
      </c>
      <c r="C50" s="11"/>
      <c r="D50" s="7"/>
      <c r="E50" s="2"/>
      <c r="F50" s="6">
        <f t="shared" si="21"/>
        <v>0</v>
      </c>
      <c r="G50" s="2"/>
      <c r="H50" s="7">
        <v>0</v>
      </c>
      <c r="I50" s="2"/>
      <c r="J50" s="6">
        <f t="shared" si="22"/>
        <v>0</v>
      </c>
      <c r="K50" s="2"/>
      <c r="L50" s="7">
        <f t="shared" si="23"/>
        <v>0</v>
      </c>
      <c r="M50" s="2"/>
      <c r="N50" s="6">
        <f t="shared" si="24"/>
        <v>0</v>
      </c>
      <c r="O50" s="11"/>
      <c r="P50" s="7"/>
      <c r="Q50" s="2"/>
      <c r="R50" s="6">
        <f t="shared" si="25"/>
        <v>0</v>
      </c>
      <c r="S50" s="2"/>
      <c r="T50" s="7">
        <v>0</v>
      </c>
      <c r="U50" s="2"/>
      <c r="V50" s="6">
        <f t="shared" si="26"/>
        <v>0</v>
      </c>
      <c r="W50" s="2"/>
      <c r="X50" s="7">
        <f t="shared" si="27"/>
        <v>0</v>
      </c>
      <c r="Y50" s="2"/>
      <c r="Z50" s="6">
        <f t="shared" si="28"/>
        <v>0</v>
      </c>
    </row>
    <row r="51" spans="1:26" s="24" customFormat="1" hidden="1" outlineLevel="2" x14ac:dyDescent="0.35">
      <c r="A51" s="29"/>
      <c r="B51" s="11" t="str">
        <f>CONCATENATE("          ", "6004", " - ", "STAFF HOURLY")</f>
        <v xml:space="preserve">          6004 - STAFF HOURLY</v>
      </c>
      <c r="C51" s="11"/>
      <c r="D51" s="7"/>
      <c r="E51" s="2"/>
      <c r="F51" s="6">
        <f t="shared" si="21"/>
        <v>0</v>
      </c>
      <c r="G51" s="2"/>
      <c r="H51" s="7">
        <v>2616.3000000000002</v>
      </c>
      <c r="I51" s="2"/>
      <c r="J51" s="6">
        <f t="shared" si="22"/>
        <v>0.10033748801534037</v>
      </c>
      <c r="K51" s="2"/>
      <c r="L51" s="7">
        <f t="shared" si="23"/>
        <v>-2616.3000000000002</v>
      </c>
      <c r="M51" s="2"/>
      <c r="N51" s="6">
        <f t="shared" si="24"/>
        <v>-1</v>
      </c>
      <c r="O51" s="11"/>
      <c r="P51" s="7"/>
      <c r="Q51" s="2"/>
      <c r="R51" s="6">
        <f t="shared" si="25"/>
        <v>0</v>
      </c>
      <c r="S51" s="2"/>
      <c r="T51" s="7">
        <v>6487.2</v>
      </c>
      <c r="U51" s="2"/>
      <c r="V51" s="6">
        <f t="shared" si="26"/>
        <v>8.7624604911256981E-2</v>
      </c>
      <c r="W51" s="2"/>
      <c r="X51" s="7">
        <f t="shared" si="27"/>
        <v>-6487.2</v>
      </c>
      <c r="Y51" s="2"/>
      <c r="Z51" s="6">
        <f t="shared" si="28"/>
        <v>-1</v>
      </c>
    </row>
    <row r="52" spans="1:26" s="24" customFormat="1" hidden="1" outlineLevel="2" x14ac:dyDescent="0.35">
      <c r="A52" s="29"/>
      <c r="B52" s="11" t="str">
        <f>CONCATENATE("          ", "6005", " - ", "TEMPORARY WAGES-HOURLY")</f>
        <v xml:space="preserve">          6005 - TEMPORARY WAGES-HOURLY</v>
      </c>
      <c r="C52" s="11"/>
      <c r="D52" s="7"/>
      <c r="E52" s="2"/>
      <c r="F52" s="6">
        <f t="shared" si="21"/>
        <v>0</v>
      </c>
      <c r="G52" s="2"/>
      <c r="H52" s="7">
        <v>2394</v>
      </c>
      <c r="I52" s="2"/>
      <c r="J52" s="6">
        <f t="shared" si="22"/>
        <v>9.1812080536912755E-2</v>
      </c>
      <c r="K52" s="2"/>
      <c r="L52" s="7">
        <f t="shared" si="23"/>
        <v>-2394</v>
      </c>
      <c r="M52" s="2"/>
      <c r="N52" s="6">
        <f t="shared" si="24"/>
        <v>-1</v>
      </c>
      <c r="O52" s="11"/>
      <c r="P52" s="7">
        <v>5379.19</v>
      </c>
      <c r="Q52" s="2"/>
      <c r="R52" s="6">
        <f t="shared" si="25"/>
        <v>0.25240288064144384</v>
      </c>
      <c r="S52" s="2"/>
      <c r="T52" s="7">
        <v>2394</v>
      </c>
      <c r="U52" s="2"/>
      <c r="V52" s="6">
        <f t="shared" si="26"/>
        <v>3.233649404327741E-2</v>
      </c>
      <c r="W52" s="2"/>
      <c r="X52" s="7">
        <f t="shared" si="27"/>
        <v>2985.1899999999996</v>
      </c>
      <c r="Y52" s="2"/>
      <c r="Z52" s="6">
        <f t="shared" si="28"/>
        <v>1.2469465329991645</v>
      </c>
    </row>
    <row r="53" spans="1:26" s="24" customFormat="1" hidden="1" outlineLevel="2" x14ac:dyDescent="0.35">
      <c r="A53" s="29"/>
      <c r="B53" s="11" t="str">
        <f>CONCATENATE("          ", "6006", " - ", "TEMPORARY PART TIME")</f>
        <v xml:space="preserve">          6006 - TEMPORARY PART TIME</v>
      </c>
      <c r="C53" s="11"/>
      <c r="D53" s="7"/>
      <c r="E53" s="2"/>
      <c r="F53" s="6">
        <f t="shared" si="21"/>
        <v>0</v>
      </c>
      <c r="G53" s="2"/>
      <c r="H53" s="7">
        <v>0</v>
      </c>
      <c r="I53" s="2"/>
      <c r="J53" s="6">
        <f t="shared" si="22"/>
        <v>0</v>
      </c>
      <c r="K53" s="2"/>
      <c r="L53" s="7">
        <f t="shared" si="23"/>
        <v>0</v>
      </c>
      <c r="M53" s="2"/>
      <c r="N53" s="6">
        <f t="shared" si="24"/>
        <v>0</v>
      </c>
      <c r="O53" s="11"/>
      <c r="P53" s="7"/>
      <c r="Q53" s="2"/>
      <c r="R53" s="6">
        <f t="shared" si="25"/>
        <v>0</v>
      </c>
      <c r="S53" s="2"/>
      <c r="T53" s="7">
        <v>0</v>
      </c>
      <c r="U53" s="2"/>
      <c r="V53" s="6">
        <f t="shared" si="26"/>
        <v>0</v>
      </c>
      <c r="W53" s="2"/>
      <c r="X53" s="7">
        <f t="shared" si="27"/>
        <v>0</v>
      </c>
      <c r="Y53" s="2"/>
      <c r="Z53" s="6">
        <f t="shared" si="28"/>
        <v>0</v>
      </c>
    </row>
    <row r="54" spans="1:26" s="24" customFormat="1" hidden="1" outlineLevel="2" x14ac:dyDescent="0.35">
      <c r="A54" s="29"/>
      <c r="B54" s="11" t="str">
        <f>CONCATENATE("          ", "6007", " - ", "STUDENT HOURLY")</f>
        <v xml:space="preserve">          6007 - STUDENT HOURLY</v>
      </c>
      <c r="C54" s="11"/>
      <c r="D54" s="7"/>
      <c r="E54" s="2"/>
      <c r="F54" s="6">
        <f t="shared" si="21"/>
        <v>0</v>
      </c>
      <c r="G54" s="2"/>
      <c r="H54" s="7">
        <v>0</v>
      </c>
      <c r="I54" s="2"/>
      <c r="J54" s="6">
        <f t="shared" si="22"/>
        <v>0</v>
      </c>
      <c r="K54" s="2"/>
      <c r="L54" s="7">
        <f t="shared" si="23"/>
        <v>0</v>
      </c>
      <c r="M54" s="2"/>
      <c r="N54" s="6">
        <f t="shared" si="24"/>
        <v>0</v>
      </c>
      <c r="O54" s="11"/>
      <c r="P54" s="7">
        <v>2773.35</v>
      </c>
      <c r="Q54" s="2"/>
      <c r="R54" s="6">
        <f t="shared" si="25"/>
        <v>0.13013140064339582</v>
      </c>
      <c r="S54" s="2"/>
      <c r="T54" s="7">
        <v>0</v>
      </c>
      <c r="U54" s="2"/>
      <c r="V54" s="6">
        <f t="shared" si="26"/>
        <v>0</v>
      </c>
      <c r="W54" s="2"/>
      <c r="X54" s="7">
        <f t="shared" si="27"/>
        <v>2773.35</v>
      </c>
      <c r="Y54" s="2"/>
      <c r="Z54" s="6">
        <f t="shared" si="28"/>
        <v>0</v>
      </c>
    </row>
    <row r="55" spans="1:26" s="24" customFormat="1" hidden="1" outlineLevel="2" x14ac:dyDescent="0.35">
      <c r="A55" s="29"/>
      <c r="B55" s="11" t="str">
        <f>CONCATENATE("          ", "6008", " - ", "STUDENT HOURLY-FICA EXEMPT")</f>
        <v xml:space="preserve">          6008 - STUDENT HOURLY-FICA EXEMPT</v>
      </c>
      <c r="C55" s="11"/>
      <c r="D55" s="7"/>
      <c r="E55" s="2"/>
      <c r="F55" s="6">
        <f t="shared" si="21"/>
        <v>0</v>
      </c>
      <c r="G55" s="2"/>
      <c r="H55" s="7">
        <v>2361.5100000000002</v>
      </c>
      <c r="I55" s="2"/>
      <c r="J55" s="6">
        <f t="shared" si="22"/>
        <v>9.0566059443911801E-2</v>
      </c>
      <c r="K55" s="2"/>
      <c r="L55" s="7">
        <f t="shared" si="23"/>
        <v>-2361.5100000000002</v>
      </c>
      <c r="M55" s="2"/>
      <c r="N55" s="6">
        <f t="shared" si="24"/>
        <v>-1</v>
      </c>
      <c r="O55" s="11"/>
      <c r="P55" s="7"/>
      <c r="Q55" s="2"/>
      <c r="R55" s="6">
        <f t="shared" si="25"/>
        <v>0</v>
      </c>
      <c r="S55" s="2"/>
      <c r="T55" s="7">
        <v>9915.58</v>
      </c>
      <c r="U55" s="2"/>
      <c r="V55" s="6">
        <f t="shared" si="26"/>
        <v>0.13393278763811223</v>
      </c>
      <c r="W55" s="2"/>
      <c r="X55" s="7">
        <f t="shared" si="27"/>
        <v>-9915.58</v>
      </c>
      <c r="Y55" s="2"/>
      <c r="Z55" s="6">
        <f t="shared" si="28"/>
        <v>-1</v>
      </c>
    </row>
    <row r="56" spans="1:26" s="24" customFormat="1" hidden="1" outlineLevel="2" x14ac:dyDescent="0.35">
      <c r="A56" s="29"/>
      <c r="B56" s="11" t="str">
        <f>CONCATENATE("          ", "6009", " - ", "TEMPORARY-SEASONAL")</f>
        <v xml:space="preserve">          6009 - TEMPORARY-SEASONAL</v>
      </c>
      <c r="C56" s="11"/>
      <c r="D56" s="7"/>
      <c r="E56" s="2"/>
      <c r="F56" s="6">
        <f t="shared" si="21"/>
        <v>0</v>
      </c>
      <c r="G56" s="2"/>
      <c r="H56" s="7">
        <v>0</v>
      </c>
      <c r="I56" s="2"/>
      <c r="J56" s="6">
        <f t="shared" si="22"/>
        <v>0</v>
      </c>
      <c r="K56" s="2"/>
      <c r="L56" s="7">
        <f t="shared" si="23"/>
        <v>0</v>
      </c>
      <c r="M56" s="2"/>
      <c r="N56" s="6">
        <f t="shared" si="24"/>
        <v>0</v>
      </c>
      <c r="O56" s="11"/>
      <c r="P56" s="7"/>
      <c r="Q56" s="2"/>
      <c r="R56" s="6">
        <f t="shared" si="25"/>
        <v>0</v>
      </c>
      <c r="S56" s="2"/>
      <c r="T56" s="7">
        <v>0</v>
      </c>
      <c r="U56" s="2"/>
      <c r="V56" s="6">
        <f t="shared" si="26"/>
        <v>0</v>
      </c>
      <c r="W56" s="2"/>
      <c r="X56" s="7">
        <f t="shared" si="27"/>
        <v>0</v>
      </c>
      <c r="Y56" s="2"/>
      <c r="Z56" s="6">
        <f t="shared" si="28"/>
        <v>0</v>
      </c>
    </row>
    <row r="57" spans="1:26" s="24" customFormat="1" hidden="1" outlineLevel="2" x14ac:dyDescent="0.35">
      <c r="A57" s="29"/>
      <c r="B57" s="11" t="str">
        <f>CONCATENATE("          ", "6010", " - ", "GRATUITY")</f>
        <v xml:space="preserve">          6010 - GRATUITY</v>
      </c>
      <c r="C57" s="11"/>
      <c r="D57" s="7"/>
      <c r="E57" s="2"/>
      <c r="F57" s="6">
        <f t="shared" si="21"/>
        <v>0</v>
      </c>
      <c r="G57" s="2"/>
      <c r="H57" s="7">
        <v>0</v>
      </c>
      <c r="I57" s="2"/>
      <c r="J57" s="6">
        <f t="shared" si="22"/>
        <v>0</v>
      </c>
      <c r="K57" s="2"/>
      <c r="L57" s="7">
        <f t="shared" si="23"/>
        <v>0</v>
      </c>
      <c r="M57" s="2"/>
      <c r="N57" s="6">
        <f t="shared" si="24"/>
        <v>0</v>
      </c>
      <c r="O57" s="11"/>
      <c r="P57" s="7"/>
      <c r="Q57" s="2"/>
      <c r="R57" s="6">
        <f t="shared" si="25"/>
        <v>0</v>
      </c>
      <c r="S57" s="2"/>
      <c r="T57" s="7">
        <v>0</v>
      </c>
      <c r="U57" s="2"/>
      <c r="V57" s="6">
        <f t="shared" si="26"/>
        <v>0</v>
      </c>
      <c r="W57" s="2"/>
      <c r="X57" s="7">
        <f t="shared" si="27"/>
        <v>0</v>
      </c>
      <c r="Y57" s="2"/>
      <c r="Z57" s="6">
        <f t="shared" si="28"/>
        <v>0</v>
      </c>
    </row>
    <row r="58" spans="1:26" s="28" customFormat="1" outlineLevel="1" collapsed="1" x14ac:dyDescent="0.35">
      <c r="A58" s="27"/>
      <c r="B58" s="14" t="str">
        <f>CONCATENATE("     ","Advertising/Promo                                 ")</f>
        <v xml:space="preserve">     Advertising/Promo                                 </v>
      </c>
      <c r="C58" s="14"/>
      <c r="D58" s="1">
        <f>SUM(OSRRefD22_2x_0)</f>
        <v>0</v>
      </c>
      <c r="E58" s="1"/>
      <c r="F58" s="5">
        <f t="shared" ref="F58:F66" si="29">IF(D$12=0,0,D58/D$12)</f>
        <v>0</v>
      </c>
      <c r="G58" s="1"/>
      <c r="H58" s="1">
        <f>SUM(OSRRefH22_2x_0)</f>
        <v>100</v>
      </c>
      <c r="I58" s="1"/>
      <c r="J58" s="5">
        <f t="shared" ref="J58:J66" si="30">IF(H$12=0,0,H58/H$12)</f>
        <v>3.8350910834132309E-3</v>
      </c>
      <c r="K58" s="1"/>
      <c r="L58" s="1">
        <f t="shared" ref="L58:L66" si="31">+D58-H58</f>
        <v>-100</v>
      </c>
      <c r="M58" s="1"/>
      <c r="N58" s="5">
        <f t="shared" ref="N58:N66" si="32">IF(H58=0,0,L58/H58)</f>
        <v>-1</v>
      </c>
      <c r="O58" s="14"/>
      <c r="P58" s="1">
        <f>SUM(OSRRefP22_2x_0)</f>
        <v>124.72</v>
      </c>
      <c r="Q58" s="1"/>
      <c r="R58" s="5">
        <f t="shared" ref="R58:R66" si="33">IF(P$12=0,0,P58/P$12)</f>
        <v>5.8521240695347957E-3</v>
      </c>
      <c r="S58" s="1"/>
      <c r="T58" s="1">
        <f>SUM(OSRRefT22_2x_0)</f>
        <v>600</v>
      </c>
      <c r="U58" s="1"/>
      <c r="V58" s="5">
        <f t="shared" ref="V58:V66" si="34">IF(T$12=0,0,T58/T$12)</f>
        <v>8.104384471999352E-3</v>
      </c>
      <c r="W58" s="1"/>
      <c r="X58" s="1">
        <f t="shared" ref="X58:X66" si="35">+P58-T58</f>
        <v>-475.28</v>
      </c>
      <c r="Y58" s="1"/>
      <c r="Z58" s="5">
        <f t="shared" ref="Z58:Z66" si="36">IF(T58=0,0,X58/T58)</f>
        <v>-0.79213333333333324</v>
      </c>
    </row>
    <row r="59" spans="1:26" s="24" customFormat="1" hidden="1" outlineLevel="2" x14ac:dyDescent="0.35">
      <c r="A59" s="29"/>
      <c r="B59" s="11" t="str">
        <f>CONCATENATE("          ", "6362", " - ", "ADVERTISING EXPENSE")</f>
        <v xml:space="preserve">          6362 - ADVERTISING EXPENSE</v>
      </c>
      <c r="C59" s="11"/>
      <c r="D59" s="7"/>
      <c r="E59" s="2"/>
      <c r="F59" s="6">
        <f t="shared" si="29"/>
        <v>0</v>
      </c>
      <c r="G59" s="2"/>
      <c r="H59" s="7">
        <v>100</v>
      </c>
      <c r="I59" s="2"/>
      <c r="J59" s="6">
        <f t="shared" si="30"/>
        <v>3.8350910834132309E-3</v>
      </c>
      <c r="K59" s="2"/>
      <c r="L59" s="7">
        <f t="shared" si="31"/>
        <v>-100</v>
      </c>
      <c r="M59" s="2"/>
      <c r="N59" s="6">
        <f t="shared" si="32"/>
        <v>-1</v>
      </c>
      <c r="O59" s="11"/>
      <c r="P59" s="7">
        <v>124.72</v>
      </c>
      <c r="Q59" s="2"/>
      <c r="R59" s="6">
        <f t="shared" si="33"/>
        <v>5.8521240695347957E-3</v>
      </c>
      <c r="S59" s="2"/>
      <c r="T59" s="7">
        <v>600</v>
      </c>
      <c r="U59" s="2"/>
      <c r="V59" s="6">
        <f t="shared" si="34"/>
        <v>8.104384471999352E-3</v>
      </c>
      <c r="W59" s="2"/>
      <c r="X59" s="7">
        <f t="shared" si="35"/>
        <v>-475.28</v>
      </c>
      <c r="Y59" s="2"/>
      <c r="Z59" s="6">
        <f t="shared" si="36"/>
        <v>-0.79213333333333324</v>
      </c>
    </row>
    <row r="60" spans="1:26" s="28" customFormat="1" outlineLevel="1" collapsed="1" x14ac:dyDescent="0.35">
      <c r="A60" s="27"/>
      <c r="B60" s="14" t="str">
        <f>CONCATENATE("     ","Bad Debts/Over/Short                              ")</f>
        <v xml:space="preserve">     Bad Debts/Over/Short                              </v>
      </c>
      <c r="C60" s="14"/>
      <c r="D60" s="1">
        <f>SUM(OSRRefD22_3x_0)</f>
        <v>0</v>
      </c>
      <c r="E60" s="1"/>
      <c r="F60" s="5">
        <f t="shared" si="29"/>
        <v>0</v>
      </c>
      <c r="G60" s="1"/>
      <c r="H60" s="1">
        <f>SUM(OSRRefH22_3x_0)</f>
        <v>0</v>
      </c>
      <c r="I60" s="1"/>
      <c r="J60" s="5">
        <f t="shared" si="30"/>
        <v>0</v>
      </c>
      <c r="K60" s="1"/>
      <c r="L60" s="1">
        <f t="shared" si="31"/>
        <v>0</v>
      </c>
      <c r="M60" s="1"/>
      <c r="N60" s="5">
        <f t="shared" si="32"/>
        <v>0</v>
      </c>
      <c r="O60" s="14"/>
      <c r="P60" s="1">
        <f>SUM(OSRRefP22_3x_0)</f>
        <v>1.1000000000000001</v>
      </c>
      <c r="Q60" s="1"/>
      <c r="R60" s="5">
        <f t="shared" si="33"/>
        <v>5.1614307861516002E-5</v>
      </c>
      <c r="S60" s="1"/>
      <c r="T60" s="1">
        <f>SUM(OSRRefT22_3x_0)</f>
        <v>0</v>
      </c>
      <c r="U60" s="1"/>
      <c r="V60" s="5">
        <f t="shared" si="34"/>
        <v>0</v>
      </c>
      <c r="W60" s="1"/>
      <c r="X60" s="1">
        <f t="shared" si="35"/>
        <v>1.1000000000000001</v>
      </c>
      <c r="Y60" s="1"/>
      <c r="Z60" s="5">
        <f t="shared" si="36"/>
        <v>0</v>
      </c>
    </row>
    <row r="61" spans="1:26" s="24" customFormat="1" hidden="1" outlineLevel="2" x14ac:dyDescent="0.35">
      <c r="A61" s="29"/>
      <c r="B61" s="11" t="str">
        <f>CONCATENATE("          ", "6272", " - ", "CASH (OVER/SHORT)")</f>
        <v xml:space="preserve">          6272 - CASH (OVER/SHORT)</v>
      </c>
      <c r="C61" s="11"/>
      <c r="D61" s="7"/>
      <c r="E61" s="2"/>
      <c r="F61" s="6">
        <f t="shared" si="29"/>
        <v>0</v>
      </c>
      <c r="G61" s="2"/>
      <c r="H61" s="7"/>
      <c r="I61" s="2"/>
      <c r="J61" s="6">
        <f t="shared" si="30"/>
        <v>0</v>
      </c>
      <c r="K61" s="2"/>
      <c r="L61" s="7">
        <f t="shared" si="31"/>
        <v>0</v>
      </c>
      <c r="M61" s="2"/>
      <c r="N61" s="6">
        <f t="shared" si="32"/>
        <v>0</v>
      </c>
      <c r="O61" s="11"/>
      <c r="P61" s="7">
        <v>1.1000000000000001</v>
      </c>
      <c r="Q61" s="2"/>
      <c r="R61" s="6">
        <f t="shared" si="33"/>
        <v>5.1614307861516002E-5</v>
      </c>
      <c r="S61" s="2"/>
      <c r="T61" s="7"/>
      <c r="U61" s="2"/>
      <c r="V61" s="6">
        <f t="shared" si="34"/>
        <v>0</v>
      </c>
      <c r="W61" s="2"/>
      <c r="X61" s="7">
        <f t="shared" si="35"/>
        <v>1.1000000000000001</v>
      </c>
      <c r="Y61" s="2"/>
      <c r="Z61" s="6">
        <f t="shared" si="36"/>
        <v>0</v>
      </c>
    </row>
    <row r="62" spans="1:26" s="28" customFormat="1" outlineLevel="1" collapsed="1" x14ac:dyDescent="0.35">
      <c r="A62" s="27"/>
      <c r="B62" s="14" t="str">
        <f>CONCATENATE("     ","Bank/card Fees                                    ")</f>
        <v xml:space="preserve">     Bank/card Fees                                    </v>
      </c>
      <c r="C62" s="14"/>
      <c r="D62" s="1">
        <f>SUM(OSRRefD22_4x_0)</f>
        <v>0</v>
      </c>
      <c r="E62" s="1"/>
      <c r="F62" s="5">
        <f t="shared" si="29"/>
        <v>0</v>
      </c>
      <c r="G62" s="1"/>
      <c r="H62" s="1">
        <f>SUM(OSRRefH22_4x_0)</f>
        <v>1795</v>
      </c>
      <c r="I62" s="1"/>
      <c r="J62" s="5">
        <f t="shared" si="30"/>
        <v>6.8839884947267505E-2</v>
      </c>
      <c r="K62" s="1"/>
      <c r="L62" s="1">
        <f t="shared" si="31"/>
        <v>-1795</v>
      </c>
      <c r="M62" s="1"/>
      <c r="N62" s="5">
        <f t="shared" si="32"/>
        <v>-1</v>
      </c>
      <c r="O62" s="14"/>
      <c r="P62" s="1">
        <f>SUM(OSRRefP22_4x_0)</f>
        <v>0</v>
      </c>
      <c r="Q62" s="1"/>
      <c r="R62" s="5">
        <f t="shared" si="33"/>
        <v>0</v>
      </c>
      <c r="S62" s="1"/>
      <c r="T62" s="1">
        <f>SUM(OSRRefT22_4x_0)</f>
        <v>4592</v>
      </c>
      <c r="U62" s="1"/>
      <c r="V62" s="5">
        <f t="shared" si="34"/>
        <v>6.2025555825701705E-2</v>
      </c>
      <c r="W62" s="1"/>
      <c r="X62" s="1">
        <f t="shared" si="35"/>
        <v>-4592</v>
      </c>
      <c r="Y62" s="1"/>
      <c r="Z62" s="5">
        <f t="shared" si="36"/>
        <v>-1</v>
      </c>
    </row>
    <row r="63" spans="1:26" s="24" customFormat="1" hidden="1" outlineLevel="2" x14ac:dyDescent="0.35">
      <c r="A63" s="29"/>
      <c r="B63" s="11" t="str">
        <f>CONCATENATE("          ", "6381", " - ", "BANK/CREDIT CARD FEES")</f>
        <v xml:space="preserve">          6381 - BANK/CREDIT CARD FEES</v>
      </c>
      <c r="C63" s="11"/>
      <c r="D63" s="7"/>
      <c r="E63" s="2"/>
      <c r="F63" s="6">
        <f t="shared" si="29"/>
        <v>0</v>
      </c>
      <c r="G63" s="2"/>
      <c r="H63" s="7">
        <v>1795</v>
      </c>
      <c r="I63" s="2"/>
      <c r="J63" s="6">
        <f t="shared" si="30"/>
        <v>6.8839884947267505E-2</v>
      </c>
      <c r="K63" s="2"/>
      <c r="L63" s="7">
        <f t="shared" si="31"/>
        <v>-1795</v>
      </c>
      <c r="M63" s="2"/>
      <c r="N63" s="6">
        <f t="shared" si="32"/>
        <v>-1</v>
      </c>
      <c r="O63" s="11"/>
      <c r="P63" s="7"/>
      <c r="Q63" s="2"/>
      <c r="R63" s="6">
        <f t="shared" si="33"/>
        <v>0</v>
      </c>
      <c r="S63" s="2"/>
      <c r="T63" s="7">
        <v>4592</v>
      </c>
      <c r="U63" s="2"/>
      <c r="V63" s="6">
        <f t="shared" si="34"/>
        <v>6.2025555825701705E-2</v>
      </c>
      <c r="W63" s="2"/>
      <c r="X63" s="7">
        <f t="shared" si="35"/>
        <v>-4592</v>
      </c>
      <c r="Y63" s="2"/>
      <c r="Z63" s="6">
        <f t="shared" si="36"/>
        <v>-1</v>
      </c>
    </row>
    <row r="64" spans="1:26" s="28" customFormat="1" outlineLevel="1" collapsed="1" x14ac:dyDescent="0.35">
      <c r="A64" s="27"/>
      <c r="B64" s="14" t="str">
        <f>CONCATENATE("     ","Discounts and Markdowns                           ")</f>
        <v xml:space="preserve">     Discounts and Markdowns                           </v>
      </c>
      <c r="C64" s="14"/>
      <c r="D64" s="1">
        <f>SUM(OSRRefD22_5x_0)</f>
        <v>0</v>
      </c>
      <c r="E64" s="1"/>
      <c r="F64" s="5">
        <f t="shared" si="29"/>
        <v>0</v>
      </c>
      <c r="G64" s="1"/>
      <c r="H64" s="1">
        <f>SUM(OSRRefH22_5x_0)</f>
        <v>574</v>
      </c>
      <c r="I64" s="1"/>
      <c r="J64" s="5">
        <f t="shared" si="30"/>
        <v>2.2013422818791945E-2</v>
      </c>
      <c r="K64" s="1"/>
      <c r="L64" s="1">
        <f t="shared" si="31"/>
        <v>-574</v>
      </c>
      <c r="M64" s="1"/>
      <c r="N64" s="5">
        <f t="shared" si="32"/>
        <v>-1</v>
      </c>
      <c r="O64" s="14"/>
      <c r="P64" s="1">
        <f>SUM(OSRRefP22_5x_0)</f>
        <v>0</v>
      </c>
      <c r="Q64" s="1"/>
      <c r="R64" s="5">
        <f t="shared" si="33"/>
        <v>0</v>
      </c>
      <c r="S64" s="1"/>
      <c r="T64" s="1">
        <f>SUM(OSRRefT22_5x_0)</f>
        <v>1612</v>
      </c>
      <c r="U64" s="1"/>
      <c r="V64" s="5">
        <f t="shared" si="34"/>
        <v>2.1773779614771591E-2</v>
      </c>
      <c r="W64" s="1"/>
      <c r="X64" s="1">
        <f t="shared" si="35"/>
        <v>-1612</v>
      </c>
      <c r="Y64" s="1"/>
      <c r="Z64" s="5">
        <f t="shared" si="36"/>
        <v>-1</v>
      </c>
    </row>
    <row r="65" spans="1:26" s="24" customFormat="1" hidden="1" outlineLevel="2" x14ac:dyDescent="0.35">
      <c r="A65" s="29"/>
      <c r="B65" s="11" t="str">
        <f>CONCATENATE("          ", "6382", " - ", "DISCOUNTS/MARK DOWNS")</f>
        <v xml:space="preserve">          6382 - DISCOUNTS/MARK DOWNS</v>
      </c>
      <c r="C65" s="11"/>
      <c r="D65" s="7"/>
      <c r="E65" s="2"/>
      <c r="F65" s="6">
        <f t="shared" si="29"/>
        <v>0</v>
      </c>
      <c r="G65" s="2"/>
      <c r="H65" s="7">
        <v>574</v>
      </c>
      <c r="I65" s="2"/>
      <c r="J65" s="6">
        <f t="shared" si="30"/>
        <v>2.2013422818791945E-2</v>
      </c>
      <c r="K65" s="2"/>
      <c r="L65" s="7">
        <f t="shared" si="31"/>
        <v>-574</v>
      </c>
      <c r="M65" s="2"/>
      <c r="N65" s="6">
        <f t="shared" si="32"/>
        <v>-1</v>
      </c>
      <c r="O65" s="11"/>
      <c r="P65" s="7"/>
      <c r="Q65" s="2"/>
      <c r="R65" s="6">
        <f t="shared" si="33"/>
        <v>0</v>
      </c>
      <c r="S65" s="2"/>
      <c r="T65" s="7">
        <v>1612</v>
      </c>
      <c r="U65" s="2"/>
      <c r="V65" s="6">
        <f t="shared" si="34"/>
        <v>2.1773779614771591E-2</v>
      </c>
      <c r="W65" s="2"/>
      <c r="X65" s="7">
        <f t="shared" si="35"/>
        <v>-1612</v>
      </c>
      <c r="Y65" s="2"/>
      <c r="Z65" s="6">
        <f t="shared" si="36"/>
        <v>-1</v>
      </c>
    </row>
    <row r="66" spans="1:26" s="24" customFormat="1" hidden="1" outlineLevel="2" x14ac:dyDescent="0.35">
      <c r="A66" s="29"/>
      <c r="B66" s="11" t="str">
        <f>CONCATENATE("          ", "9175", " - ", "EARNED DISCOUNTS")</f>
        <v xml:space="preserve">          9175 - EARNED DISCOUNTS</v>
      </c>
      <c r="C66" s="11"/>
      <c r="D66" s="7"/>
      <c r="E66" s="2"/>
      <c r="F66" s="6">
        <f t="shared" si="29"/>
        <v>0</v>
      </c>
      <c r="G66" s="2"/>
      <c r="H66" s="7"/>
      <c r="I66" s="2"/>
      <c r="J66" s="6">
        <f t="shared" si="30"/>
        <v>0</v>
      </c>
      <c r="K66" s="2"/>
      <c r="L66" s="7">
        <f t="shared" si="31"/>
        <v>0</v>
      </c>
      <c r="M66" s="2"/>
      <c r="N66" s="6">
        <f t="shared" si="32"/>
        <v>0</v>
      </c>
      <c r="O66" s="11"/>
      <c r="P66" s="7">
        <v>0</v>
      </c>
      <c r="Q66" s="2"/>
      <c r="R66" s="6">
        <f t="shared" si="33"/>
        <v>0</v>
      </c>
      <c r="S66" s="2"/>
      <c r="T66" s="7"/>
      <c r="U66" s="2"/>
      <c r="V66" s="6">
        <f t="shared" si="34"/>
        <v>0</v>
      </c>
      <c r="W66" s="2"/>
      <c r="X66" s="7">
        <f t="shared" si="35"/>
        <v>0</v>
      </c>
      <c r="Y66" s="2"/>
      <c r="Z66" s="6">
        <f t="shared" si="36"/>
        <v>0</v>
      </c>
    </row>
    <row r="67" spans="1:26" s="28" customFormat="1" outlineLevel="1" collapsed="1" x14ac:dyDescent="0.35">
      <c r="A67" s="27"/>
      <c r="B67" s="14" t="str">
        <f>CONCATENATE("     ","Freight out/Postage                               ")</f>
        <v xml:space="preserve">     Freight out/Postage                               </v>
      </c>
      <c r="C67" s="14"/>
      <c r="D67" s="1">
        <f>SUM(OSRRefD22_6x_0)</f>
        <v>0</v>
      </c>
      <c r="E67" s="1"/>
      <c r="F67" s="5">
        <f t="shared" ref="F67:F75" si="37">IF(D$12=0,0,D67/D$12)</f>
        <v>0</v>
      </c>
      <c r="G67" s="1"/>
      <c r="H67" s="1">
        <f>SUM(OSRRefH22_6x_0)</f>
        <v>470</v>
      </c>
      <c r="I67" s="1"/>
      <c r="J67" s="5">
        <f t="shared" ref="J67:J75" si="38">IF(H$12=0,0,H67/H$12)</f>
        <v>1.8024928092042185E-2</v>
      </c>
      <c r="K67" s="1"/>
      <c r="L67" s="1">
        <f t="shared" ref="L67:L75" si="39">+D67-H67</f>
        <v>-470</v>
      </c>
      <c r="M67" s="1"/>
      <c r="N67" s="5">
        <f t="shared" ref="N67:N75" si="40">IF(H67=0,0,L67/H67)</f>
        <v>-1</v>
      </c>
      <c r="O67" s="14"/>
      <c r="P67" s="1">
        <f>SUM(OSRRefP22_6x_0)</f>
        <v>0</v>
      </c>
      <c r="Q67" s="1"/>
      <c r="R67" s="5">
        <f t="shared" ref="R67:R75" si="41">IF(P$12=0,0,P67/P$12)</f>
        <v>0</v>
      </c>
      <c r="S67" s="1"/>
      <c r="T67" s="1">
        <f>SUM(OSRRefT22_6x_0)</f>
        <v>1615</v>
      </c>
      <c r="U67" s="1"/>
      <c r="V67" s="5">
        <f t="shared" ref="V67:V75" si="42">IF(T$12=0,0,T67/T$12)</f>
        <v>2.1814301537131587E-2</v>
      </c>
      <c r="W67" s="1"/>
      <c r="X67" s="1">
        <f t="shared" ref="X67:X75" si="43">+P67-T67</f>
        <v>-1615</v>
      </c>
      <c r="Y67" s="1"/>
      <c r="Z67" s="5">
        <f t="shared" ref="Z67:Z75" si="44">IF(T67=0,0,X67/T67)</f>
        <v>-1</v>
      </c>
    </row>
    <row r="68" spans="1:26" s="24" customFormat="1" hidden="1" outlineLevel="2" x14ac:dyDescent="0.35">
      <c r="A68" s="29"/>
      <c r="B68" s="11" t="str">
        <f>CONCATENATE("          ", "6305", " - ", "FREIGHT OUT")</f>
        <v xml:space="preserve">          6305 - FREIGHT OUT</v>
      </c>
      <c r="C68" s="11"/>
      <c r="D68" s="7"/>
      <c r="E68" s="2"/>
      <c r="F68" s="6">
        <f t="shared" si="37"/>
        <v>0</v>
      </c>
      <c r="G68" s="2"/>
      <c r="H68" s="7">
        <v>470</v>
      </c>
      <c r="I68" s="2"/>
      <c r="J68" s="6">
        <f t="shared" si="38"/>
        <v>1.8024928092042185E-2</v>
      </c>
      <c r="K68" s="2"/>
      <c r="L68" s="7">
        <f t="shared" si="39"/>
        <v>-470</v>
      </c>
      <c r="M68" s="2"/>
      <c r="N68" s="6">
        <f t="shared" si="40"/>
        <v>-1</v>
      </c>
      <c r="O68" s="11"/>
      <c r="P68" s="7"/>
      <c r="Q68" s="2"/>
      <c r="R68" s="6">
        <f t="shared" si="41"/>
        <v>0</v>
      </c>
      <c r="S68" s="2"/>
      <c r="T68" s="7">
        <v>1615</v>
      </c>
      <c r="U68" s="2"/>
      <c r="V68" s="6">
        <f t="shared" si="42"/>
        <v>2.1814301537131587E-2</v>
      </c>
      <c r="W68" s="2"/>
      <c r="X68" s="7">
        <f t="shared" si="43"/>
        <v>-1615</v>
      </c>
      <c r="Y68" s="2"/>
      <c r="Z68" s="6">
        <f t="shared" si="44"/>
        <v>-1</v>
      </c>
    </row>
    <row r="69" spans="1:26" s="28" customFormat="1" outlineLevel="1" collapsed="1" x14ac:dyDescent="0.35">
      <c r="A69" s="27"/>
      <c r="B69" s="14" t="str">
        <f>CONCATENATE("     ","General                                           ")</f>
        <v xml:space="preserve">     General                                           </v>
      </c>
      <c r="C69" s="14"/>
      <c r="D69" s="1">
        <f>SUM(OSRRefD22_7x_0)</f>
        <v>0</v>
      </c>
      <c r="E69" s="1"/>
      <c r="F69" s="5">
        <f t="shared" si="37"/>
        <v>0</v>
      </c>
      <c r="G69" s="1"/>
      <c r="H69" s="1">
        <f>SUM(OSRRefH22_7x_0)</f>
        <v>0</v>
      </c>
      <c r="I69" s="1"/>
      <c r="J69" s="5">
        <f t="shared" si="38"/>
        <v>0</v>
      </c>
      <c r="K69" s="1"/>
      <c r="L69" s="1">
        <f t="shared" si="39"/>
        <v>0</v>
      </c>
      <c r="M69" s="1"/>
      <c r="N69" s="5">
        <f t="shared" si="40"/>
        <v>0</v>
      </c>
      <c r="O69" s="14"/>
      <c r="P69" s="1">
        <f>SUM(OSRRefP22_7x_0)</f>
        <v>879.55</v>
      </c>
      <c r="Q69" s="1"/>
      <c r="R69" s="5">
        <f t="shared" si="41"/>
        <v>4.1270331345087632E-2</v>
      </c>
      <c r="S69" s="1"/>
      <c r="T69" s="1">
        <f>SUM(OSRRefT22_7x_0)</f>
        <v>1000</v>
      </c>
      <c r="U69" s="1"/>
      <c r="V69" s="5">
        <f t="shared" si="42"/>
        <v>1.3507307453332253E-2</v>
      </c>
      <c r="W69" s="1"/>
      <c r="X69" s="1">
        <f t="shared" si="43"/>
        <v>-120.45000000000005</v>
      </c>
      <c r="Y69" s="1"/>
      <c r="Z69" s="5">
        <f t="shared" si="44"/>
        <v>-0.12045000000000004</v>
      </c>
    </row>
    <row r="70" spans="1:26" s="24" customFormat="1" hidden="1" outlineLevel="2" x14ac:dyDescent="0.35">
      <c r="A70" s="29"/>
      <c r="B70" s="11" t="str">
        <f>CONCATENATE("          ", "6279", " - ", "GENERAL EXPENSE")</f>
        <v xml:space="preserve">          6279 - GENERAL EXPENSE</v>
      </c>
      <c r="C70" s="11"/>
      <c r="D70" s="7"/>
      <c r="E70" s="2"/>
      <c r="F70" s="6">
        <f t="shared" si="37"/>
        <v>0</v>
      </c>
      <c r="G70" s="2"/>
      <c r="H70" s="7"/>
      <c r="I70" s="2"/>
      <c r="J70" s="6">
        <f t="shared" si="38"/>
        <v>0</v>
      </c>
      <c r="K70" s="2"/>
      <c r="L70" s="7">
        <f t="shared" si="39"/>
        <v>0</v>
      </c>
      <c r="M70" s="2"/>
      <c r="N70" s="6">
        <f t="shared" si="40"/>
        <v>0</v>
      </c>
      <c r="O70" s="11"/>
      <c r="P70" s="7">
        <v>879.55</v>
      </c>
      <c r="Q70" s="2"/>
      <c r="R70" s="6">
        <f t="shared" si="41"/>
        <v>4.1270331345087632E-2</v>
      </c>
      <c r="S70" s="2"/>
      <c r="T70" s="7">
        <v>1000</v>
      </c>
      <c r="U70" s="2"/>
      <c r="V70" s="6">
        <f t="shared" si="42"/>
        <v>1.3507307453332253E-2</v>
      </c>
      <c r="W70" s="2"/>
      <c r="X70" s="7">
        <f t="shared" si="43"/>
        <v>-120.45000000000005</v>
      </c>
      <c r="Y70" s="2"/>
      <c r="Z70" s="6">
        <f t="shared" si="44"/>
        <v>-0.12045000000000004</v>
      </c>
    </row>
    <row r="71" spans="1:26" s="28" customFormat="1" outlineLevel="1" collapsed="1" x14ac:dyDescent="0.35">
      <c r="A71" s="27"/>
      <c r="B71" s="14" t="str">
        <f>CONCATENATE("     ","Professional Services                             ")</f>
        <v xml:space="preserve">     Professional Services                             </v>
      </c>
      <c r="C71" s="14"/>
      <c r="D71" s="1">
        <f>SUM(OSRRefD22_8x_0)</f>
        <v>0</v>
      </c>
      <c r="E71" s="1"/>
      <c r="F71" s="5">
        <f t="shared" si="37"/>
        <v>0</v>
      </c>
      <c r="G71" s="1"/>
      <c r="H71" s="1">
        <f>SUM(OSRRefH22_8x_0)</f>
        <v>0</v>
      </c>
      <c r="I71" s="1"/>
      <c r="J71" s="5">
        <f t="shared" si="38"/>
        <v>0</v>
      </c>
      <c r="K71" s="1"/>
      <c r="L71" s="1">
        <f t="shared" si="39"/>
        <v>0</v>
      </c>
      <c r="M71" s="1"/>
      <c r="N71" s="5">
        <f t="shared" si="40"/>
        <v>0</v>
      </c>
      <c r="O71" s="14"/>
      <c r="P71" s="1">
        <f>SUM(OSRRefP22_8x_0)</f>
        <v>0</v>
      </c>
      <c r="Q71" s="1"/>
      <c r="R71" s="5">
        <f t="shared" si="41"/>
        <v>0</v>
      </c>
      <c r="S71" s="1"/>
      <c r="T71" s="1">
        <f>SUM(OSRRefT22_8x_0)</f>
        <v>800</v>
      </c>
      <c r="U71" s="1"/>
      <c r="V71" s="5">
        <f t="shared" si="42"/>
        <v>1.0805845962665803E-2</v>
      </c>
      <c r="W71" s="1"/>
      <c r="X71" s="1">
        <f t="shared" si="43"/>
        <v>-800</v>
      </c>
      <c r="Y71" s="1"/>
      <c r="Z71" s="5">
        <f t="shared" si="44"/>
        <v>-1</v>
      </c>
    </row>
    <row r="72" spans="1:26" s="24" customFormat="1" hidden="1" outlineLevel="2" x14ac:dyDescent="0.35">
      <c r="A72" s="29"/>
      <c r="B72" s="11" t="str">
        <f>CONCATENATE("          ", "6336", " - ", "PROFESSIONAL SERVICES")</f>
        <v xml:space="preserve">          6336 - PROFESSIONAL SERVICES</v>
      </c>
      <c r="C72" s="11"/>
      <c r="D72" s="7"/>
      <c r="E72" s="2"/>
      <c r="F72" s="6">
        <f t="shared" si="37"/>
        <v>0</v>
      </c>
      <c r="G72" s="2"/>
      <c r="H72" s="7"/>
      <c r="I72" s="2"/>
      <c r="J72" s="6">
        <f t="shared" si="38"/>
        <v>0</v>
      </c>
      <c r="K72" s="2"/>
      <c r="L72" s="7">
        <f t="shared" si="39"/>
        <v>0</v>
      </c>
      <c r="M72" s="2"/>
      <c r="N72" s="6">
        <f t="shared" si="40"/>
        <v>0</v>
      </c>
      <c r="O72" s="11"/>
      <c r="P72" s="7"/>
      <c r="Q72" s="2"/>
      <c r="R72" s="6">
        <f t="shared" si="41"/>
        <v>0</v>
      </c>
      <c r="S72" s="2"/>
      <c r="T72" s="7">
        <v>800</v>
      </c>
      <c r="U72" s="2"/>
      <c r="V72" s="6">
        <f t="shared" si="42"/>
        <v>1.0805845962665803E-2</v>
      </c>
      <c r="W72" s="2"/>
      <c r="X72" s="7">
        <f t="shared" si="43"/>
        <v>-800</v>
      </c>
      <c r="Y72" s="2"/>
      <c r="Z72" s="6">
        <f t="shared" si="44"/>
        <v>-1</v>
      </c>
    </row>
    <row r="73" spans="1:26" s="28" customFormat="1" outlineLevel="1" collapsed="1" x14ac:dyDescent="0.35">
      <c r="A73" s="27"/>
      <c r="B73" s="14" t="str">
        <f>CONCATENATE("     ","Repair and Maintenance                            ")</f>
        <v xml:space="preserve">     Repair and Maintenance                            </v>
      </c>
      <c r="C73" s="14"/>
      <c r="D73" s="1">
        <f>SUM(OSRRefD22_9x_0)</f>
        <v>0</v>
      </c>
      <c r="E73" s="1"/>
      <c r="F73" s="5">
        <f t="shared" si="37"/>
        <v>0</v>
      </c>
      <c r="G73" s="1"/>
      <c r="H73" s="1">
        <f>SUM(OSRRefH22_9x_0)</f>
        <v>100</v>
      </c>
      <c r="I73" s="1"/>
      <c r="J73" s="5">
        <f t="shared" si="38"/>
        <v>3.8350910834132309E-3</v>
      </c>
      <c r="K73" s="1"/>
      <c r="L73" s="1">
        <f t="shared" si="39"/>
        <v>-100</v>
      </c>
      <c r="M73" s="1"/>
      <c r="N73" s="5">
        <f t="shared" si="40"/>
        <v>-1</v>
      </c>
      <c r="O73" s="14"/>
      <c r="P73" s="1">
        <f>SUM(OSRRefP22_9x_0)</f>
        <v>200.82</v>
      </c>
      <c r="Q73" s="1"/>
      <c r="R73" s="5">
        <f t="shared" si="41"/>
        <v>9.4228957315905838E-3</v>
      </c>
      <c r="S73" s="1"/>
      <c r="T73" s="1">
        <f>SUM(OSRRefT22_9x_0)</f>
        <v>700</v>
      </c>
      <c r="U73" s="1"/>
      <c r="V73" s="5">
        <f t="shared" si="42"/>
        <v>9.4551152173325773E-3</v>
      </c>
      <c r="W73" s="1"/>
      <c r="X73" s="1">
        <f t="shared" si="43"/>
        <v>-499.18</v>
      </c>
      <c r="Y73" s="1"/>
      <c r="Z73" s="5">
        <f t="shared" si="44"/>
        <v>-0.7131142857142857</v>
      </c>
    </row>
    <row r="74" spans="1:26" s="24" customFormat="1" hidden="1" outlineLevel="2" x14ac:dyDescent="0.35">
      <c r="A74" s="29"/>
      <c r="B74" s="11" t="str">
        <f>CONCATENATE("          ", "6373", " - ", "MAINTENANCE CONTRACTS")</f>
        <v xml:space="preserve">          6373 - MAINTENANCE CONTRACTS</v>
      </c>
      <c r="C74" s="11"/>
      <c r="D74" s="7"/>
      <c r="E74" s="2"/>
      <c r="F74" s="6">
        <f t="shared" si="37"/>
        <v>0</v>
      </c>
      <c r="G74" s="2"/>
      <c r="H74" s="7"/>
      <c r="I74" s="2"/>
      <c r="J74" s="6">
        <f t="shared" si="38"/>
        <v>0</v>
      </c>
      <c r="K74" s="2"/>
      <c r="L74" s="7">
        <f t="shared" si="39"/>
        <v>0</v>
      </c>
      <c r="M74" s="2"/>
      <c r="N74" s="6">
        <f t="shared" si="40"/>
        <v>0</v>
      </c>
      <c r="O74" s="11"/>
      <c r="P74" s="7">
        <v>200.82</v>
      </c>
      <c r="Q74" s="2"/>
      <c r="R74" s="6">
        <f t="shared" si="41"/>
        <v>9.4228957315905838E-3</v>
      </c>
      <c r="S74" s="2"/>
      <c r="T74" s="7"/>
      <c r="U74" s="2"/>
      <c r="V74" s="6">
        <f t="shared" si="42"/>
        <v>0</v>
      </c>
      <c r="W74" s="2"/>
      <c r="X74" s="7">
        <f t="shared" si="43"/>
        <v>200.82</v>
      </c>
      <c r="Y74" s="2"/>
      <c r="Z74" s="6">
        <f t="shared" si="44"/>
        <v>0</v>
      </c>
    </row>
    <row r="75" spans="1:26" s="24" customFormat="1" hidden="1" outlineLevel="2" x14ac:dyDescent="0.35">
      <c r="A75" s="29"/>
      <c r="B75" s="11" t="str">
        <f>CONCATENATE("          ", "6375", " - ", "OUTSIDE REPAIRS &amp; MAINTENANCE")</f>
        <v xml:space="preserve">          6375 - OUTSIDE REPAIRS &amp; MAINTENANCE</v>
      </c>
      <c r="C75" s="11"/>
      <c r="D75" s="7"/>
      <c r="E75" s="2"/>
      <c r="F75" s="6">
        <f t="shared" si="37"/>
        <v>0</v>
      </c>
      <c r="G75" s="2"/>
      <c r="H75" s="7">
        <v>100</v>
      </c>
      <c r="I75" s="2"/>
      <c r="J75" s="6">
        <f t="shared" si="38"/>
        <v>3.8350910834132309E-3</v>
      </c>
      <c r="K75" s="2"/>
      <c r="L75" s="7">
        <f t="shared" si="39"/>
        <v>-100</v>
      </c>
      <c r="M75" s="2"/>
      <c r="N75" s="6">
        <f t="shared" si="40"/>
        <v>-1</v>
      </c>
      <c r="O75" s="11"/>
      <c r="P75" s="7"/>
      <c r="Q75" s="2"/>
      <c r="R75" s="6">
        <f t="shared" si="41"/>
        <v>0</v>
      </c>
      <c r="S75" s="2"/>
      <c r="T75" s="7">
        <v>700</v>
      </c>
      <c r="U75" s="2"/>
      <c r="V75" s="6">
        <f t="shared" si="42"/>
        <v>9.4551152173325773E-3</v>
      </c>
      <c r="W75" s="2"/>
      <c r="X75" s="7">
        <f t="shared" si="43"/>
        <v>-700</v>
      </c>
      <c r="Y75" s="2"/>
      <c r="Z75" s="6">
        <f t="shared" si="44"/>
        <v>-1</v>
      </c>
    </row>
    <row r="76" spans="1:26" s="28" customFormat="1" outlineLevel="1" collapsed="1" x14ac:dyDescent="0.35">
      <c r="A76" s="27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SUM(OSRRefD22_10x_0)</f>
        <v>0</v>
      </c>
      <c r="E76" s="1"/>
      <c r="F76" s="5">
        <f t="shared" ref="F76:F78" si="45">IF(D$12=0,0,D76/D$12)</f>
        <v>0</v>
      </c>
      <c r="G76" s="1"/>
      <c r="H76" s="1">
        <f>SUM(OSRRefH22_10x_0)</f>
        <v>274</v>
      </c>
      <c r="I76" s="1"/>
      <c r="J76" s="5">
        <f t="shared" ref="J76:J78" si="46">IF(H$12=0,0,H76/H$12)</f>
        <v>1.0508149568552254E-2</v>
      </c>
      <c r="K76" s="1"/>
      <c r="L76" s="1">
        <f t="shared" ref="L76:L78" si="47">+D76-H76</f>
        <v>-274</v>
      </c>
      <c r="M76" s="1"/>
      <c r="N76" s="5">
        <f t="shared" ref="N76:N78" si="48">IF(H76=0,0,L76/H76)</f>
        <v>-1</v>
      </c>
      <c r="O76" s="14"/>
      <c r="P76" s="1">
        <f>SUM(OSRRefP22_10x_0)</f>
        <v>18.5</v>
      </c>
      <c r="Q76" s="1"/>
      <c r="R76" s="5">
        <f t="shared" ref="R76:R78" si="49">IF(P$12=0,0,P76/P$12)</f>
        <v>8.6805881403458724E-4</v>
      </c>
      <c r="S76" s="1"/>
      <c r="T76" s="1">
        <f>SUM(OSRRefT22_10x_0)</f>
        <v>1644</v>
      </c>
      <c r="U76" s="1"/>
      <c r="V76" s="5">
        <f t="shared" ref="V76:V78" si="50">IF(T$12=0,0,T76/T$12)</f>
        <v>2.2206013453278224E-2</v>
      </c>
      <c r="W76" s="1"/>
      <c r="X76" s="1">
        <f t="shared" ref="X76:X78" si="51">+P76-T76</f>
        <v>-1625.5</v>
      </c>
      <c r="Y76" s="1"/>
      <c r="Z76" s="5">
        <f t="shared" ref="Z76:Z78" si="52">IF(T76=0,0,X76/T76)</f>
        <v>-0.98874695863746964</v>
      </c>
    </row>
    <row r="77" spans="1:26" s="24" customFormat="1" hidden="1" outlineLevel="2" x14ac:dyDescent="0.35">
      <c r="A77" s="29"/>
      <c r="B77" s="11" t="str">
        <f>CONCATENATE("          ", "6282", " - ", "JANITORIAL/EXTERMINATOR EXPENS")</f>
        <v xml:space="preserve">          6282 - JANITORIAL/EXTERMINATOR EXPENS</v>
      </c>
      <c r="C77" s="11"/>
      <c r="D77" s="7"/>
      <c r="E77" s="2"/>
      <c r="F77" s="6">
        <f t="shared" si="45"/>
        <v>0</v>
      </c>
      <c r="G77" s="2"/>
      <c r="H77" s="7"/>
      <c r="I77" s="2"/>
      <c r="J77" s="6">
        <f t="shared" si="46"/>
        <v>0</v>
      </c>
      <c r="K77" s="2"/>
      <c r="L77" s="7">
        <f t="shared" si="47"/>
        <v>0</v>
      </c>
      <c r="M77" s="2"/>
      <c r="N77" s="6">
        <f t="shared" si="48"/>
        <v>0</v>
      </c>
      <c r="O77" s="11"/>
      <c r="P77" s="7">
        <v>176</v>
      </c>
      <c r="Q77" s="2"/>
      <c r="R77" s="6">
        <f t="shared" si="49"/>
        <v>8.2582892578425601E-3</v>
      </c>
      <c r="S77" s="2"/>
      <c r="T77" s="7"/>
      <c r="U77" s="2"/>
      <c r="V77" s="6">
        <f t="shared" si="50"/>
        <v>0</v>
      </c>
      <c r="W77" s="2"/>
      <c r="X77" s="7">
        <f t="shared" si="51"/>
        <v>176</v>
      </c>
      <c r="Y77" s="2"/>
      <c r="Z77" s="6">
        <f t="shared" si="52"/>
        <v>0</v>
      </c>
    </row>
    <row r="78" spans="1:26" s="24" customFormat="1" hidden="1" outlineLevel="2" x14ac:dyDescent="0.35">
      <c r="A78" s="29"/>
      <c r="B78" s="11" t="str">
        <f>CONCATENATE("          ", "6285", " - ", "JANITORIAL SERVICES")</f>
        <v xml:space="preserve">          6285 - JANITORIAL SERVICES</v>
      </c>
      <c r="C78" s="11"/>
      <c r="D78" s="7"/>
      <c r="E78" s="2"/>
      <c r="F78" s="6">
        <f t="shared" si="45"/>
        <v>0</v>
      </c>
      <c r="G78" s="2"/>
      <c r="H78" s="7">
        <v>274</v>
      </c>
      <c r="I78" s="2"/>
      <c r="J78" s="6">
        <f t="shared" si="46"/>
        <v>1.0508149568552254E-2</v>
      </c>
      <c r="K78" s="2"/>
      <c r="L78" s="7">
        <f t="shared" si="47"/>
        <v>-274</v>
      </c>
      <c r="M78" s="2"/>
      <c r="N78" s="6">
        <f t="shared" si="48"/>
        <v>-1</v>
      </c>
      <c r="O78" s="11"/>
      <c r="P78" s="7">
        <v>-157.5</v>
      </c>
      <c r="Q78" s="2"/>
      <c r="R78" s="6">
        <f t="shared" si="49"/>
        <v>-7.3902304438079732E-3</v>
      </c>
      <c r="S78" s="2"/>
      <c r="T78" s="7">
        <v>1644</v>
      </c>
      <c r="U78" s="2"/>
      <c r="V78" s="6">
        <f t="shared" si="50"/>
        <v>2.2206013453278224E-2</v>
      </c>
      <c r="W78" s="2"/>
      <c r="X78" s="7">
        <f t="shared" si="51"/>
        <v>-1801.5</v>
      </c>
      <c r="Y78" s="2"/>
      <c r="Z78" s="6">
        <f t="shared" si="52"/>
        <v>-1.0958029197080292</v>
      </c>
    </row>
    <row r="79" spans="1:26" s="28" customFormat="1" outlineLevel="1" collapsed="1" x14ac:dyDescent="0.35">
      <c r="A79" s="27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SUM(OSRRefD22_11x_0)</f>
        <v>0</v>
      </c>
      <c r="E79" s="1"/>
      <c r="F79" s="5">
        <f t="shared" ref="F79:F83" si="53">IF(D$12=0,0,D79/D$12)</f>
        <v>0</v>
      </c>
      <c r="G79" s="1"/>
      <c r="H79" s="1">
        <f>SUM(OSRRefH22_11x_0)</f>
        <v>400</v>
      </c>
      <c r="I79" s="1"/>
      <c r="J79" s="5">
        <f t="shared" ref="J79:J83" si="54">IF(H$12=0,0,H79/H$12)</f>
        <v>1.5340364333652923E-2</v>
      </c>
      <c r="K79" s="1"/>
      <c r="L79" s="1">
        <f t="shared" ref="L79:L83" si="55">+D79-H79</f>
        <v>-400</v>
      </c>
      <c r="M79" s="1"/>
      <c r="N79" s="5">
        <f t="shared" ref="N79:N83" si="56">IF(H79=0,0,L79/H79)</f>
        <v>-1</v>
      </c>
      <c r="O79" s="14"/>
      <c r="P79" s="1">
        <f>SUM(OSRRefP22_11x_0)</f>
        <v>1892.27</v>
      </c>
      <c r="Q79" s="1"/>
      <c r="R79" s="5">
        <f t="shared" ref="R79:R83" si="57">IF(P$12=0,0,P79/P$12)</f>
        <v>8.8789278488282622E-2</v>
      </c>
      <c r="S79" s="1"/>
      <c r="T79" s="1">
        <f>SUM(OSRRefT22_11x_0)</f>
        <v>2000</v>
      </c>
      <c r="U79" s="1"/>
      <c r="V79" s="5">
        <f t="shared" ref="V79:V83" si="58">IF(T$12=0,0,T79/T$12)</f>
        <v>2.7014614906664507E-2</v>
      </c>
      <c r="W79" s="1"/>
      <c r="X79" s="1">
        <f t="shared" ref="X79:X83" si="59">+P79-T79</f>
        <v>-107.73000000000002</v>
      </c>
      <c r="Y79" s="1"/>
      <c r="Z79" s="5">
        <f t="shared" ref="Z79:Z83" si="60">IF(T79=0,0,X79/T79)</f>
        <v>-5.386500000000001E-2</v>
      </c>
    </row>
    <row r="80" spans="1:26" s="24" customFormat="1" hidden="1" outlineLevel="2" x14ac:dyDescent="0.35">
      <c r="A80" s="29"/>
      <c r="B80" s="11" t="str">
        <f>CONCATENATE("          ", "6235", " - ", "COVID-19 EXPENSES")</f>
        <v xml:space="preserve">          6235 - COVID-19 EXPENSES</v>
      </c>
      <c r="C80" s="11"/>
      <c r="D80" s="7"/>
      <c r="E80" s="2"/>
      <c r="F80" s="6">
        <f t="shared" si="53"/>
        <v>0</v>
      </c>
      <c r="G80" s="2"/>
      <c r="H80" s="7">
        <v>200</v>
      </c>
      <c r="I80" s="2"/>
      <c r="J80" s="6">
        <f t="shared" si="54"/>
        <v>7.6701821668264617E-3</v>
      </c>
      <c r="K80" s="2"/>
      <c r="L80" s="7">
        <f t="shared" si="55"/>
        <v>-200</v>
      </c>
      <c r="M80" s="2"/>
      <c r="N80" s="6">
        <f t="shared" si="56"/>
        <v>-1</v>
      </c>
      <c r="O80" s="11"/>
      <c r="P80" s="7">
        <v>444.3</v>
      </c>
      <c r="Q80" s="2"/>
      <c r="R80" s="6">
        <f t="shared" si="57"/>
        <v>2.0847488166246871E-2</v>
      </c>
      <c r="S80" s="2"/>
      <c r="T80" s="7">
        <v>1200</v>
      </c>
      <c r="U80" s="2"/>
      <c r="V80" s="6">
        <f t="shared" si="58"/>
        <v>1.6208768943998704E-2</v>
      </c>
      <c r="W80" s="2"/>
      <c r="X80" s="7">
        <f t="shared" si="59"/>
        <v>-755.7</v>
      </c>
      <c r="Y80" s="2"/>
      <c r="Z80" s="6">
        <f t="shared" si="60"/>
        <v>-0.62975000000000003</v>
      </c>
    </row>
    <row r="81" spans="1:26" s="24" customFormat="1" hidden="1" outlineLevel="2" x14ac:dyDescent="0.35">
      <c r="A81" s="29"/>
      <c r="B81" s="11" t="str">
        <f>CONCATENATE("          ", "6241", " - ", "OFFICE EXPENSE")</f>
        <v xml:space="preserve">          6241 - OFFICE EXPENSE</v>
      </c>
      <c r="C81" s="11"/>
      <c r="D81" s="7"/>
      <c r="E81" s="2"/>
      <c r="F81" s="6">
        <f t="shared" si="53"/>
        <v>0</v>
      </c>
      <c r="G81" s="2"/>
      <c r="H81" s="7"/>
      <c r="I81" s="2"/>
      <c r="J81" s="6">
        <f t="shared" si="54"/>
        <v>0</v>
      </c>
      <c r="K81" s="2"/>
      <c r="L81" s="7">
        <f t="shared" si="55"/>
        <v>0</v>
      </c>
      <c r="M81" s="2"/>
      <c r="N81" s="6">
        <f t="shared" si="56"/>
        <v>0</v>
      </c>
      <c r="O81" s="11"/>
      <c r="P81" s="7">
        <v>225.24</v>
      </c>
      <c r="Q81" s="2"/>
      <c r="R81" s="6">
        <f t="shared" si="57"/>
        <v>1.056873336611624E-2</v>
      </c>
      <c r="S81" s="2"/>
      <c r="T81" s="7"/>
      <c r="U81" s="2"/>
      <c r="V81" s="6">
        <f t="shared" si="58"/>
        <v>0</v>
      </c>
      <c r="W81" s="2"/>
      <c r="X81" s="7">
        <f t="shared" si="59"/>
        <v>225.24</v>
      </c>
      <c r="Y81" s="2"/>
      <c r="Z81" s="6">
        <f t="shared" si="60"/>
        <v>0</v>
      </c>
    </row>
    <row r="82" spans="1:26" s="24" customFormat="1" hidden="1" outlineLevel="2" x14ac:dyDescent="0.35">
      <c r="A82" s="29"/>
      <c r="B82" s="11" t="str">
        <f>CONCATENATE("          ", "6247", " - ", "STORE SUPPLIES")</f>
        <v xml:space="preserve">          6247 - STORE SUPPLIES</v>
      </c>
      <c r="C82" s="11"/>
      <c r="D82" s="7"/>
      <c r="E82" s="2"/>
      <c r="F82" s="6">
        <f t="shared" si="53"/>
        <v>0</v>
      </c>
      <c r="G82" s="2"/>
      <c r="H82" s="7">
        <v>100</v>
      </c>
      <c r="I82" s="2"/>
      <c r="J82" s="6">
        <f t="shared" si="54"/>
        <v>3.8350910834132309E-3</v>
      </c>
      <c r="K82" s="2"/>
      <c r="L82" s="7">
        <f t="shared" si="55"/>
        <v>-100</v>
      </c>
      <c r="M82" s="2"/>
      <c r="N82" s="6">
        <f t="shared" si="56"/>
        <v>-1</v>
      </c>
      <c r="O82" s="11"/>
      <c r="P82" s="7">
        <v>1222.73</v>
      </c>
      <c r="Q82" s="2"/>
      <c r="R82" s="6">
        <f t="shared" si="57"/>
        <v>5.7373056955919509E-2</v>
      </c>
      <c r="S82" s="2"/>
      <c r="T82" s="7">
        <v>600</v>
      </c>
      <c r="U82" s="2"/>
      <c r="V82" s="6">
        <f t="shared" si="58"/>
        <v>8.104384471999352E-3</v>
      </c>
      <c r="W82" s="2"/>
      <c r="X82" s="7">
        <f t="shared" si="59"/>
        <v>622.73</v>
      </c>
      <c r="Y82" s="2"/>
      <c r="Z82" s="6">
        <f t="shared" si="60"/>
        <v>1.0378833333333333</v>
      </c>
    </row>
    <row r="83" spans="1:26" s="24" customFormat="1" hidden="1" outlineLevel="2" x14ac:dyDescent="0.35">
      <c r="A83" s="29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53"/>
        <v>0</v>
      </c>
      <c r="G83" s="2"/>
      <c r="H83" s="7">
        <v>100</v>
      </c>
      <c r="I83" s="2"/>
      <c r="J83" s="6">
        <f t="shared" si="54"/>
        <v>3.8350910834132309E-3</v>
      </c>
      <c r="K83" s="2"/>
      <c r="L83" s="7">
        <f t="shared" si="55"/>
        <v>-100</v>
      </c>
      <c r="M83" s="2"/>
      <c r="N83" s="6">
        <f t="shared" si="56"/>
        <v>-1</v>
      </c>
      <c r="O83" s="11"/>
      <c r="P83" s="7"/>
      <c r="Q83" s="2"/>
      <c r="R83" s="6">
        <f t="shared" si="57"/>
        <v>0</v>
      </c>
      <c r="S83" s="2"/>
      <c r="T83" s="7">
        <v>200</v>
      </c>
      <c r="U83" s="2"/>
      <c r="V83" s="6">
        <f t="shared" si="58"/>
        <v>2.7014614906664507E-3</v>
      </c>
      <c r="W83" s="2"/>
      <c r="X83" s="7">
        <f t="shared" si="59"/>
        <v>-200</v>
      </c>
      <c r="Y83" s="2"/>
      <c r="Z83" s="6">
        <f t="shared" si="60"/>
        <v>-1</v>
      </c>
    </row>
    <row r="84" spans="1:26" s="28" customFormat="1" outlineLevel="1" collapsed="1" x14ac:dyDescent="0.35">
      <c r="A84" s="27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SUM(OSRRefD22_12x_0)</f>
        <v>53</v>
      </c>
      <c r="E84" s="1"/>
      <c r="F84" s="5">
        <f t="shared" ref="F84:F86" si="61">IF(D$12=0,0,D84/D$12)</f>
        <v>0</v>
      </c>
      <c r="G84" s="1"/>
      <c r="H84" s="1">
        <f>SUM(OSRRefH22_12x_0)</f>
        <v>100</v>
      </c>
      <c r="I84" s="1"/>
      <c r="J84" s="5">
        <f t="shared" ref="J84:J86" si="62">IF(H$12=0,0,H84/H$12)</f>
        <v>3.8350910834132309E-3</v>
      </c>
      <c r="K84" s="1"/>
      <c r="L84" s="1">
        <f t="shared" ref="L84:L86" si="63">+D84-H84</f>
        <v>-47</v>
      </c>
      <c r="M84" s="1"/>
      <c r="N84" s="5">
        <f t="shared" ref="N84:N86" si="64">IF(H84=0,0,L84/H84)</f>
        <v>-0.47</v>
      </c>
      <c r="O84" s="14"/>
      <c r="P84" s="1">
        <f>SUM(OSRRefP22_12x_0)</f>
        <v>419.05</v>
      </c>
      <c r="Q84" s="1"/>
      <c r="R84" s="5">
        <f t="shared" ref="R84:R86" si="65">IF(P$12=0,0,P84/P$12)</f>
        <v>1.9662705190334799E-2</v>
      </c>
      <c r="S84" s="1"/>
      <c r="T84" s="1">
        <f>SUM(OSRRefT22_12x_0)</f>
        <v>700</v>
      </c>
      <c r="U84" s="1"/>
      <c r="V84" s="5">
        <f t="shared" ref="V84:V86" si="66">IF(T$12=0,0,T84/T$12)</f>
        <v>9.4551152173325773E-3</v>
      </c>
      <c r="W84" s="1"/>
      <c r="X84" s="1">
        <f t="shared" ref="X84:X86" si="67">+P84-T84</f>
        <v>-280.95</v>
      </c>
      <c r="Y84" s="1"/>
      <c r="Z84" s="5">
        <f t="shared" ref="Z84:Z86" si="68">IF(T84=0,0,X84/T84)</f>
        <v>-0.40135714285714286</v>
      </c>
    </row>
    <row r="85" spans="1:26" s="24" customFormat="1" hidden="1" outlineLevel="2" x14ac:dyDescent="0.35">
      <c r="A85" s="29"/>
      <c r="B85" s="11" t="str">
        <f>CONCATENATE("          ", "6303", " - ", "DATA PHONE LINES")</f>
        <v xml:space="preserve">          6303 - DATA PHONE LINES</v>
      </c>
      <c r="C85" s="11"/>
      <c r="D85" s="7"/>
      <c r="E85" s="2"/>
      <c r="F85" s="6">
        <f t="shared" si="61"/>
        <v>0</v>
      </c>
      <c r="G85" s="2"/>
      <c r="H85" s="7">
        <v>100</v>
      </c>
      <c r="I85" s="2"/>
      <c r="J85" s="6">
        <f t="shared" si="62"/>
        <v>3.8350910834132309E-3</v>
      </c>
      <c r="K85" s="2"/>
      <c r="L85" s="7">
        <f t="shared" si="63"/>
        <v>-100</v>
      </c>
      <c r="M85" s="2"/>
      <c r="N85" s="6">
        <f t="shared" si="64"/>
        <v>-1</v>
      </c>
      <c r="O85" s="11"/>
      <c r="P85" s="7"/>
      <c r="Q85" s="2"/>
      <c r="R85" s="6">
        <f t="shared" si="65"/>
        <v>0</v>
      </c>
      <c r="S85" s="2"/>
      <c r="T85" s="7">
        <v>700</v>
      </c>
      <c r="U85" s="2"/>
      <c r="V85" s="6">
        <f t="shared" si="66"/>
        <v>9.4551152173325773E-3</v>
      </c>
      <c r="W85" s="2"/>
      <c r="X85" s="7">
        <f t="shared" si="67"/>
        <v>-700</v>
      </c>
      <c r="Y85" s="2"/>
      <c r="Z85" s="6">
        <f t="shared" si="68"/>
        <v>-1</v>
      </c>
    </row>
    <row r="86" spans="1:26" s="24" customFormat="1" hidden="1" outlineLevel="2" x14ac:dyDescent="0.35">
      <c r="A86" s="29"/>
      <c r="B86" s="11" t="str">
        <f>CONCATENATE("          ", "6309", " - ", "TELEPHONE")</f>
        <v xml:space="preserve">          6309 - TELEPHONE</v>
      </c>
      <c r="C86" s="11"/>
      <c r="D86" s="7">
        <v>53</v>
      </c>
      <c r="E86" s="2"/>
      <c r="F86" s="6">
        <f t="shared" si="61"/>
        <v>0</v>
      </c>
      <c r="G86" s="2"/>
      <c r="H86" s="7"/>
      <c r="I86" s="2"/>
      <c r="J86" s="6">
        <f t="shared" si="62"/>
        <v>0</v>
      </c>
      <c r="K86" s="2"/>
      <c r="L86" s="7">
        <f t="shared" si="63"/>
        <v>53</v>
      </c>
      <c r="M86" s="2"/>
      <c r="N86" s="6">
        <f t="shared" si="64"/>
        <v>0</v>
      </c>
      <c r="O86" s="11"/>
      <c r="P86" s="7">
        <v>419.05</v>
      </c>
      <c r="Q86" s="2"/>
      <c r="R86" s="6">
        <f t="shared" si="65"/>
        <v>1.9662705190334799E-2</v>
      </c>
      <c r="S86" s="2"/>
      <c r="T86" s="7"/>
      <c r="U86" s="2"/>
      <c r="V86" s="6">
        <f t="shared" si="66"/>
        <v>0</v>
      </c>
      <c r="W86" s="2"/>
      <c r="X86" s="7">
        <f t="shared" si="67"/>
        <v>419.05</v>
      </c>
      <c r="Y86" s="2"/>
      <c r="Z86" s="6">
        <f t="shared" si="68"/>
        <v>0</v>
      </c>
    </row>
    <row r="87" spans="1:26" s="28" customFormat="1" outlineLevel="1" collapsed="1" x14ac:dyDescent="0.35">
      <c r="A87" s="27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SUM(OSRRefD22_13x_0)</f>
        <v>0</v>
      </c>
      <c r="E87" s="1"/>
      <c r="F87" s="5">
        <f t="shared" ref="F87:F88" si="69">IF(D$12=0,0,D87/D$12)</f>
        <v>0</v>
      </c>
      <c r="G87" s="1"/>
      <c r="H87" s="1">
        <f>SUM(OSRRefH22_13x_0)</f>
        <v>60</v>
      </c>
      <c r="I87" s="1"/>
      <c r="J87" s="5">
        <f t="shared" ref="J87:J88" si="70">IF(H$12=0,0,H87/H$12)</f>
        <v>2.3010546500479385E-3</v>
      </c>
      <c r="K87" s="1"/>
      <c r="L87" s="1">
        <f t="shared" ref="L87:L88" si="71">+D87-H87</f>
        <v>-60</v>
      </c>
      <c r="M87" s="1"/>
      <c r="N87" s="5">
        <f t="shared" ref="N87:N88" si="72">IF(H87=0,0,L87/H87)</f>
        <v>-1</v>
      </c>
      <c r="O87" s="14"/>
      <c r="P87" s="1">
        <f>SUM(OSRRefP22_13x_0)</f>
        <v>14</v>
      </c>
      <c r="Q87" s="1"/>
      <c r="R87" s="5">
        <f t="shared" ref="R87:R88" si="73">IF(P$12=0,0,P87/P$12)</f>
        <v>6.5690937278293094E-4</v>
      </c>
      <c r="S87" s="1"/>
      <c r="T87" s="1">
        <f>SUM(OSRRefT22_13x_0)</f>
        <v>120</v>
      </c>
      <c r="U87" s="1"/>
      <c r="V87" s="5">
        <f t="shared" ref="V87:V88" si="74">IF(T$12=0,0,T87/T$12)</f>
        <v>1.6208768943998704E-3</v>
      </c>
      <c r="W87" s="1"/>
      <c r="X87" s="1">
        <f t="shared" ref="X87:X88" si="75">+P87-T87</f>
        <v>-106</v>
      </c>
      <c r="Y87" s="1"/>
      <c r="Z87" s="5">
        <f t="shared" ref="Z87:Z88" si="76">IF(T87=0,0,X87/T87)</f>
        <v>-0.8833333333333333</v>
      </c>
    </row>
    <row r="88" spans="1:26" s="24" customFormat="1" hidden="1" outlineLevel="2" x14ac:dyDescent="0.35">
      <c r="A88" s="29"/>
      <c r="B88" s="11" t="str">
        <f>CONCATENATE("          ", "6376", " - ", "TRAINING")</f>
        <v xml:space="preserve">          6376 - TRAINING</v>
      </c>
      <c r="C88" s="11"/>
      <c r="D88" s="7"/>
      <c r="E88" s="2"/>
      <c r="F88" s="6">
        <f t="shared" si="69"/>
        <v>0</v>
      </c>
      <c r="G88" s="2"/>
      <c r="H88" s="7">
        <v>60</v>
      </c>
      <c r="I88" s="2"/>
      <c r="J88" s="6">
        <f t="shared" si="70"/>
        <v>2.3010546500479385E-3</v>
      </c>
      <c r="K88" s="2"/>
      <c r="L88" s="7">
        <f t="shared" si="71"/>
        <v>-60</v>
      </c>
      <c r="M88" s="2"/>
      <c r="N88" s="6">
        <f t="shared" si="72"/>
        <v>-1</v>
      </c>
      <c r="O88" s="11"/>
      <c r="P88" s="7">
        <v>14</v>
      </c>
      <c r="Q88" s="2"/>
      <c r="R88" s="6">
        <f t="shared" si="73"/>
        <v>6.5690937278293094E-4</v>
      </c>
      <c r="S88" s="2"/>
      <c r="T88" s="7">
        <v>120</v>
      </c>
      <c r="U88" s="2"/>
      <c r="V88" s="6">
        <f t="shared" si="74"/>
        <v>1.6208768943998704E-3</v>
      </c>
      <c r="W88" s="2"/>
      <c r="X88" s="7">
        <f t="shared" si="75"/>
        <v>-106</v>
      </c>
      <c r="Y88" s="2"/>
      <c r="Z88" s="6">
        <f t="shared" si="76"/>
        <v>-0.8833333333333333</v>
      </c>
    </row>
    <row r="89" spans="1:26" s="55" customFormat="1" x14ac:dyDescent="0.3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35">
      <c r="A90" s="10"/>
      <c r="B90" s="25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3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35">
      <c r="A92" s="10"/>
      <c r="B92" s="26" t="s">
        <v>3</v>
      </c>
      <c r="C92" s="26"/>
      <c r="D92" s="19">
        <f>+D35-D37+D90</f>
        <v>-71.52</v>
      </c>
      <c r="E92" s="13"/>
      <c r="F92" s="21">
        <f>IF(D$12=0,0,D92/D$12)</f>
        <v>0</v>
      </c>
      <c r="G92" s="13"/>
      <c r="H92" s="19">
        <f>+H35-H37+H90</f>
        <v>-5813.6109300000026</v>
      </c>
      <c r="I92" s="13"/>
      <c r="J92" s="21">
        <f>IF(H$12=0,0,H92/H$12)</f>
        <v>-0.22295727440076712</v>
      </c>
      <c r="K92" s="16"/>
      <c r="L92" s="19">
        <f>+D92-H92</f>
        <v>5742.0909300000021</v>
      </c>
      <c r="M92" s="16"/>
      <c r="N92" s="21">
        <f>IF(H92=0,0,L92/H92)</f>
        <v>-0.98769783515595522</v>
      </c>
      <c r="O92" s="25"/>
      <c r="P92" s="19">
        <f>+P35-P37+P90</f>
        <v>-4899.0899999999929</v>
      </c>
      <c r="Q92" s="13"/>
      <c r="R92" s="21">
        <f>IF(P$12=0,0,P92/P$12)</f>
        <v>-0.22987558136479461</v>
      </c>
      <c r="S92" s="13"/>
      <c r="T92" s="19">
        <f>+T35-T37+T90</f>
        <v>-42309.992073999994</v>
      </c>
      <c r="U92" s="13"/>
      <c r="V92" s="21">
        <f>IF(T$12=0,0,T92/T$12)</f>
        <v>-0.57149407129156871</v>
      </c>
      <c r="W92" s="16"/>
      <c r="X92" s="19">
        <f>+P92-T92</f>
        <v>37410.902073999998</v>
      </c>
      <c r="Y92" s="16"/>
      <c r="Z92" s="21">
        <f>IF(T92=0,0,X92/T92)</f>
        <v>-0.88420962141917891</v>
      </c>
    </row>
    <row r="93" spans="1:26" x14ac:dyDescent="0.3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35">
      <c r="A94" s="52"/>
      <c r="B94" s="10" t="s">
        <v>14</v>
      </c>
      <c r="C94" s="10"/>
      <c r="D94" s="4">
        <v>-74.48</v>
      </c>
      <c r="E94" s="4"/>
      <c r="F94" s="12">
        <f>IF(D$12=0,0,D94/D$12)</f>
        <v>0</v>
      </c>
      <c r="G94" s="4"/>
      <c r="H94" s="4">
        <v>4298</v>
      </c>
      <c r="I94" s="4"/>
      <c r="J94" s="12">
        <f>IF(H$12=0,0,H94/H$12)</f>
        <v>0.16483221476510068</v>
      </c>
      <c r="K94" s="4"/>
      <c r="L94" s="4">
        <f>+D94-H94</f>
        <v>-4372.4799999999996</v>
      </c>
      <c r="M94" s="4"/>
      <c r="N94" s="12">
        <f>IF(H94=0,0,L94/H94)</f>
        <v>-1.0173289902280129</v>
      </c>
      <c r="O94" s="10"/>
      <c r="P94" s="4">
        <v>3868.68</v>
      </c>
      <c r="Q94" s="4"/>
      <c r="R94" s="12">
        <f>IF(P$12=0,0,P94/P$12)</f>
        <v>0.18152658230699065</v>
      </c>
      <c r="S94" s="4"/>
      <c r="T94" s="4">
        <v>18341</v>
      </c>
      <c r="U94" s="4"/>
      <c r="V94" s="12">
        <f>IF(T$12=0,0,T94/T$12)</f>
        <v>0.24773752600156684</v>
      </c>
      <c r="W94" s="4"/>
      <c r="X94" s="4">
        <f>+P94-T94</f>
        <v>-14472.32</v>
      </c>
      <c r="Y94" s="4"/>
      <c r="Z94" s="12">
        <f>IF(T94=0,0,X94/T94)</f>
        <v>-0.78906929829344086</v>
      </c>
    </row>
    <row r="95" spans="1:26" x14ac:dyDescent="0.3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" thickBot="1" x14ac:dyDescent="0.4">
      <c r="A96" s="10"/>
      <c r="B96" s="26" t="s">
        <v>4</v>
      </c>
      <c r="C96" s="26"/>
      <c r="D96" s="33">
        <f>+D92-D94</f>
        <v>2.960000000000008</v>
      </c>
      <c r="E96" s="13"/>
      <c r="F96" s="31">
        <f>IF(D$12=0,0,D96/D$12)</f>
        <v>0</v>
      </c>
      <c r="G96" s="13"/>
      <c r="H96" s="33">
        <f>+H92-H94</f>
        <v>-10111.610930000003</v>
      </c>
      <c r="I96" s="13"/>
      <c r="J96" s="31">
        <f>IF(H$12=0,0,H96/H$12)</f>
        <v>-0.38778948916586781</v>
      </c>
      <c r="K96" s="16"/>
      <c r="L96" s="33">
        <f>D96-H96</f>
        <v>10114.570930000002</v>
      </c>
      <c r="M96" s="16"/>
      <c r="N96" s="31">
        <f>IF(H96=0,0,L96/H96)</f>
        <v>-1.0002927327821938</v>
      </c>
      <c r="O96" s="25"/>
      <c r="P96" s="33">
        <f>+P92-P94</f>
        <v>-8767.7699999999932</v>
      </c>
      <c r="Q96" s="13"/>
      <c r="R96" s="31">
        <f>IF(P$12=0,0,P96/P$12)</f>
        <v>-0.41140216367178528</v>
      </c>
      <c r="S96" s="13"/>
      <c r="T96" s="33">
        <f>+T92-T94</f>
        <v>-60650.992073999994</v>
      </c>
      <c r="U96" s="13"/>
      <c r="V96" s="31">
        <f>IF(T$12=0,0,T96/T$12)</f>
        <v>-0.81923159729313555</v>
      </c>
      <c r="W96" s="16"/>
      <c r="X96" s="33">
        <f>P96-T96</f>
        <v>51883.222074000005</v>
      </c>
      <c r="Y96" s="16"/>
      <c r="Z96" s="31">
        <f>IF(T96=0,0,X96/T96)</f>
        <v>-0.85543896809960707</v>
      </c>
    </row>
    <row r="97" spans="1:26" ht="15" thickTop="1" x14ac:dyDescent="0.3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3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" thickBot="1" x14ac:dyDescent="0.4">
      <c r="A99" s="10"/>
      <c r="B99" s="26" t="s">
        <v>5</v>
      </c>
      <c r="C99" s="26"/>
      <c r="D99" s="34">
        <f>SUM(D96:D98)</f>
        <v>2.960000000000008</v>
      </c>
      <c r="E99" s="13"/>
      <c r="F99" s="32">
        <f>IF(D$12=0,0,D99/D$12)</f>
        <v>0</v>
      </c>
      <c r="G99" s="13"/>
      <c r="H99" s="34">
        <f>SUM(H96:H98)</f>
        <v>-10111.610930000003</v>
      </c>
      <c r="I99" s="13"/>
      <c r="J99" s="32">
        <f>IF(H$12=0,0,H99/H$12)</f>
        <v>-0.38778948916586781</v>
      </c>
      <c r="K99" s="16"/>
      <c r="L99" s="34">
        <f>+D99-H99</f>
        <v>10114.570930000002</v>
      </c>
      <c r="M99" s="16"/>
      <c r="N99" s="32">
        <f>IF(H99=0,0,L99/H99)</f>
        <v>-1.0002927327821938</v>
      </c>
      <c r="O99" s="25"/>
      <c r="P99" s="34">
        <f>SUM(P96:P98)</f>
        <v>-8767.7699999999932</v>
      </c>
      <c r="Q99" s="13"/>
      <c r="R99" s="32">
        <f>IF(P$12=0,0,P99/P$12)</f>
        <v>-0.41140216367178528</v>
      </c>
      <c r="S99" s="13"/>
      <c r="T99" s="34">
        <f>SUM(T96:T98)</f>
        <v>-60650.992073999994</v>
      </c>
      <c r="U99" s="13"/>
      <c r="V99" s="32">
        <f>IF(T$12=0,0,T99/T$12)</f>
        <v>-0.81923159729313555</v>
      </c>
      <c r="W99" s="16"/>
      <c r="X99" s="34">
        <f>+P99-T99</f>
        <v>51883.222074000005</v>
      </c>
      <c r="Y99" s="16"/>
      <c r="Z99" s="32">
        <f>IF(T99=0,0,X99/T99)</f>
        <v>-0.85543896809960707</v>
      </c>
    </row>
    <row r="100" spans="1:26" ht="15" thickTop="1" x14ac:dyDescent="0.3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35">
      <c r="A101" s="9"/>
      <c r="B101" s="60">
        <v>44238.490116469904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35">
      <c r="A102" s="9"/>
      <c r="B102" s="59" t="s">
        <v>314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35">
      <c r="A103" s="9"/>
      <c r="B103" s="58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3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","307", " - ", "Art Store")</f>
        <v>Department 307 - Art Store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26075</v>
      </c>
      <c r="I12" s="4"/>
      <c r="J12" s="12"/>
      <c r="K12" s="4"/>
      <c r="L12" s="4">
        <f t="shared" ref="L12:L23" si="0">+D12-H12</f>
        <v>-26075</v>
      </c>
      <c r="M12" s="4"/>
      <c r="N12" s="12">
        <f t="shared" ref="N12:N23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74034</v>
      </c>
      <c r="U12" s="4"/>
      <c r="V12" s="12"/>
      <c r="W12" s="4"/>
      <c r="X12" s="4">
        <f t="shared" ref="X12:X23" si="2">+P12-T12</f>
        <v>-52722.080000000002</v>
      </c>
      <c r="Y12" s="4"/>
      <c r="Z12" s="12">
        <f t="shared" ref="Z12:Z23" si="3">IF(T12=0,0,X12/T12)</f>
        <v>-0.71213334413917928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23" si="4"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-1096.44</f>
        <v>-1096.44</v>
      </c>
      <c r="Q13" s="2"/>
      <c r="R13" s="22"/>
      <c r="S13" s="2"/>
      <c r="T13" s="2"/>
      <c r="U13" s="2"/>
      <c r="V13" s="22"/>
      <c r="W13" s="2"/>
      <c r="X13" s="2">
        <f t="shared" si="2"/>
        <v>-1096.44</v>
      </c>
      <c r="Y13" s="2"/>
      <c r="Z13" s="22">
        <f t="shared" si="3"/>
        <v>0</v>
      </c>
    </row>
    <row r="14" spans="1:26" s="24" customFormat="1" hidden="1" outlineLevel="1" x14ac:dyDescent="0.3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--17.51</f>
        <v>17.510000000000002</v>
      </c>
      <c r="Q14" s="2"/>
      <c r="R14" s="22"/>
      <c r="S14" s="2"/>
      <c r="T14" s="2"/>
      <c r="U14" s="2"/>
      <c r="V14" s="22"/>
      <c r="W14" s="2"/>
      <c r="X14" s="2">
        <f t="shared" si="2"/>
        <v>17.510000000000002</v>
      </c>
      <c r="Y14" s="2"/>
      <c r="Z14" s="22">
        <f t="shared" si="3"/>
        <v>0</v>
      </c>
    </row>
    <row r="15" spans="1:26" s="24" customFormat="1" hidden="1" outlineLevel="1" x14ac:dyDescent="0.3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22"/>
      <c r="G15" s="2"/>
      <c r="H15" s="2"/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--7990.32</f>
        <v>7990.32</v>
      </c>
      <c r="Q15" s="2"/>
      <c r="R15" s="22"/>
      <c r="S15" s="2"/>
      <c r="T15" s="2"/>
      <c r="U15" s="2"/>
      <c r="V15" s="22"/>
      <c r="W15" s="2"/>
      <c r="X15" s="2">
        <f t="shared" si="2"/>
        <v>7990.32</v>
      </c>
      <c r="Y15" s="2"/>
      <c r="Z15" s="22">
        <f t="shared" si="3"/>
        <v>0</v>
      </c>
    </row>
    <row r="16" spans="1:26" s="24" customFormat="1" hidden="1" outlineLevel="1" x14ac:dyDescent="0.3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--12479.05</f>
        <v>12479.05</v>
      </c>
      <c r="Q16" s="2"/>
      <c r="R16" s="22"/>
      <c r="S16" s="2"/>
      <c r="T16" s="2"/>
      <c r="U16" s="2"/>
      <c r="V16" s="22"/>
      <c r="W16" s="2"/>
      <c r="X16" s="2">
        <f t="shared" si="2"/>
        <v>12479.05</v>
      </c>
      <c r="Y16" s="2"/>
      <c r="Z16" s="22">
        <f t="shared" si="3"/>
        <v>0</v>
      </c>
    </row>
    <row r="17" spans="1:26" s="24" customFormat="1" hidden="1" outlineLevel="1" x14ac:dyDescent="0.3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--374.55</f>
        <v>374.55</v>
      </c>
      <c r="Q17" s="2"/>
      <c r="R17" s="22"/>
      <c r="S17" s="2"/>
      <c r="T17" s="2"/>
      <c r="U17" s="2"/>
      <c r="V17" s="22"/>
      <c r="W17" s="2"/>
      <c r="X17" s="2">
        <f t="shared" si="2"/>
        <v>374.55</v>
      </c>
      <c r="Y17" s="2"/>
      <c r="Z17" s="22">
        <f t="shared" si="3"/>
        <v>0</v>
      </c>
    </row>
    <row r="18" spans="1:26" s="24" customFormat="1" hidden="1" outlineLevel="1" x14ac:dyDescent="0.35">
      <c r="A18" s="51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4"/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--71.95</f>
        <v>71.95</v>
      </c>
      <c r="Q18" s="2"/>
      <c r="R18" s="22"/>
      <c r="S18" s="2"/>
      <c r="T18" s="2"/>
      <c r="U18" s="2"/>
      <c r="V18" s="22"/>
      <c r="W18" s="2"/>
      <c r="X18" s="2">
        <f t="shared" si="2"/>
        <v>71.95</v>
      </c>
      <c r="Y18" s="2"/>
      <c r="Z18" s="22">
        <f t="shared" si="3"/>
        <v>0</v>
      </c>
    </row>
    <row r="19" spans="1:26" s="24" customFormat="1" hidden="1" outlineLevel="1" x14ac:dyDescent="0.35">
      <c r="A19" s="51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4"/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--9.99</f>
        <v>9.99</v>
      </c>
      <c r="Q19" s="2"/>
      <c r="R19" s="22"/>
      <c r="S19" s="2"/>
      <c r="T19" s="2"/>
      <c r="U19" s="2"/>
      <c r="V19" s="22"/>
      <c r="W19" s="2"/>
      <c r="X19" s="2">
        <f t="shared" si="2"/>
        <v>9.99</v>
      </c>
      <c r="Y19" s="2"/>
      <c r="Z19" s="22">
        <f t="shared" si="3"/>
        <v>0</v>
      </c>
    </row>
    <row r="20" spans="1:26" s="24" customFormat="1" hidden="1" outlineLevel="1" x14ac:dyDescent="0.35">
      <c r="A20" s="51"/>
      <c r="B20" s="11" t="str">
        <f>CONCATENATE("          ", "4100", " - ", "NON-TAXABLE SALES")</f>
        <v xml:space="preserve">          4100 - NON-TAXABLE SALES</v>
      </c>
      <c r="C20" s="11"/>
      <c r="D20" s="2">
        <f t="shared" si="4"/>
        <v>0</v>
      </c>
      <c r="E20" s="2"/>
      <c r="F20" s="22"/>
      <c r="G20" s="2"/>
      <c r="H20" s="2">
        <v>26075</v>
      </c>
      <c r="I20" s="2"/>
      <c r="J20" s="22"/>
      <c r="K20" s="2"/>
      <c r="L20" s="2">
        <f t="shared" si="0"/>
        <v>-26075</v>
      </c>
      <c r="M20" s="2"/>
      <c r="N20" s="22">
        <f t="shared" si="1"/>
        <v>-1</v>
      </c>
      <c r="O20" s="11"/>
      <c r="P20" s="2">
        <f>0</f>
        <v>0</v>
      </c>
      <c r="Q20" s="2"/>
      <c r="R20" s="22"/>
      <c r="S20" s="2"/>
      <c r="T20" s="2">
        <v>74034</v>
      </c>
      <c r="U20" s="2"/>
      <c r="V20" s="22"/>
      <c r="W20" s="2"/>
      <c r="X20" s="2">
        <f t="shared" si="2"/>
        <v>-74034</v>
      </c>
      <c r="Y20" s="2"/>
      <c r="Z20" s="22">
        <f t="shared" si="3"/>
        <v>-1</v>
      </c>
    </row>
    <row r="21" spans="1:26" s="24" customFormat="1" hidden="1" outlineLevel="1" x14ac:dyDescent="0.35">
      <c r="A21" s="51"/>
      <c r="B21" s="11" t="str">
        <f>CONCATENATE("          ", "4131", " - ", "NON-TAXABLE SALES-FOOD")</f>
        <v xml:space="preserve">          4131 - NON-TAXABLE SALES-FOOD</v>
      </c>
      <c r="C21" s="11"/>
      <c r="D21" s="2">
        <f t="shared" si="4"/>
        <v>0</v>
      </c>
      <c r="E21" s="2"/>
      <c r="F21" s="22"/>
      <c r="G21" s="2"/>
      <c r="H21" s="2"/>
      <c r="I21" s="2"/>
      <c r="J21" s="22"/>
      <c r="K21" s="2"/>
      <c r="L21" s="2">
        <f t="shared" si="0"/>
        <v>0</v>
      </c>
      <c r="M21" s="2"/>
      <c r="N21" s="22">
        <f t="shared" si="1"/>
        <v>0</v>
      </c>
      <c r="O21" s="11"/>
      <c r="P21" s="2">
        <f>--1847.16</f>
        <v>1847.16</v>
      </c>
      <c r="Q21" s="2"/>
      <c r="R21" s="22"/>
      <c r="S21" s="2"/>
      <c r="T21" s="2"/>
      <c r="U21" s="2"/>
      <c r="V21" s="22"/>
      <c r="W21" s="2"/>
      <c r="X21" s="2">
        <f t="shared" si="2"/>
        <v>1847.16</v>
      </c>
      <c r="Y21" s="2"/>
      <c r="Z21" s="22">
        <f t="shared" si="3"/>
        <v>0</v>
      </c>
    </row>
    <row r="22" spans="1:26" s="24" customFormat="1" hidden="1" outlineLevel="1" x14ac:dyDescent="0.35">
      <c r="A22" s="51"/>
      <c r="B22" s="11" t="str">
        <f>CONCATENATE("          ", "4227", " - ", "SALES RETURN TAXABLE-SCHOOL SU")</f>
        <v xml:space="preserve">          4227 - SALES RETURN TAXABLE-SCHOOL SU</v>
      </c>
      <c r="C22" s="11"/>
      <c r="D22" s="2">
        <f t="shared" si="4"/>
        <v>0</v>
      </c>
      <c r="E22" s="2"/>
      <c r="F22" s="22"/>
      <c r="G22" s="2"/>
      <c r="H22" s="2"/>
      <c r="I22" s="2"/>
      <c r="J22" s="22"/>
      <c r="K22" s="2"/>
      <c r="L22" s="2">
        <f t="shared" si="0"/>
        <v>0</v>
      </c>
      <c r="M22" s="2"/>
      <c r="N22" s="22">
        <f t="shared" si="1"/>
        <v>0</v>
      </c>
      <c r="O22" s="11"/>
      <c r="P22" s="2">
        <f>-159.97</f>
        <v>-159.97</v>
      </c>
      <c r="Q22" s="2"/>
      <c r="R22" s="22"/>
      <c r="S22" s="2"/>
      <c r="T22" s="2"/>
      <c r="U22" s="2"/>
      <c r="V22" s="22"/>
      <c r="W22" s="2"/>
      <c r="X22" s="2">
        <f t="shared" si="2"/>
        <v>-159.97</v>
      </c>
      <c r="Y22" s="2"/>
      <c r="Z22" s="22">
        <f t="shared" si="3"/>
        <v>0</v>
      </c>
    </row>
    <row r="23" spans="1:26" s="24" customFormat="1" hidden="1" outlineLevel="1" x14ac:dyDescent="0.35">
      <c r="A23" s="51"/>
      <c r="B23" s="11" t="str">
        <f>CONCATENATE("          ", "4228", " - ", "SALES RETURN TAXABLE-ART/TECH")</f>
        <v xml:space="preserve">          4228 - SALES RETURN TAXABLE-ART/TECH</v>
      </c>
      <c r="C23" s="11"/>
      <c r="D23" s="2">
        <f t="shared" si="4"/>
        <v>0</v>
      </c>
      <c r="E23" s="2"/>
      <c r="F23" s="22"/>
      <c r="G23" s="2"/>
      <c r="H23" s="2"/>
      <c r="I23" s="2"/>
      <c r="J23" s="22"/>
      <c r="K23" s="2"/>
      <c r="L23" s="2">
        <f t="shared" si="0"/>
        <v>0</v>
      </c>
      <c r="M23" s="2"/>
      <c r="N23" s="22">
        <f t="shared" si="1"/>
        <v>0</v>
      </c>
      <c r="O23" s="11"/>
      <c r="P23" s="2">
        <f>-222.2</f>
        <v>-222.2</v>
      </c>
      <c r="Q23" s="2"/>
      <c r="R23" s="22"/>
      <c r="S23" s="2"/>
      <c r="T23" s="2"/>
      <c r="U23" s="2"/>
      <c r="V23" s="22"/>
      <c r="W23" s="2"/>
      <c r="X23" s="2">
        <f t="shared" si="2"/>
        <v>-222.2</v>
      </c>
      <c r="Y23" s="2"/>
      <c r="Z23" s="22">
        <f t="shared" si="3"/>
        <v>0</v>
      </c>
    </row>
    <row r="24" spans="1:26" x14ac:dyDescent="0.3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35">
      <c r="A25" s="10"/>
      <c r="B25" s="25" t="s">
        <v>8</v>
      </c>
      <c r="C25" s="10"/>
      <c r="D25" s="4">
        <f>SUM(OSRRefD16x_0)</f>
        <v>18.52</v>
      </c>
      <c r="E25" s="4"/>
      <c r="F25" s="12">
        <f t="shared" ref="F25:F33" si="5">IF(D$12=0,0,D25/D$12)</f>
        <v>0</v>
      </c>
      <c r="G25" s="4"/>
      <c r="H25" s="4">
        <f>SUM(OSRRefH16x_0)</f>
        <v>13247</v>
      </c>
      <c r="I25" s="4"/>
      <c r="J25" s="12">
        <f t="shared" ref="J25:J33" si="6">IF(H$12=0,0,H25/H$12)</f>
        <v>0.50803451581975068</v>
      </c>
      <c r="K25" s="4"/>
      <c r="L25" s="4">
        <f t="shared" ref="L25:L33" si="7">+D25-H25</f>
        <v>-13228.48</v>
      </c>
      <c r="M25" s="4"/>
      <c r="N25" s="12">
        <f t="shared" ref="N25:N33" si="8">IF(H25=0,0,L25/H25)</f>
        <v>-0.99860194761077981</v>
      </c>
      <c r="O25" s="10"/>
      <c r="P25" s="4">
        <f>SUM(OSRRefP16x_0)</f>
        <v>13730.259999999995</v>
      </c>
      <c r="Q25" s="4"/>
      <c r="R25" s="12">
        <f t="shared" ref="R25:R33" si="9">IF(P$12=0,0,P25/P$12)</f>
        <v>0.64425260605332579</v>
      </c>
      <c r="S25" s="4"/>
      <c r="T25" s="4">
        <f>SUM(OSRRefT16x_0)</f>
        <v>37892</v>
      </c>
      <c r="U25" s="4"/>
      <c r="V25" s="12">
        <f t="shared" ref="V25:V33" si="10">IF(T$12=0,0,T25/T$12)</f>
        <v>0.51181889402166569</v>
      </c>
      <c r="W25" s="4"/>
      <c r="X25" s="4">
        <f t="shared" ref="X25:X33" si="11">+P25-T25</f>
        <v>-24161.740000000005</v>
      </c>
      <c r="Y25" s="4"/>
      <c r="Z25" s="12">
        <f t="shared" ref="Z25:Z33" si="12">IF(T25=0,0,X25/T25)</f>
        <v>-0.63764752454343943</v>
      </c>
    </row>
    <row r="26" spans="1:26" s="24" customFormat="1" hidden="1" outlineLevel="1" x14ac:dyDescent="0.35">
      <c r="A26" s="51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22">
        <f t="shared" si="5"/>
        <v>0</v>
      </c>
      <c r="G26" s="2"/>
      <c r="H26" s="2">
        <v>13247</v>
      </c>
      <c r="I26" s="2"/>
      <c r="J26" s="22">
        <f t="shared" si="6"/>
        <v>0.50803451581975068</v>
      </c>
      <c r="K26" s="2"/>
      <c r="L26" s="2">
        <f t="shared" si="7"/>
        <v>-13247</v>
      </c>
      <c r="M26" s="2"/>
      <c r="N26" s="22">
        <f t="shared" si="8"/>
        <v>-1</v>
      </c>
      <c r="O26" s="11"/>
      <c r="P26" s="2"/>
      <c r="Q26" s="2"/>
      <c r="R26" s="22">
        <f t="shared" si="9"/>
        <v>0</v>
      </c>
      <c r="S26" s="2"/>
      <c r="T26" s="2">
        <v>37892</v>
      </c>
      <c r="U26" s="2"/>
      <c r="V26" s="22">
        <f t="shared" si="10"/>
        <v>0.51181889402166569</v>
      </c>
      <c r="W26" s="2"/>
      <c r="X26" s="2">
        <f t="shared" si="11"/>
        <v>-37892</v>
      </c>
      <c r="Y26" s="2"/>
      <c r="Z26" s="22">
        <f t="shared" si="12"/>
        <v>-1</v>
      </c>
    </row>
    <row r="27" spans="1:26" s="24" customFormat="1" hidden="1" outlineLevel="1" x14ac:dyDescent="0.35">
      <c r="A27" s="51"/>
      <c r="B27" s="11" t="str">
        <f>CONCATENATE("          ", "5026", " - ", "PURCHASES @ COST-WRITING INSTR")</f>
        <v xml:space="preserve">          5026 - PURCHASES @ COST-WRITING INSTR</v>
      </c>
      <c r="C27" s="11"/>
      <c r="D27" s="2"/>
      <c r="E27" s="2"/>
      <c r="F27" s="22">
        <f t="shared" si="5"/>
        <v>0</v>
      </c>
      <c r="G27" s="2"/>
      <c r="H27" s="2"/>
      <c r="I27" s="2"/>
      <c r="J27" s="22">
        <f t="shared" si="6"/>
        <v>0</v>
      </c>
      <c r="K27" s="2"/>
      <c r="L27" s="2">
        <f t="shared" si="7"/>
        <v>0</v>
      </c>
      <c r="M27" s="2"/>
      <c r="N27" s="22">
        <f t="shared" si="8"/>
        <v>0</v>
      </c>
      <c r="O27" s="11"/>
      <c r="P27" s="2">
        <v>364.91</v>
      </c>
      <c r="Q27" s="2"/>
      <c r="R27" s="22">
        <f t="shared" si="9"/>
        <v>1.7122342801587094E-2</v>
      </c>
      <c r="S27" s="2"/>
      <c r="T27" s="2"/>
      <c r="U27" s="2"/>
      <c r="V27" s="22">
        <f t="shared" si="10"/>
        <v>0</v>
      </c>
      <c r="W27" s="2"/>
      <c r="X27" s="2">
        <f t="shared" si="11"/>
        <v>364.91</v>
      </c>
      <c r="Y27" s="2"/>
      <c r="Z27" s="22">
        <f t="shared" si="12"/>
        <v>0</v>
      </c>
    </row>
    <row r="28" spans="1:26" s="24" customFormat="1" hidden="1" outlineLevel="1" x14ac:dyDescent="0.35">
      <c r="A28" s="51"/>
      <c r="B28" s="11" t="str">
        <f>CONCATENATE("          ", "5027", " - ", "PURCHASES @ COST-SCHOOL SUPPLI")</f>
        <v xml:space="preserve">          5027 - PURCHASES @ COST-SCHOOL SUPPLI</v>
      </c>
      <c r="C28" s="11"/>
      <c r="D28" s="2"/>
      <c r="E28" s="2"/>
      <c r="F28" s="22">
        <f t="shared" si="5"/>
        <v>0</v>
      </c>
      <c r="G28" s="2"/>
      <c r="H28" s="2"/>
      <c r="I28" s="2"/>
      <c r="J28" s="22">
        <f t="shared" si="6"/>
        <v>0</v>
      </c>
      <c r="K28" s="2"/>
      <c r="L28" s="2">
        <f t="shared" si="7"/>
        <v>0</v>
      </c>
      <c r="M28" s="2"/>
      <c r="N28" s="22">
        <f t="shared" si="8"/>
        <v>0</v>
      </c>
      <c r="O28" s="11"/>
      <c r="P28" s="2">
        <v>895.47</v>
      </c>
      <c r="Q28" s="2"/>
      <c r="R28" s="22">
        <f t="shared" si="9"/>
        <v>4.201733114613794E-2</v>
      </c>
      <c r="S28" s="2"/>
      <c r="T28" s="2"/>
      <c r="U28" s="2"/>
      <c r="V28" s="22">
        <f t="shared" si="10"/>
        <v>0</v>
      </c>
      <c r="W28" s="2"/>
      <c r="X28" s="2">
        <f t="shared" si="11"/>
        <v>895.47</v>
      </c>
      <c r="Y28" s="2"/>
      <c r="Z28" s="22">
        <f t="shared" si="12"/>
        <v>0</v>
      </c>
    </row>
    <row r="29" spans="1:26" s="24" customFormat="1" hidden="1" outlineLevel="1" x14ac:dyDescent="0.35">
      <c r="A29" s="51"/>
      <c r="B29" s="11" t="str">
        <f>CONCATENATE("          ", "5028", " - ", "PURCHASES @ COST-ART/TECH")</f>
        <v xml:space="preserve">          5028 - PURCHASES @ COST-ART/TECH</v>
      </c>
      <c r="C29" s="11"/>
      <c r="D29" s="2"/>
      <c r="E29" s="2"/>
      <c r="F29" s="22">
        <f t="shared" si="5"/>
        <v>0</v>
      </c>
      <c r="G29" s="2"/>
      <c r="H29" s="2"/>
      <c r="I29" s="2"/>
      <c r="J29" s="22">
        <f t="shared" si="6"/>
        <v>0</v>
      </c>
      <c r="K29" s="2"/>
      <c r="L29" s="2">
        <f t="shared" si="7"/>
        <v>0</v>
      </c>
      <c r="M29" s="2"/>
      <c r="N29" s="22">
        <f t="shared" si="8"/>
        <v>0</v>
      </c>
      <c r="O29" s="11"/>
      <c r="P29" s="2">
        <v>41441.85</v>
      </c>
      <c r="Q29" s="2"/>
      <c r="R29" s="22">
        <f t="shared" si="9"/>
        <v>1.9445385493188789</v>
      </c>
      <c r="S29" s="2"/>
      <c r="T29" s="2"/>
      <c r="U29" s="2"/>
      <c r="V29" s="22">
        <f t="shared" si="10"/>
        <v>0</v>
      </c>
      <c r="W29" s="2"/>
      <c r="X29" s="2">
        <f t="shared" si="11"/>
        <v>41441.85</v>
      </c>
      <c r="Y29" s="2"/>
      <c r="Z29" s="22">
        <f t="shared" si="12"/>
        <v>0</v>
      </c>
    </row>
    <row r="30" spans="1:26" s="24" customFormat="1" hidden="1" outlineLevel="1" x14ac:dyDescent="0.35">
      <c r="A30" s="51"/>
      <c r="B30" s="11" t="str">
        <f>CONCATENATE("          ", "5031", " - ", "PURCHASES @ COST-FOOD")</f>
        <v xml:space="preserve">          5031 - PURCHASES @ COST-FOOD</v>
      </c>
      <c r="C30" s="11"/>
      <c r="D30" s="2"/>
      <c r="E30" s="2"/>
      <c r="F30" s="22">
        <f t="shared" si="5"/>
        <v>0</v>
      </c>
      <c r="G30" s="2"/>
      <c r="H30" s="2"/>
      <c r="I30" s="2"/>
      <c r="J30" s="22">
        <f t="shared" si="6"/>
        <v>0</v>
      </c>
      <c r="K30" s="2"/>
      <c r="L30" s="2">
        <f t="shared" si="7"/>
        <v>0</v>
      </c>
      <c r="M30" s="2"/>
      <c r="N30" s="22">
        <f t="shared" si="8"/>
        <v>0</v>
      </c>
      <c r="O30" s="11"/>
      <c r="P30" s="2">
        <v>2441.5700000000002</v>
      </c>
      <c r="Q30" s="2"/>
      <c r="R30" s="22">
        <f t="shared" si="9"/>
        <v>0.11456358695040149</v>
      </c>
      <c r="S30" s="2"/>
      <c r="T30" s="2"/>
      <c r="U30" s="2"/>
      <c r="V30" s="22">
        <f t="shared" si="10"/>
        <v>0</v>
      </c>
      <c r="W30" s="2"/>
      <c r="X30" s="2">
        <f t="shared" si="11"/>
        <v>2441.5700000000002</v>
      </c>
      <c r="Y30" s="2"/>
      <c r="Z30" s="22">
        <f t="shared" si="12"/>
        <v>0</v>
      </c>
    </row>
    <row r="31" spans="1:26" s="24" customFormat="1" hidden="1" outlineLevel="1" x14ac:dyDescent="0.35">
      <c r="A31" s="51"/>
      <c r="B31" s="11" t="str">
        <f>CONCATENATE("          ", "5200", " - ", "PURCHASES OFFSET")</f>
        <v xml:space="preserve">          5200 - PURCHASES OFFSET</v>
      </c>
      <c r="C31" s="11"/>
      <c r="D31" s="2"/>
      <c r="E31" s="2"/>
      <c r="F31" s="22">
        <f t="shared" si="5"/>
        <v>0</v>
      </c>
      <c r="G31" s="2"/>
      <c r="H31" s="2"/>
      <c r="I31" s="2"/>
      <c r="J31" s="22">
        <f t="shared" si="6"/>
        <v>0</v>
      </c>
      <c r="K31" s="2"/>
      <c r="L31" s="2">
        <f t="shared" si="7"/>
        <v>0</v>
      </c>
      <c r="M31" s="2"/>
      <c r="N31" s="22">
        <f t="shared" si="8"/>
        <v>0</v>
      </c>
      <c r="O31" s="11"/>
      <c r="P31" s="2">
        <v>-45863.33</v>
      </c>
      <c r="Q31" s="2"/>
      <c r="R31" s="22">
        <f t="shared" si="9"/>
        <v>-2.1520036674311842</v>
      </c>
      <c r="S31" s="2"/>
      <c r="T31" s="2"/>
      <c r="U31" s="2"/>
      <c r="V31" s="22">
        <f t="shared" si="10"/>
        <v>0</v>
      </c>
      <c r="W31" s="2"/>
      <c r="X31" s="2">
        <f t="shared" si="11"/>
        <v>-45863.33</v>
      </c>
      <c r="Y31" s="2"/>
      <c r="Z31" s="22">
        <f t="shared" si="12"/>
        <v>0</v>
      </c>
    </row>
    <row r="32" spans="1:26" s="24" customFormat="1" hidden="1" outlineLevel="1" x14ac:dyDescent="0.35">
      <c r="A32" s="51"/>
      <c r="B32" s="11" t="str">
        <f>CONCATENATE("          ", "5300", " - ", "COG$ OFFSET")</f>
        <v xml:space="preserve">          5300 - COG$ OFFSET</v>
      </c>
      <c r="C32" s="11"/>
      <c r="D32" s="2"/>
      <c r="E32" s="2"/>
      <c r="F32" s="22">
        <f t="shared" si="5"/>
        <v>0</v>
      </c>
      <c r="G32" s="2"/>
      <c r="H32" s="2"/>
      <c r="I32" s="2"/>
      <c r="J32" s="22">
        <f t="shared" si="6"/>
        <v>0</v>
      </c>
      <c r="K32" s="2"/>
      <c r="L32" s="2">
        <f t="shared" si="7"/>
        <v>0</v>
      </c>
      <c r="M32" s="2"/>
      <c r="N32" s="22">
        <f t="shared" si="8"/>
        <v>0</v>
      </c>
      <c r="O32" s="11"/>
      <c r="P32" s="2">
        <v>14145</v>
      </c>
      <c r="Q32" s="2"/>
      <c r="R32" s="22">
        <f t="shared" si="9"/>
        <v>0.66371307700103988</v>
      </c>
      <c r="S32" s="2"/>
      <c r="T32" s="2"/>
      <c r="U32" s="2"/>
      <c r="V32" s="22">
        <f t="shared" si="10"/>
        <v>0</v>
      </c>
      <c r="W32" s="2"/>
      <c r="X32" s="2">
        <f t="shared" si="11"/>
        <v>14145</v>
      </c>
      <c r="Y32" s="2"/>
      <c r="Z32" s="22">
        <f t="shared" si="12"/>
        <v>0</v>
      </c>
    </row>
    <row r="33" spans="1:26" s="24" customFormat="1" hidden="1" outlineLevel="1" x14ac:dyDescent="0.35">
      <c r="A33" s="51"/>
      <c r="B33" s="11" t="str">
        <f>CONCATENATE("          ", "5528", " - ", "FREIGHT-IN-ART/TECH")</f>
        <v xml:space="preserve">          5528 - FREIGHT-IN-ART/TECH</v>
      </c>
      <c r="C33" s="11"/>
      <c r="D33" s="2">
        <v>18.52</v>
      </c>
      <c r="E33" s="2"/>
      <c r="F33" s="22">
        <f t="shared" si="5"/>
        <v>0</v>
      </c>
      <c r="G33" s="2"/>
      <c r="H33" s="2"/>
      <c r="I33" s="2"/>
      <c r="J33" s="22">
        <f t="shared" si="6"/>
        <v>0</v>
      </c>
      <c r="K33" s="2"/>
      <c r="L33" s="2">
        <f t="shared" si="7"/>
        <v>18.52</v>
      </c>
      <c r="M33" s="2"/>
      <c r="N33" s="22">
        <f t="shared" si="8"/>
        <v>0</v>
      </c>
      <c r="O33" s="11"/>
      <c r="P33" s="2">
        <v>304.79000000000002</v>
      </c>
      <c r="Q33" s="2"/>
      <c r="R33" s="22">
        <f t="shared" si="9"/>
        <v>1.4301386266464966E-2</v>
      </c>
      <c r="S33" s="2"/>
      <c r="T33" s="2"/>
      <c r="U33" s="2"/>
      <c r="V33" s="22">
        <f t="shared" si="10"/>
        <v>0</v>
      </c>
      <c r="W33" s="2"/>
      <c r="X33" s="2">
        <f t="shared" si="11"/>
        <v>304.79000000000002</v>
      </c>
      <c r="Y33" s="2"/>
      <c r="Z33" s="22">
        <f t="shared" si="12"/>
        <v>0</v>
      </c>
    </row>
    <row r="34" spans="1:26" x14ac:dyDescent="0.3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35">
      <c r="A35" s="10"/>
      <c r="B35" s="26" t="s">
        <v>6</v>
      </c>
      <c r="C35" s="26"/>
      <c r="D35" s="19">
        <f>D12-D25</f>
        <v>-18.52</v>
      </c>
      <c r="E35" s="13"/>
      <c r="F35" s="21">
        <f>IF(D$12=0,0,D35/D$12)</f>
        <v>0</v>
      </c>
      <c r="G35" s="13"/>
      <c r="H35" s="19">
        <f>H12-H25</f>
        <v>12828</v>
      </c>
      <c r="I35" s="13"/>
      <c r="J35" s="21">
        <f>IF(H$12=0,0,H35/H$12)</f>
        <v>0.49196548418024927</v>
      </c>
      <c r="K35" s="16"/>
      <c r="L35" s="19">
        <f>+D35-H35</f>
        <v>-12846.52</v>
      </c>
      <c r="M35" s="16"/>
      <c r="N35" s="21">
        <f>IF(H35=0,0,L35/H35)</f>
        <v>-1.0014437168693484</v>
      </c>
      <c r="O35" s="25"/>
      <c r="P35" s="19">
        <f>P12-P25</f>
        <v>7581.6600000000035</v>
      </c>
      <c r="Q35" s="13"/>
      <c r="R35" s="21">
        <f>IF(P$12=0,0,P35/P$12)</f>
        <v>0.35574739394667415</v>
      </c>
      <c r="S35" s="13"/>
      <c r="T35" s="19">
        <f>T12-T25</f>
        <v>36142</v>
      </c>
      <c r="U35" s="13"/>
      <c r="V35" s="21">
        <f>IF(T$12=0,0,T35/T$12)</f>
        <v>0.48818110597833431</v>
      </c>
      <c r="W35" s="16"/>
      <c r="X35" s="19">
        <f>+P35-T35</f>
        <v>-28560.339999999997</v>
      </c>
      <c r="Y35" s="16"/>
      <c r="Z35" s="21">
        <f>IF(T35=0,0,X35/T35)</f>
        <v>-0.79022577610536204</v>
      </c>
    </row>
    <row r="36" spans="1:26" x14ac:dyDescent="0.35">
      <c r="A36" s="9"/>
      <c r="B36" s="10"/>
      <c r="C36" s="9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6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35">
      <c r="A37" s="10"/>
      <c r="B37" s="25" t="s">
        <v>9</v>
      </c>
      <c r="C37" s="10"/>
      <c r="D37" s="20">
        <f>SUM(OSRRefD22x_0)</f>
        <v>53</v>
      </c>
      <c r="E37" s="20"/>
      <c r="F37" s="30">
        <f t="shared" ref="F37:F46" si="13">IF(D$12=0,0,D37/D$12)</f>
        <v>0</v>
      </c>
      <c r="G37" s="20"/>
      <c r="H37" s="20">
        <f>SUM(OSRRefH22x_0)</f>
        <v>18641.610930000003</v>
      </c>
      <c r="I37" s="20"/>
      <c r="J37" s="30">
        <f t="shared" ref="J37:J46" si="14">IF(H$12=0,0,H37/H$12)</f>
        <v>0.71492275858101639</v>
      </c>
      <c r="K37" s="4"/>
      <c r="L37" s="20">
        <f t="shared" ref="L37:L46" si="15">+D37-H37</f>
        <v>-18588.610930000003</v>
      </c>
      <c r="M37" s="4"/>
      <c r="N37" s="30">
        <f t="shared" ref="N37:N46" si="16">IF(H37=0,0,L37/H37)</f>
        <v>-0.99715689807071839</v>
      </c>
      <c r="O37" s="10"/>
      <c r="P37" s="20">
        <f>SUM(OSRRefP22x_0)</f>
        <v>12480.749999999996</v>
      </c>
      <c r="Q37" s="20"/>
      <c r="R37" s="30">
        <f t="shared" ref="R37:R46" si="17">IF(P$12=0,0,P37/P$12)</f>
        <v>0.58562297531146879</v>
      </c>
      <c r="S37" s="20"/>
      <c r="T37" s="20">
        <f>SUM(OSRRefT22x_0)</f>
        <v>78451.992073999994</v>
      </c>
      <c r="U37" s="20"/>
      <c r="V37" s="30">
        <f t="shared" ref="V37:V46" si="18">IF(T$12=0,0,T37/T$12)</f>
        <v>1.0596751772699029</v>
      </c>
      <c r="W37" s="4"/>
      <c r="X37" s="20">
        <f t="shared" ref="X37:X46" si="19">+P37-T37</f>
        <v>-65971.242073999994</v>
      </c>
      <c r="Y37" s="4"/>
      <c r="Z37" s="30">
        <f t="shared" ref="Z37:Z46" si="20">IF(T37=0,0,X37/T37)</f>
        <v>-0.84091226149837583</v>
      </c>
    </row>
    <row r="38" spans="1:26" s="28" customFormat="1" outlineLevel="1" collapsed="1" x14ac:dyDescent="0.35">
      <c r="A38" s="27"/>
      <c r="B38" s="14" t="str">
        <f>CONCATENATE("     ","*Benefits                                         ")</f>
        <v xml:space="preserve">     *Benefits                                         </v>
      </c>
      <c r="C38" s="14"/>
      <c r="D38" s="1">
        <f>SUM(OSRRefD22_0x_0)</f>
        <v>0</v>
      </c>
      <c r="E38" s="1"/>
      <c r="F38" s="5">
        <f t="shared" si="13"/>
        <v>0</v>
      </c>
      <c r="G38" s="1"/>
      <c r="H38" s="1">
        <f>SUM(OSRRefH22_0x_0)</f>
        <v>2456.8009300000003</v>
      </c>
      <c r="I38" s="1"/>
      <c r="J38" s="5">
        <f t="shared" si="14"/>
        <v>9.4220553403643353E-2</v>
      </c>
      <c r="K38" s="1"/>
      <c r="L38" s="1">
        <f t="shared" si="15"/>
        <v>-2456.8009300000003</v>
      </c>
      <c r="M38" s="1"/>
      <c r="N38" s="5">
        <f t="shared" si="16"/>
        <v>-1</v>
      </c>
      <c r="O38" s="14"/>
      <c r="P38" s="1">
        <f>SUM(OSRRefP22_0x_0)</f>
        <v>778.2</v>
      </c>
      <c r="Q38" s="1"/>
      <c r="R38" s="5">
        <f t="shared" si="17"/>
        <v>3.6514776707119778E-2</v>
      </c>
      <c r="S38" s="1"/>
      <c r="T38" s="1">
        <f>SUM(OSRRefT22_0x_0)</f>
        <v>13644.212073999999</v>
      </c>
      <c r="U38" s="1"/>
      <c r="V38" s="5">
        <f t="shared" si="18"/>
        <v>0.18429656744198611</v>
      </c>
      <c r="W38" s="1"/>
      <c r="X38" s="1">
        <f t="shared" si="19"/>
        <v>-12866.012073999998</v>
      </c>
      <c r="Y38" s="1"/>
      <c r="Z38" s="5">
        <f t="shared" si="20"/>
        <v>-0.94296482671337867</v>
      </c>
    </row>
    <row r="39" spans="1:26" s="24" customFormat="1" hidden="1" outlineLevel="2" x14ac:dyDescent="0.35">
      <c r="A39" s="29"/>
      <c r="B39" s="11" t="str">
        <f>CONCATENATE("          ", "6111", " - ", "F.I.C.A.")</f>
        <v xml:space="preserve">          6111 - F.I.C.A.</v>
      </c>
      <c r="C39" s="11"/>
      <c r="D39" s="7"/>
      <c r="E39" s="2"/>
      <c r="F39" s="6">
        <f t="shared" si="13"/>
        <v>0</v>
      </c>
      <c r="G39" s="2"/>
      <c r="H39" s="7">
        <v>598.18143899999995</v>
      </c>
      <c r="I39" s="2"/>
      <c r="J39" s="6">
        <f t="shared" si="14"/>
        <v>2.2940803029721953E-2</v>
      </c>
      <c r="K39" s="2"/>
      <c r="L39" s="7">
        <f t="shared" si="15"/>
        <v>-598.18143899999995</v>
      </c>
      <c r="M39" s="2"/>
      <c r="N39" s="6">
        <f t="shared" si="16"/>
        <v>-1</v>
      </c>
      <c r="O39" s="11"/>
      <c r="P39" s="7">
        <v>484.61</v>
      </c>
      <c r="Q39" s="2"/>
      <c r="R39" s="6">
        <f t="shared" si="17"/>
        <v>2.2738917938881154E-2</v>
      </c>
      <c r="S39" s="2"/>
      <c r="T39" s="7">
        <v>2963.7926160000002</v>
      </c>
      <c r="U39" s="2"/>
      <c r="V39" s="6">
        <f t="shared" si="18"/>
        <v>4.0032858092227896E-2</v>
      </c>
      <c r="W39" s="2"/>
      <c r="X39" s="7">
        <f t="shared" si="19"/>
        <v>-2479.1826160000001</v>
      </c>
      <c r="Y39" s="2"/>
      <c r="Z39" s="6">
        <f t="shared" si="20"/>
        <v>-0.83648990911717691</v>
      </c>
    </row>
    <row r="40" spans="1:26" s="24" customFormat="1" hidden="1" outlineLevel="2" x14ac:dyDescent="0.35">
      <c r="A40" s="29"/>
      <c r="B40" s="11" t="str">
        <f>CONCATENATE("          ", "6112", " - ", "COMPENSATION INSURANCE")</f>
        <v xml:space="preserve">          6112 - COMPENSATION INSURANCE</v>
      </c>
      <c r="C40" s="11"/>
      <c r="D40" s="7"/>
      <c r="E40" s="2"/>
      <c r="F40" s="6">
        <f t="shared" si="13"/>
        <v>0</v>
      </c>
      <c r="G40" s="2"/>
      <c r="H40" s="7">
        <v>232.578485</v>
      </c>
      <c r="I40" s="2"/>
      <c r="J40" s="6">
        <f t="shared" si="14"/>
        <v>8.9195967401725796E-3</v>
      </c>
      <c r="K40" s="2"/>
      <c r="L40" s="7">
        <f t="shared" si="15"/>
        <v>-232.578485</v>
      </c>
      <c r="M40" s="2"/>
      <c r="N40" s="6">
        <f t="shared" si="16"/>
        <v>-1</v>
      </c>
      <c r="O40" s="11"/>
      <c r="P40" s="7">
        <v>255.57</v>
      </c>
      <c r="Q40" s="2"/>
      <c r="R40" s="6">
        <f t="shared" si="17"/>
        <v>1.1991880600152403E-2</v>
      </c>
      <c r="S40" s="2"/>
      <c r="T40" s="7">
        <v>944.18043</v>
      </c>
      <c r="U40" s="2"/>
      <c r="V40" s="6">
        <f t="shared" si="18"/>
        <v>1.2753335359429451E-2</v>
      </c>
      <c r="W40" s="2"/>
      <c r="X40" s="7">
        <f t="shared" si="19"/>
        <v>-688.61042999999995</v>
      </c>
      <c r="Y40" s="2"/>
      <c r="Z40" s="6">
        <f t="shared" si="20"/>
        <v>-0.72932080365190366</v>
      </c>
    </row>
    <row r="41" spans="1:26" s="24" customFormat="1" hidden="1" outlineLevel="2" x14ac:dyDescent="0.35">
      <c r="A41" s="29"/>
      <c r="B41" s="11" t="str">
        <f>CONCATENATE("          ", "6113", " - ", "GROUP INSURANCE")</f>
        <v xml:space="preserve">          6113 - GROUP INSURANCE</v>
      </c>
      <c r="C41" s="11"/>
      <c r="D41" s="7"/>
      <c r="E41" s="2"/>
      <c r="F41" s="6">
        <f t="shared" si="13"/>
        <v>0</v>
      </c>
      <c r="G41" s="2"/>
      <c r="H41" s="7">
        <v>665</v>
      </c>
      <c r="I41" s="2"/>
      <c r="J41" s="6">
        <f t="shared" si="14"/>
        <v>2.5503355704697986E-2</v>
      </c>
      <c r="K41" s="2"/>
      <c r="L41" s="7">
        <f t="shared" si="15"/>
        <v>-665</v>
      </c>
      <c r="M41" s="2"/>
      <c r="N41" s="6">
        <f t="shared" si="16"/>
        <v>-1</v>
      </c>
      <c r="O41" s="11"/>
      <c r="P41" s="7"/>
      <c r="Q41" s="2"/>
      <c r="R41" s="6">
        <f t="shared" si="17"/>
        <v>0</v>
      </c>
      <c r="S41" s="2"/>
      <c r="T41" s="7">
        <v>4655</v>
      </c>
      <c r="U41" s="2"/>
      <c r="V41" s="6">
        <f t="shared" si="18"/>
        <v>6.2876516195261634E-2</v>
      </c>
      <c r="W41" s="2"/>
      <c r="X41" s="7">
        <f t="shared" si="19"/>
        <v>-4655</v>
      </c>
      <c r="Y41" s="2"/>
      <c r="Z41" s="6">
        <f t="shared" si="20"/>
        <v>-1</v>
      </c>
    </row>
    <row r="42" spans="1:26" s="24" customFormat="1" hidden="1" outlineLevel="2" x14ac:dyDescent="0.35">
      <c r="A42" s="29"/>
      <c r="B42" s="11" t="str">
        <f>CONCATENATE("          ", "6114", " - ", "STATE UNEMPLOYMENT INSURANCE")</f>
        <v xml:space="preserve">          6114 - STATE UNEMPLOYMENT INSURANCE</v>
      </c>
      <c r="C42" s="11"/>
      <c r="D42" s="7"/>
      <c r="E42" s="2"/>
      <c r="F42" s="6">
        <f t="shared" si="13"/>
        <v>0</v>
      </c>
      <c r="G42" s="2"/>
      <c r="H42" s="7">
        <v>32.686706000000001</v>
      </c>
      <c r="I42" s="2"/>
      <c r="J42" s="6">
        <f t="shared" si="14"/>
        <v>1.2535649472674977E-3</v>
      </c>
      <c r="K42" s="2"/>
      <c r="L42" s="7">
        <f t="shared" si="15"/>
        <v>-32.686706000000001</v>
      </c>
      <c r="M42" s="2"/>
      <c r="N42" s="6">
        <f t="shared" si="16"/>
        <v>-1</v>
      </c>
      <c r="O42" s="11"/>
      <c r="P42" s="7">
        <v>38.020000000000003</v>
      </c>
      <c r="Q42" s="2"/>
      <c r="R42" s="6">
        <f t="shared" si="17"/>
        <v>1.7839781680862169E-3</v>
      </c>
      <c r="S42" s="2"/>
      <c r="T42" s="7">
        <v>132.695628</v>
      </c>
      <c r="U42" s="2"/>
      <c r="V42" s="6">
        <f t="shared" si="18"/>
        <v>1.792360645109004E-3</v>
      </c>
      <c r="W42" s="2"/>
      <c r="X42" s="7">
        <f t="shared" si="19"/>
        <v>-94.675627999999989</v>
      </c>
      <c r="Y42" s="2"/>
      <c r="Z42" s="6">
        <f t="shared" si="20"/>
        <v>-0.7134796332551363</v>
      </c>
    </row>
    <row r="43" spans="1:26" s="24" customFormat="1" hidden="1" outlineLevel="2" x14ac:dyDescent="0.35">
      <c r="A43" s="29"/>
      <c r="B43" s="11" t="str">
        <f>CONCATENATE("          ", "6115", " - ", "P.E.R.S.")</f>
        <v xml:space="preserve">          6115 - P.E.R.S.</v>
      </c>
      <c r="C43" s="11"/>
      <c r="D43" s="7"/>
      <c r="E43" s="2"/>
      <c r="F43" s="6">
        <f t="shared" si="13"/>
        <v>0</v>
      </c>
      <c r="G43" s="2"/>
      <c r="H43" s="7">
        <v>447.2</v>
      </c>
      <c r="I43" s="2"/>
      <c r="J43" s="6">
        <f t="shared" si="14"/>
        <v>1.7150527325023968E-2</v>
      </c>
      <c r="K43" s="2"/>
      <c r="L43" s="7">
        <f t="shared" si="15"/>
        <v>-447.2</v>
      </c>
      <c r="M43" s="2"/>
      <c r="N43" s="6">
        <f t="shared" si="16"/>
        <v>-1</v>
      </c>
      <c r="O43" s="11"/>
      <c r="P43" s="7"/>
      <c r="Q43" s="2"/>
      <c r="R43" s="6">
        <f t="shared" si="17"/>
        <v>0</v>
      </c>
      <c r="S43" s="2"/>
      <c r="T43" s="7">
        <v>2772.64</v>
      </c>
      <c r="U43" s="2"/>
      <c r="V43" s="6">
        <f t="shared" si="18"/>
        <v>3.7450900937407133E-2</v>
      </c>
      <c r="W43" s="2"/>
      <c r="X43" s="7">
        <f t="shared" si="19"/>
        <v>-2772.64</v>
      </c>
      <c r="Y43" s="2"/>
      <c r="Z43" s="6">
        <f t="shared" si="20"/>
        <v>-1</v>
      </c>
    </row>
    <row r="44" spans="1:26" s="24" customFormat="1" hidden="1" outlineLevel="2" x14ac:dyDescent="0.35">
      <c r="A44" s="29"/>
      <c r="B44" s="11" t="str">
        <f>CONCATENATE("          ", "6116", " - ", "EDUCATIONAL BENEFITS")</f>
        <v xml:space="preserve">          6116 - EDUCATIONAL BENEFITS</v>
      </c>
      <c r="C44" s="11"/>
      <c r="D44" s="7"/>
      <c r="E44" s="2"/>
      <c r="F44" s="6">
        <f t="shared" si="13"/>
        <v>0</v>
      </c>
      <c r="G44" s="2"/>
      <c r="H44" s="7">
        <v>0</v>
      </c>
      <c r="I44" s="2"/>
      <c r="J44" s="6">
        <f t="shared" si="14"/>
        <v>0</v>
      </c>
      <c r="K44" s="2"/>
      <c r="L44" s="7">
        <f t="shared" si="15"/>
        <v>0</v>
      </c>
      <c r="M44" s="2"/>
      <c r="N44" s="6">
        <f t="shared" si="16"/>
        <v>0</v>
      </c>
      <c r="O44" s="11"/>
      <c r="P44" s="7"/>
      <c r="Q44" s="2"/>
      <c r="R44" s="6">
        <f t="shared" si="17"/>
        <v>0</v>
      </c>
      <c r="S44" s="2"/>
      <c r="T44" s="7">
        <v>0</v>
      </c>
      <c r="U44" s="2"/>
      <c r="V44" s="6">
        <f t="shared" si="18"/>
        <v>0</v>
      </c>
      <c r="W44" s="2"/>
      <c r="X44" s="7">
        <f t="shared" si="19"/>
        <v>0</v>
      </c>
      <c r="Y44" s="2"/>
      <c r="Z44" s="6">
        <f t="shared" si="20"/>
        <v>0</v>
      </c>
    </row>
    <row r="45" spans="1:26" s="24" customFormat="1" hidden="1" outlineLevel="2" x14ac:dyDescent="0.35">
      <c r="A45" s="29"/>
      <c r="B45" s="11" t="str">
        <f>CONCATENATE("          ", "6118", " - ", "VACATION")</f>
        <v xml:space="preserve">          6118 - VACATION</v>
      </c>
      <c r="C45" s="11"/>
      <c r="D45" s="7"/>
      <c r="E45" s="2"/>
      <c r="F45" s="6">
        <f t="shared" si="13"/>
        <v>0</v>
      </c>
      <c r="G45" s="2"/>
      <c r="H45" s="7">
        <v>156</v>
      </c>
      <c r="I45" s="2"/>
      <c r="J45" s="6">
        <f t="shared" si="14"/>
        <v>5.9827420901246405E-3</v>
      </c>
      <c r="K45" s="2"/>
      <c r="L45" s="7">
        <f t="shared" si="15"/>
        <v>-156</v>
      </c>
      <c r="M45" s="2"/>
      <c r="N45" s="6">
        <f t="shared" si="16"/>
        <v>-1</v>
      </c>
      <c r="O45" s="11"/>
      <c r="P45" s="7"/>
      <c r="Q45" s="2"/>
      <c r="R45" s="6">
        <f t="shared" si="17"/>
        <v>0</v>
      </c>
      <c r="S45" s="2"/>
      <c r="T45" s="7">
        <v>967.2</v>
      </c>
      <c r="U45" s="2"/>
      <c r="V45" s="6">
        <f t="shared" si="18"/>
        <v>1.3064267768862955E-2</v>
      </c>
      <c r="W45" s="2"/>
      <c r="X45" s="7">
        <f t="shared" si="19"/>
        <v>-967.2</v>
      </c>
      <c r="Y45" s="2"/>
      <c r="Z45" s="6">
        <f t="shared" si="20"/>
        <v>-1</v>
      </c>
    </row>
    <row r="46" spans="1:26" s="24" customFormat="1" hidden="1" outlineLevel="2" x14ac:dyDescent="0.35">
      <c r="A46" s="29"/>
      <c r="B46" s="11" t="str">
        <f>CONCATENATE("          ", "6119", " - ", "SICK LEAVE")</f>
        <v xml:space="preserve">          6119 - SICK LEAVE</v>
      </c>
      <c r="C46" s="11"/>
      <c r="D46" s="7"/>
      <c r="E46" s="2"/>
      <c r="F46" s="6">
        <f t="shared" si="13"/>
        <v>0</v>
      </c>
      <c r="G46" s="2"/>
      <c r="H46" s="7">
        <v>325.15429999999998</v>
      </c>
      <c r="I46" s="2"/>
      <c r="J46" s="6">
        <f t="shared" si="14"/>
        <v>1.2469963566634707E-2</v>
      </c>
      <c r="K46" s="2"/>
      <c r="L46" s="7">
        <f t="shared" si="15"/>
        <v>-325.15429999999998</v>
      </c>
      <c r="M46" s="2"/>
      <c r="N46" s="6">
        <f t="shared" si="16"/>
        <v>-1</v>
      </c>
      <c r="O46" s="11"/>
      <c r="P46" s="7"/>
      <c r="Q46" s="2"/>
      <c r="R46" s="6">
        <f t="shared" si="17"/>
        <v>0</v>
      </c>
      <c r="S46" s="2"/>
      <c r="T46" s="7">
        <v>1208.7034000000001</v>
      </c>
      <c r="U46" s="2"/>
      <c r="V46" s="6">
        <f t="shared" si="18"/>
        <v>1.6326328443688035E-2</v>
      </c>
      <c r="W46" s="2"/>
      <c r="X46" s="7">
        <f t="shared" si="19"/>
        <v>-1208.7034000000001</v>
      </c>
      <c r="Y46" s="2"/>
      <c r="Z46" s="6">
        <f t="shared" si="20"/>
        <v>-1</v>
      </c>
    </row>
    <row r="47" spans="1:26" s="28" customFormat="1" outlineLevel="1" collapsed="1" x14ac:dyDescent="0.35">
      <c r="A47" s="27"/>
      <c r="B47" s="14" t="str">
        <f>CONCATENATE("     ","*Payroll                                          ")</f>
        <v xml:space="preserve">     *Payroll                                          </v>
      </c>
      <c r="C47" s="14"/>
      <c r="D47" s="1">
        <f>SUM(OSRRefD22_1x_0)</f>
        <v>0</v>
      </c>
      <c r="E47" s="1"/>
      <c r="F47" s="5">
        <f t="shared" ref="F47:F57" si="21">IF(D$12=0,0,D47/D$12)</f>
        <v>0</v>
      </c>
      <c r="G47" s="1"/>
      <c r="H47" s="1">
        <f>SUM(OSRRefH22_1x_0)</f>
        <v>12311.81</v>
      </c>
      <c r="I47" s="1"/>
      <c r="J47" s="5">
        <f t="shared" ref="J47:J57" si="22">IF(H$12=0,0,H47/H$12)</f>
        <v>0.47216912751677853</v>
      </c>
      <c r="K47" s="1"/>
      <c r="L47" s="1">
        <f t="shared" ref="L47:L57" si="23">+D47-H47</f>
        <v>-12311.81</v>
      </c>
      <c r="M47" s="1"/>
      <c r="N47" s="5">
        <f t="shared" ref="N47:N57" si="24">IF(H47=0,0,L47/H47)</f>
        <v>-1</v>
      </c>
      <c r="O47" s="14"/>
      <c r="P47" s="1">
        <f>SUM(OSRRefP22_1x_0)</f>
        <v>8152.5399999999991</v>
      </c>
      <c r="Q47" s="1"/>
      <c r="R47" s="5">
        <f t="shared" ref="R47:R57" si="25">IF(P$12=0,0,P47/P$12)</f>
        <v>0.38253428128483963</v>
      </c>
      <c r="S47" s="1"/>
      <c r="T47" s="1">
        <f>SUM(OSRRefT22_1x_0)</f>
        <v>49424.78</v>
      </c>
      <c r="U47" s="1"/>
      <c r="V47" s="5">
        <f t="shared" ref="V47:V57" si="26">IF(T$12=0,0,T47/T$12)</f>
        <v>0.66759569927330686</v>
      </c>
      <c r="W47" s="1"/>
      <c r="X47" s="1">
        <f t="shared" ref="X47:X57" si="27">+P47-T47</f>
        <v>-41272.239999999998</v>
      </c>
      <c r="Y47" s="1"/>
      <c r="Z47" s="5">
        <f t="shared" ref="Z47:Z57" si="28">IF(T47=0,0,X47/T47)</f>
        <v>-0.83505156725027407</v>
      </c>
    </row>
    <row r="48" spans="1:26" s="24" customFormat="1" hidden="1" outlineLevel="2" x14ac:dyDescent="0.35">
      <c r="A48" s="29"/>
      <c r="B48" s="11" t="str">
        <f>CONCATENATE("          ", "6001", " - ", "ADMINISTRATIVE SALARIES")</f>
        <v xml:space="preserve">          6001 - ADMINISTRATIVE SALARIES</v>
      </c>
      <c r="C48" s="11"/>
      <c r="D48" s="7"/>
      <c r="E48" s="2"/>
      <c r="F48" s="6">
        <f t="shared" si="21"/>
        <v>0</v>
      </c>
      <c r="G48" s="2"/>
      <c r="H48" s="7">
        <v>4940</v>
      </c>
      <c r="I48" s="2"/>
      <c r="J48" s="6">
        <f t="shared" si="22"/>
        <v>0.18945349952061361</v>
      </c>
      <c r="K48" s="2"/>
      <c r="L48" s="7">
        <f t="shared" si="23"/>
        <v>-4940</v>
      </c>
      <c r="M48" s="2"/>
      <c r="N48" s="6">
        <f t="shared" si="24"/>
        <v>-1</v>
      </c>
      <c r="O48" s="11"/>
      <c r="P48" s="7"/>
      <c r="Q48" s="2"/>
      <c r="R48" s="6">
        <f t="shared" si="25"/>
        <v>0</v>
      </c>
      <c r="S48" s="2"/>
      <c r="T48" s="7">
        <v>30628</v>
      </c>
      <c r="U48" s="2"/>
      <c r="V48" s="6">
        <f t="shared" si="26"/>
        <v>0.41370181268066025</v>
      </c>
      <c r="W48" s="2"/>
      <c r="X48" s="7">
        <f t="shared" si="27"/>
        <v>-30628</v>
      </c>
      <c r="Y48" s="2"/>
      <c r="Z48" s="6">
        <f t="shared" si="28"/>
        <v>-1</v>
      </c>
    </row>
    <row r="49" spans="1:26" s="24" customFormat="1" hidden="1" outlineLevel="2" x14ac:dyDescent="0.35">
      <c r="A49" s="29"/>
      <c r="B49" s="11" t="str">
        <f>CONCATENATE("          ", "6002", " - ", "STAFF SALARIES")</f>
        <v xml:space="preserve">          6002 - STAFF SALARIES</v>
      </c>
      <c r="C49" s="11"/>
      <c r="D49" s="7"/>
      <c r="E49" s="2"/>
      <c r="F49" s="6">
        <f t="shared" si="21"/>
        <v>0</v>
      </c>
      <c r="G49" s="2"/>
      <c r="H49" s="7">
        <v>0</v>
      </c>
      <c r="I49" s="2"/>
      <c r="J49" s="6">
        <f t="shared" si="22"/>
        <v>0</v>
      </c>
      <c r="K49" s="2"/>
      <c r="L49" s="7">
        <f t="shared" si="23"/>
        <v>0</v>
      </c>
      <c r="M49" s="2"/>
      <c r="N49" s="6">
        <f t="shared" si="24"/>
        <v>0</v>
      </c>
      <c r="O49" s="11"/>
      <c r="P49" s="7"/>
      <c r="Q49" s="2"/>
      <c r="R49" s="6">
        <f t="shared" si="25"/>
        <v>0</v>
      </c>
      <c r="S49" s="2"/>
      <c r="T49" s="7">
        <v>0</v>
      </c>
      <c r="U49" s="2"/>
      <c r="V49" s="6">
        <f t="shared" si="26"/>
        <v>0</v>
      </c>
      <c r="W49" s="2"/>
      <c r="X49" s="7">
        <f t="shared" si="27"/>
        <v>0</v>
      </c>
      <c r="Y49" s="2"/>
      <c r="Z49" s="6">
        <f t="shared" si="28"/>
        <v>0</v>
      </c>
    </row>
    <row r="50" spans="1:26" s="24" customFormat="1" hidden="1" outlineLevel="2" x14ac:dyDescent="0.35">
      <c r="A50" s="29"/>
      <c r="B50" s="11" t="str">
        <f>CONCATENATE("          ", "6003", " - ", "STAFF HOURLY-9 MONTH")</f>
        <v xml:space="preserve">          6003 - STAFF HOURLY-9 MONTH</v>
      </c>
      <c r="C50" s="11"/>
      <c r="D50" s="7"/>
      <c r="E50" s="2"/>
      <c r="F50" s="6">
        <f t="shared" si="21"/>
        <v>0</v>
      </c>
      <c r="G50" s="2"/>
      <c r="H50" s="7">
        <v>0</v>
      </c>
      <c r="I50" s="2"/>
      <c r="J50" s="6">
        <f t="shared" si="22"/>
        <v>0</v>
      </c>
      <c r="K50" s="2"/>
      <c r="L50" s="7">
        <f t="shared" si="23"/>
        <v>0</v>
      </c>
      <c r="M50" s="2"/>
      <c r="N50" s="6">
        <f t="shared" si="24"/>
        <v>0</v>
      </c>
      <c r="O50" s="11"/>
      <c r="P50" s="7"/>
      <c r="Q50" s="2"/>
      <c r="R50" s="6">
        <f t="shared" si="25"/>
        <v>0</v>
      </c>
      <c r="S50" s="2"/>
      <c r="T50" s="7">
        <v>0</v>
      </c>
      <c r="U50" s="2"/>
      <c r="V50" s="6">
        <f t="shared" si="26"/>
        <v>0</v>
      </c>
      <c r="W50" s="2"/>
      <c r="X50" s="7">
        <f t="shared" si="27"/>
        <v>0</v>
      </c>
      <c r="Y50" s="2"/>
      <c r="Z50" s="6">
        <f t="shared" si="28"/>
        <v>0</v>
      </c>
    </row>
    <row r="51" spans="1:26" s="24" customFormat="1" hidden="1" outlineLevel="2" x14ac:dyDescent="0.35">
      <c r="A51" s="29"/>
      <c r="B51" s="11" t="str">
        <f>CONCATENATE("          ", "6004", " - ", "STAFF HOURLY")</f>
        <v xml:space="preserve">          6004 - STAFF HOURLY</v>
      </c>
      <c r="C51" s="11"/>
      <c r="D51" s="7"/>
      <c r="E51" s="2"/>
      <c r="F51" s="6">
        <f t="shared" si="21"/>
        <v>0</v>
      </c>
      <c r="G51" s="2"/>
      <c r="H51" s="7">
        <v>2616.3000000000002</v>
      </c>
      <c r="I51" s="2"/>
      <c r="J51" s="6">
        <f t="shared" si="22"/>
        <v>0.10033748801534037</v>
      </c>
      <c r="K51" s="2"/>
      <c r="L51" s="7">
        <f t="shared" si="23"/>
        <v>-2616.3000000000002</v>
      </c>
      <c r="M51" s="2"/>
      <c r="N51" s="6">
        <f t="shared" si="24"/>
        <v>-1</v>
      </c>
      <c r="O51" s="11"/>
      <c r="P51" s="7"/>
      <c r="Q51" s="2"/>
      <c r="R51" s="6">
        <f t="shared" si="25"/>
        <v>0</v>
      </c>
      <c r="S51" s="2"/>
      <c r="T51" s="7">
        <v>6487.2</v>
      </c>
      <c r="U51" s="2"/>
      <c r="V51" s="6">
        <f t="shared" si="26"/>
        <v>8.7624604911256981E-2</v>
      </c>
      <c r="W51" s="2"/>
      <c r="X51" s="7">
        <f t="shared" si="27"/>
        <v>-6487.2</v>
      </c>
      <c r="Y51" s="2"/>
      <c r="Z51" s="6">
        <f t="shared" si="28"/>
        <v>-1</v>
      </c>
    </row>
    <row r="52" spans="1:26" s="24" customFormat="1" hidden="1" outlineLevel="2" x14ac:dyDescent="0.35">
      <c r="A52" s="29"/>
      <c r="B52" s="11" t="str">
        <f>CONCATENATE("          ", "6005", " - ", "TEMPORARY WAGES-HOURLY")</f>
        <v xml:space="preserve">          6005 - TEMPORARY WAGES-HOURLY</v>
      </c>
      <c r="C52" s="11"/>
      <c r="D52" s="7"/>
      <c r="E52" s="2"/>
      <c r="F52" s="6">
        <f t="shared" si="21"/>
        <v>0</v>
      </c>
      <c r="G52" s="2"/>
      <c r="H52" s="7">
        <v>2394</v>
      </c>
      <c r="I52" s="2"/>
      <c r="J52" s="6">
        <f t="shared" si="22"/>
        <v>9.1812080536912755E-2</v>
      </c>
      <c r="K52" s="2"/>
      <c r="L52" s="7">
        <f t="shared" si="23"/>
        <v>-2394</v>
      </c>
      <c r="M52" s="2"/>
      <c r="N52" s="6">
        <f t="shared" si="24"/>
        <v>-1</v>
      </c>
      <c r="O52" s="11"/>
      <c r="P52" s="7">
        <v>5379.19</v>
      </c>
      <c r="Q52" s="2"/>
      <c r="R52" s="6">
        <f t="shared" si="25"/>
        <v>0.25240288064144384</v>
      </c>
      <c r="S52" s="2"/>
      <c r="T52" s="7">
        <v>2394</v>
      </c>
      <c r="U52" s="2"/>
      <c r="V52" s="6">
        <f t="shared" si="26"/>
        <v>3.233649404327741E-2</v>
      </c>
      <c r="W52" s="2"/>
      <c r="X52" s="7">
        <f t="shared" si="27"/>
        <v>2985.1899999999996</v>
      </c>
      <c r="Y52" s="2"/>
      <c r="Z52" s="6">
        <f t="shared" si="28"/>
        <v>1.2469465329991645</v>
      </c>
    </row>
    <row r="53" spans="1:26" s="24" customFormat="1" hidden="1" outlineLevel="2" x14ac:dyDescent="0.35">
      <c r="A53" s="29"/>
      <c r="B53" s="11" t="str">
        <f>CONCATENATE("          ", "6006", " - ", "TEMPORARY PART TIME")</f>
        <v xml:space="preserve">          6006 - TEMPORARY PART TIME</v>
      </c>
      <c r="C53" s="11"/>
      <c r="D53" s="7"/>
      <c r="E53" s="2"/>
      <c r="F53" s="6">
        <f t="shared" si="21"/>
        <v>0</v>
      </c>
      <c r="G53" s="2"/>
      <c r="H53" s="7">
        <v>0</v>
      </c>
      <c r="I53" s="2"/>
      <c r="J53" s="6">
        <f t="shared" si="22"/>
        <v>0</v>
      </c>
      <c r="K53" s="2"/>
      <c r="L53" s="7">
        <f t="shared" si="23"/>
        <v>0</v>
      </c>
      <c r="M53" s="2"/>
      <c r="N53" s="6">
        <f t="shared" si="24"/>
        <v>0</v>
      </c>
      <c r="O53" s="11"/>
      <c r="P53" s="7"/>
      <c r="Q53" s="2"/>
      <c r="R53" s="6">
        <f t="shared" si="25"/>
        <v>0</v>
      </c>
      <c r="S53" s="2"/>
      <c r="T53" s="7">
        <v>0</v>
      </c>
      <c r="U53" s="2"/>
      <c r="V53" s="6">
        <f t="shared" si="26"/>
        <v>0</v>
      </c>
      <c r="W53" s="2"/>
      <c r="X53" s="7">
        <f t="shared" si="27"/>
        <v>0</v>
      </c>
      <c r="Y53" s="2"/>
      <c r="Z53" s="6">
        <f t="shared" si="28"/>
        <v>0</v>
      </c>
    </row>
    <row r="54" spans="1:26" s="24" customFormat="1" hidden="1" outlineLevel="2" x14ac:dyDescent="0.35">
      <c r="A54" s="29"/>
      <c r="B54" s="11" t="str">
        <f>CONCATENATE("          ", "6007", " - ", "STUDENT HOURLY")</f>
        <v xml:space="preserve">          6007 - STUDENT HOURLY</v>
      </c>
      <c r="C54" s="11"/>
      <c r="D54" s="7"/>
      <c r="E54" s="2"/>
      <c r="F54" s="6">
        <f t="shared" si="21"/>
        <v>0</v>
      </c>
      <c r="G54" s="2"/>
      <c r="H54" s="7">
        <v>0</v>
      </c>
      <c r="I54" s="2"/>
      <c r="J54" s="6">
        <f t="shared" si="22"/>
        <v>0</v>
      </c>
      <c r="K54" s="2"/>
      <c r="L54" s="7">
        <f t="shared" si="23"/>
        <v>0</v>
      </c>
      <c r="M54" s="2"/>
      <c r="N54" s="6">
        <f t="shared" si="24"/>
        <v>0</v>
      </c>
      <c r="O54" s="11"/>
      <c r="P54" s="7">
        <v>2773.35</v>
      </c>
      <c r="Q54" s="2"/>
      <c r="R54" s="6">
        <f t="shared" si="25"/>
        <v>0.13013140064339582</v>
      </c>
      <c r="S54" s="2"/>
      <c r="T54" s="7">
        <v>0</v>
      </c>
      <c r="U54" s="2"/>
      <c r="V54" s="6">
        <f t="shared" si="26"/>
        <v>0</v>
      </c>
      <c r="W54" s="2"/>
      <c r="X54" s="7">
        <f t="shared" si="27"/>
        <v>2773.35</v>
      </c>
      <c r="Y54" s="2"/>
      <c r="Z54" s="6">
        <f t="shared" si="28"/>
        <v>0</v>
      </c>
    </row>
    <row r="55" spans="1:26" s="24" customFormat="1" hidden="1" outlineLevel="2" x14ac:dyDescent="0.35">
      <c r="A55" s="29"/>
      <c r="B55" s="11" t="str">
        <f>CONCATENATE("          ", "6008", " - ", "STUDENT HOURLY-FICA EXEMPT")</f>
        <v xml:space="preserve">          6008 - STUDENT HOURLY-FICA EXEMPT</v>
      </c>
      <c r="C55" s="11"/>
      <c r="D55" s="7"/>
      <c r="E55" s="2"/>
      <c r="F55" s="6">
        <f t="shared" si="21"/>
        <v>0</v>
      </c>
      <c r="G55" s="2"/>
      <c r="H55" s="7">
        <v>2361.5100000000002</v>
      </c>
      <c r="I55" s="2"/>
      <c r="J55" s="6">
        <f t="shared" si="22"/>
        <v>9.0566059443911801E-2</v>
      </c>
      <c r="K55" s="2"/>
      <c r="L55" s="7">
        <f t="shared" si="23"/>
        <v>-2361.5100000000002</v>
      </c>
      <c r="M55" s="2"/>
      <c r="N55" s="6">
        <f t="shared" si="24"/>
        <v>-1</v>
      </c>
      <c r="O55" s="11"/>
      <c r="P55" s="7"/>
      <c r="Q55" s="2"/>
      <c r="R55" s="6">
        <f t="shared" si="25"/>
        <v>0</v>
      </c>
      <c r="S55" s="2"/>
      <c r="T55" s="7">
        <v>9915.58</v>
      </c>
      <c r="U55" s="2"/>
      <c r="V55" s="6">
        <f t="shared" si="26"/>
        <v>0.13393278763811223</v>
      </c>
      <c r="W55" s="2"/>
      <c r="X55" s="7">
        <f t="shared" si="27"/>
        <v>-9915.58</v>
      </c>
      <c r="Y55" s="2"/>
      <c r="Z55" s="6">
        <f t="shared" si="28"/>
        <v>-1</v>
      </c>
    </row>
    <row r="56" spans="1:26" s="24" customFormat="1" hidden="1" outlineLevel="2" x14ac:dyDescent="0.35">
      <c r="A56" s="29"/>
      <c r="B56" s="11" t="str">
        <f>CONCATENATE("          ", "6009", " - ", "TEMPORARY-SEASONAL")</f>
        <v xml:space="preserve">          6009 - TEMPORARY-SEASONAL</v>
      </c>
      <c r="C56" s="11"/>
      <c r="D56" s="7"/>
      <c r="E56" s="2"/>
      <c r="F56" s="6">
        <f t="shared" si="21"/>
        <v>0</v>
      </c>
      <c r="G56" s="2"/>
      <c r="H56" s="7">
        <v>0</v>
      </c>
      <c r="I56" s="2"/>
      <c r="J56" s="6">
        <f t="shared" si="22"/>
        <v>0</v>
      </c>
      <c r="K56" s="2"/>
      <c r="L56" s="7">
        <f t="shared" si="23"/>
        <v>0</v>
      </c>
      <c r="M56" s="2"/>
      <c r="N56" s="6">
        <f t="shared" si="24"/>
        <v>0</v>
      </c>
      <c r="O56" s="11"/>
      <c r="P56" s="7"/>
      <c r="Q56" s="2"/>
      <c r="R56" s="6">
        <f t="shared" si="25"/>
        <v>0</v>
      </c>
      <c r="S56" s="2"/>
      <c r="T56" s="7">
        <v>0</v>
      </c>
      <c r="U56" s="2"/>
      <c r="V56" s="6">
        <f t="shared" si="26"/>
        <v>0</v>
      </c>
      <c r="W56" s="2"/>
      <c r="X56" s="7">
        <f t="shared" si="27"/>
        <v>0</v>
      </c>
      <c r="Y56" s="2"/>
      <c r="Z56" s="6">
        <f t="shared" si="28"/>
        <v>0</v>
      </c>
    </row>
    <row r="57" spans="1:26" s="24" customFormat="1" hidden="1" outlineLevel="2" x14ac:dyDescent="0.35">
      <c r="A57" s="29"/>
      <c r="B57" s="11" t="str">
        <f>CONCATENATE("          ", "6010", " - ", "GRATUITY")</f>
        <v xml:space="preserve">          6010 - GRATUITY</v>
      </c>
      <c r="C57" s="11"/>
      <c r="D57" s="7"/>
      <c r="E57" s="2"/>
      <c r="F57" s="6">
        <f t="shared" si="21"/>
        <v>0</v>
      </c>
      <c r="G57" s="2"/>
      <c r="H57" s="7">
        <v>0</v>
      </c>
      <c r="I57" s="2"/>
      <c r="J57" s="6">
        <f t="shared" si="22"/>
        <v>0</v>
      </c>
      <c r="K57" s="2"/>
      <c r="L57" s="7">
        <f t="shared" si="23"/>
        <v>0</v>
      </c>
      <c r="M57" s="2"/>
      <c r="N57" s="6">
        <f t="shared" si="24"/>
        <v>0</v>
      </c>
      <c r="O57" s="11"/>
      <c r="P57" s="7"/>
      <c r="Q57" s="2"/>
      <c r="R57" s="6">
        <f t="shared" si="25"/>
        <v>0</v>
      </c>
      <c r="S57" s="2"/>
      <c r="T57" s="7">
        <v>0</v>
      </c>
      <c r="U57" s="2"/>
      <c r="V57" s="6">
        <f t="shared" si="26"/>
        <v>0</v>
      </c>
      <c r="W57" s="2"/>
      <c r="X57" s="7">
        <f t="shared" si="27"/>
        <v>0</v>
      </c>
      <c r="Y57" s="2"/>
      <c r="Z57" s="6">
        <f t="shared" si="28"/>
        <v>0</v>
      </c>
    </row>
    <row r="58" spans="1:26" s="28" customFormat="1" outlineLevel="1" collapsed="1" x14ac:dyDescent="0.35">
      <c r="A58" s="27"/>
      <c r="B58" s="14" t="str">
        <f>CONCATENATE("     ","Advertising/Promo                                 ")</f>
        <v xml:space="preserve">     Advertising/Promo                                 </v>
      </c>
      <c r="C58" s="14"/>
      <c r="D58" s="1">
        <f>SUM(OSRRefD22_2x_0)</f>
        <v>0</v>
      </c>
      <c r="E58" s="1"/>
      <c r="F58" s="5">
        <f t="shared" ref="F58:F66" si="29">IF(D$12=0,0,D58/D$12)</f>
        <v>0</v>
      </c>
      <c r="G58" s="1"/>
      <c r="H58" s="1">
        <f>SUM(OSRRefH22_2x_0)</f>
        <v>100</v>
      </c>
      <c r="I58" s="1"/>
      <c r="J58" s="5">
        <f t="shared" ref="J58:J66" si="30">IF(H$12=0,0,H58/H$12)</f>
        <v>3.8350910834132309E-3</v>
      </c>
      <c r="K58" s="1"/>
      <c r="L58" s="1">
        <f t="shared" ref="L58:L66" si="31">+D58-H58</f>
        <v>-100</v>
      </c>
      <c r="M58" s="1"/>
      <c r="N58" s="5">
        <f t="shared" ref="N58:N66" si="32">IF(H58=0,0,L58/H58)</f>
        <v>-1</v>
      </c>
      <c r="O58" s="14"/>
      <c r="P58" s="1">
        <f>SUM(OSRRefP22_2x_0)</f>
        <v>124.72</v>
      </c>
      <c r="Q58" s="1"/>
      <c r="R58" s="5">
        <f t="shared" ref="R58:R66" si="33">IF(P$12=0,0,P58/P$12)</f>
        <v>5.8521240695347957E-3</v>
      </c>
      <c r="S58" s="1"/>
      <c r="T58" s="1">
        <f>SUM(OSRRefT22_2x_0)</f>
        <v>600</v>
      </c>
      <c r="U58" s="1"/>
      <c r="V58" s="5">
        <f t="shared" ref="V58:V66" si="34">IF(T$12=0,0,T58/T$12)</f>
        <v>8.104384471999352E-3</v>
      </c>
      <c r="W58" s="1"/>
      <c r="X58" s="1">
        <f t="shared" ref="X58:X66" si="35">+P58-T58</f>
        <v>-475.28</v>
      </c>
      <c r="Y58" s="1"/>
      <c r="Z58" s="5">
        <f t="shared" ref="Z58:Z66" si="36">IF(T58=0,0,X58/T58)</f>
        <v>-0.79213333333333324</v>
      </c>
    </row>
    <row r="59" spans="1:26" s="24" customFormat="1" hidden="1" outlineLevel="2" x14ac:dyDescent="0.35">
      <c r="A59" s="29"/>
      <c r="B59" s="11" t="str">
        <f>CONCATENATE("          ", "6362", " - ", "ADVERTISING EXPENSE")</f>
        <v xml:space="preserve">          6362 - ADVERTISING EXPENSE</v>
      </c>
      <c r="C59" s="11"/>
      <c r="D59" s="7"/>
      <c r="E59" s="2"/>
      <c r="F59" s="6">
        <f t="shared" si="29"/>
        <v>0</v>
      </c>
      <c r="G59" s="2"/>
      <c r="H59" s="7">
        <v>100</v>
      </c>
      <c r="I59" s="2"/>
      <c r="J59" s="6">
        <f t="shared" si="30"/>
        <v>3.8350910834132309E-3</v>
      </c>
      <c r="K59" s="2"/>
      <c r="L59" s="7">
        <f t="shared" si="31"/>
        <v>-100</v>
      </c>
      <c r="M59" s="2"/>
      <c r="N59" s="6">
        <f t="shared" si="32"/>
        <v>-1</v>
      </c>
      <c r="O59" s="11"/>
      <c r="P59" s="7">
        <v>124.72</v>
      </c>
      <c r="Q59" s="2"/>
      <c r="R59" s="6">
        <f t="shared" si="33"/>
        <v>5.8521240695347957E-3</v>
      </c>
      <c r="S59" s="2"/>
      <c r="T59" s="7">
        <v>600</v>
      </c>
      <c r="U59" s="2"/>
      <c r="V59" s="6">
        <f t="shared" si="34"/>
        <v>8.104384471999352E-3</v>
      </c>
      <c r="W59" s="2"/>
      <c r="X59" s="7">
        <f t="shared" si="35"/>
        <v>-475.28</v>
      </c>
      <c r="Y59" s="2"/>
      <c r="Z59" s="6">
        <f t="shared" si="36"/>
        <v>-0.79213333333333324</v>
      </c>
    </row>
    <row r="60" spans="1:26" s="28" customFormat="1" outlineLevel="1" collapsed="1" x14ac:dyDescent="0.35">
      <c r="A60" s="27"/>
      <c r="B60" s="14" t="str">
        <f>CONCATENATE("     ","Bad Debts/Over/Short                              ")</f>
        <v xml:space="preserve">     Bad Debts/Over/Short                              </v>
      </c>
      <c r="C60" s="14"/>
      <c r="D60" s="1">
        <f>SUM(OSRRefD22_3x_0)</f>
        <v>0</v>
      </c>
      <c r="E60" s="1"/>
      <c r="F60" s="5">
        <f t="shared" si="29"/>
        <v>0</v>
      </c>
      <c r="G60" s="1"/>
      <c r="H60" s="1">
        <f>SUM(OSRRefH22_3x_0)</f>
        <v>0</v>
      </c>
      <c r="I60" s="1"/>
      <c r="J60" s="5">
        <f t="shared" si="30"/>
        <v>0</v>
      </c>
      <c r="K60" s="1"/>
      <c r="L60" s="1">
        <f t="shared" si="31"/>
        <v>0</v>
      </c>
      <c r="M60" s="1"/>
      <c r="N60" s="5">
        <f t="shared" si="32"/>
        <v>0</v>
      </c>
      <c r="O60" s="14"/>
      <c r="P60" s="1">
        <f>SUM(OSRRefP22_3x_0)</f>
        <v>1.1000000000000001</v>
      </c>
      <c r="Q60" s="1"/>
      <c r="R60" s="5">
        <f t="shared" si="33"/>
        <v>5.1614307861516002E-5</v>
      </c>
      <c r="S60" s="1"/>
      <c r="T60" s="1">
        <f>SUM(OSRRefT22_3x_0)</f>
        <v>0</v>
      </c>
      <c r="U60" s="1"/>
      <c r="V60" s="5">
        <f t="shared" si="34"/>
        <v>0</v>
      </c>
      <c r="W60" s="1"/>
      <c r="X60" s="1">
        <f t="shared" si="35"/>
        <v>1.1000000000000001</v>
      </c>
      <c r="Y60" s="1"/>
      <c r="Z60" s="5">
        <f t="shared" si="36"/>
        <v>0</v>
      </c>
    </row>
    <row r="61" spans="1:26" s="24" customFormat="1" hidden="1" outlineLevel="2" x14ac:dyDescent="0.35">
      <c r="A61" s="29"/>
      <c r="B61" s="11" t="str">
        <f>CONCATENATE("          ", "6272", " - ", "CASH (OVER/SHORT)")</f>
        <v xml:space="preserve">          6272 - CASH (OVER/SHORT)</v>
      </c>
      <c r="C61" s="11"/>
      <c r="D61" s="7"/>
      <c r="E61" s="2"/>
      <c r="F61" s="6">
        <f t="shared" si="29"/>
        <v>0</v>
      </c>
      <c r="G61" s="2"/>
      <c r="H61" s="7"/>
      <c r="I61" s="2"/>
      <c r="J61" s="6">
        <f t="shared" si="30"/>
        <v>0</v>
      </c>
      <c r="K61" s="2"/>
      <c r="L61" s="7">
        <f t="shared" si="31"/>
        <v>0</v>
      </c>
      <c r="M61" s="2"/>
      <c r="N61" s="6">
        <f t="shared" si="32"/>
        <v>0</v>
      </c>
      <c r="O61" s="11"/>
      <c r="P61" s="7">
        <v>1.1000000000000001</v>
      </c>
      <c r="Q61" s="2"/>
      <c r="R61" s="6">
        <f t="shared" si="33"/>
        <v>5.1614307861516002E-5</v>
      </c>
      <c r="S61" s="2"/>
      <c r="T61" s="7"/>
      <c r="U61" s="2"/>
      <c r="V61" s="6">
        <f t="shared" si="34"/>
        <v>0</v>
      </c>
      <c r="W61" s="2"/>
      <c r="X61" s="7">
        <f t="shared" si="35"/>
        <v>1.1000000000000001</v>
      </c>
      <c r="Y61" s="2"/>
      <c r="Z61" s="6">
        <f t="shared" si="36"/>
        <v>0</v>
      </c>
    </row>
    <row r="62" spans="1:26" s="28" customFormat="1" outlineLevel="1" collapsed="1" x14ac:dyDescent="0.35">
      <c r="A62" s="27"/>
      <c r="B62" s="14" t="str">
        <f>CONCATENATE("     ","Bank/card Fees                                    ")</f>
        <v xml:space="preserve">     Bank/card Fees                                    </v>
      </c>
      <c r="C62" s="14"/>
      <c r="D62" s="1">
        <f>SUM(OSRRefD22_4x_0)</f>
        <v>0</v>
      </c>
      <c r="E62" s="1"/>
      <c r="F62" s="5">
        <f t="shared" si="29"/>
        <v>0</v>
      </c>
      <c r="G62" s="1"/>
      <c r="H62" s="1">
        <f>SUM(OSRRefH22_4x_0)</f>
        <v>1795</v>
      </c>
      <c r="I62" s="1"/>
      <c r="J62" s="5">
        <f t="shared" si="30"/>
        <v>6.8839884947267505E-2</v>
      </c>
      <c r="K62" s="1"/>
      <c r="L62" s="1">
        <f t="shared" si="31"/>
        <v>-1795</v>
      </c>
      <c r="M62" s="1"/>
      <c r="N62" s="5">
        <f t="shared" si="32"/>
        <v>-1</v>
      </c>
      <c r="O62" s="14"/>
      <c r="P62" s="1">
        <f>SUM(OSRRefP22_4x_0)</f>
        <v>0</v>
      </c>
      <c r="Q62" s="1"/>
      <c r="R62" s="5">
        <f t="shared" si="33"/>
        <v>0</v>
      </c>
      <c r="S62" s="1"/>
      <c r="T62" s="1">
        <f>SUM(OSRRefT22_4x_0)</f>
        <v>4592</v>
      </c>
      <c r="U62" s="1"/>
      <c r="V62" s="5">
        <f t="shared" si="34"/>
        <v>6.2025555825701705E-2</v>
      </c>
      <c r="W62" s="1"/>
      <c r="X62" s="1">
        <f t="shared" si="35"/>
        <v>-4592</v>
      </c>
      <c r="Y62" s="1"/>
      <c r="Z62" s="5">
        <f t="shared" si="36"/>
        <v>-1</v>
      </c>
    </row>
    <row r="63" spans="1:26" s="24" customFormat="1" hidden="1" outlineLevel="2" x14ac:dyDescent="0.35">
      <c r="A63" s="29"/>
      <c r="B63" s="11" t="str">
        <f>CONCATENATE("          ", "6381", " - ", "BANK/CREDIT CARD FEES")</f>
        <v xml:space="preserve">          6381 - BANK/CREDIT CARD FEES</v>
      </c>
      <c r="C63" s="11"/>
      <c r="D63" s="7"/>
      <c r="E63" s="2"/>
      <c r="F63" s="6">
        <f t="shared" si="29"/>
        <v>0</v>
      </c>
      <c r="G63" s="2"/>
      <c r="H63" s="7">
        <v>1795</v>
      </c>
      <c r="I63" s="2"/>
      <c r="J63" s="6">
        <f t="shared" si="30"/>
        <v>6.8839884947267505E-2</v>
      </c>
      <c r="K63" s="2"/>
      <c r="L63" s="7">
        <f t="shared" si="31"/>
        <v>-1795</v>
      </c>
      <c r="M63" s="2"/>
      <c r="N63" s="6">
        <f t="shared" si="32"/>
        <v>-1</v>
      </c>
      <c r="O63" s="11"/>
      <c r="P63" s="7"/>
      <c r="Q63" s="2"/>
      <c r="R63" s="6">
        <f t="shared" si="33"/>
        <v>0</v>
      </c>
      <c r="S63" s="2"/>
      <c r="T63" s="7">
        <v>4592</v>
      </c>
      <c r="U63" s="2"/>
      <c r="V63" s="6">
        <f t="shared" si="34"/>
        <v>6.2025555825701705E-2</v>
      </c>
      <c r="W63" s="2"/>
      <c r="X63" s="7">
        <f t="shared" si="35"/>
        <v>-4592</v>
      </c>
      <c r="Y63" s="2"/>
      <c r="Z63" s="6">
        <f t="shared" si="36"/>
        <v>-1</v>
      </c>
    </row>
    <row r="64" spans="1:26" s="28" customFormat="1" outlineLevel="1" collapsed="1" x14ac:dyDescent="0.35">
      <c r="A64" s="27"/>
      <c r="B64" s="14" t="str">
        <f>CONCATENATE("     ","Discounts and Markdowns                           ")</f>
        <v xml:space="preserve">     Discounts and Markdowns                           </v>
      </c>
      <c r="C64" s="14"/>
      <c r="D64" s="1">
        <f>SUM(OSRRefD22_5x_0)</f>
        <v>0</v>
      </c>
      <c r="E64" s="1"/>
      <c r="F64" s="5">
        <f t="shared" si="29"/>
        <v>0</v>
      </c>
      <c r="G64" s="1"/>
      <c r="H64" s="1">
        <f>SUM(OSRRefH22_5x_0)</f>
        <v>574</v>
      </c>
      <c r="I64" s="1"/>
      <c r="J64" s="5">
        <f t="shared" si="30"/>
        <v>2.2013422818791945E-2</v>
      </c>
      <c r="K64" s="1"/>
      <c r="L64" s="1">
        <f t="shared" si="31"/>
        <v>-574</v>
      </c>
      <c r="M64" s="1"/>
      <c r="N64" s="5">
        <f t="shared" si="32"/>
        <v>-1</v>
      </c>
      <c r="O64" s="14"/>
      <c r="P64" s="1">
        <f>SUM(OSRRefP22_5x_0)</f>
        <v>0</v>
      </c>
      <c r="Q64" s="1"/>
      <c r="R64" s="5">
        <f t="shared" si="33"/>
        <v>0</v>
      </c>
      <c r="S64" s="1"/>
      <c r="T64" s="1">
        <f>SUM(OSRRefT22_5x_0)</f>
        <v>1612</v>
      </c>
      <c r="U64" s="1"/>
      <c r="V64" s="5">
        <f t="shared" si="34"/>
        <v>2.1773779614771591E-2</v>
      </c>
      <c r="W64" s="1"/>
      <c r="X64" s="1">
        <f t="shared" si="35"/>
        <v>-1612</v>
      </c>
      <c r="Y64" s="1"/>
      <c r="Z64" s="5">
        <f t="shared" si="36"/>
        <v>-1</v>
      </c>
    </row>
    <row r="65" spans="1:26" s="24" customFormat="1" hidden="1" outlineLevel="2" x14ac:dyDescent="0.35">
      <c r="A65" s="29"/>
      <c r="B65" s="11" t="str">
        <f>CONCATENATE("          ", "6382", " - ", "DISCOUNTS/MARK DOWNS")</f>
        <v xml:space="preserve">          6382 - DISCOUNTS/MARK DOWNS</v>
      </c>
      <c r="C65" s="11"/>
      <c r="D65" s="7"/>
      <c r="E65" s="2"/>
      <c r="F65" s="6">
        <f t="shared" si="29"/>
        <v>0</v>
      </c>
      <c r="G65" s="2"/>
      <c r="H65" s="7">
        <v>574</v>
      </c>
      <c r="I65" s="2"/>
      <c r="J65" s="6">
        <f t="shared" si="30"/>
        <v>2.2013422818791945E-2</v>
      </c>
      <c r="K65" s="2"/>
      <c r="L65" s="7">
        <f t="shared" si="31"/>
        <v>-574</v>
      </c>
      <c r="M65" s="2"/>
      <c r="N65" s="6">
        <f t="shared" si="32"/>
        <v>-1</v>
      </c>
      <c r="O65" s="11"/>
      <c r="P65" s="7"/>
      <c r="Q65" s="2"/>
      <c r="R65" s="6">
        <f t="shared" si="33"/>
        <v>0</v>
      </c>
      <c r="S65" s="2"/>
      <c r="T65" s="7">
        <v>1612</v>
      </c>
      <c r="U65" s="2"/>
      <c r="V65" s="6">
        <f t="shared" si="34"/>
        <v>2.1773779614771591E-2</v>
      </c>
      <c r="W65" s="2"/>
      <c r="X65" s="7">
        <f t="shared" si="35"/>
        <v>-1612</v>
      </c>
      <c r="Y65" s="2"/>
      <c r="Z65" s="6">
        <f t="shared" si="36"/>
        <v>-1</v>
      </c>
    </row>
    <row r="66" spans="1:26" s="24" customFormat="1" hidden="1" outlineLevel="2" x14ac:dyDescent="0.35">
      <c r="A66" s="29"/>
      <c r="B66" s="11" t="str">
        <f>CONCATENATE("          ", "9175", " - ", "EARNED DISCOUNTS")</f>
        <v xml:space="preserve">          9175 - EARNED DISCOUNTS</v>
      </c>
      <c r="C66" s="11"/>
      <c r="D66" s="7"/>
      <c r="E66" s="2"/>
      <c r="F66" s="6">
        <f t="shared" si="29"/>
        <v>0</v>
      </c>
      <c r="G66" s="2"/>
      <c r="H66" s="7"/>
      <c r="I66" s="2"/>
      <c r="J66" s="6">
        <f t="shared" si="30"/>
        <v>0</v>
      </c>
      <c r="K66" s="2"/>
      <c r="L66" s="7">
        <f t="shared" si="31"/>
        <v>0</v>
      </c>
      <c r="M66" s="2"/>
      <c r="N66" s="6">
        <f t="shared" si="32"/>
        <v>0</v>
      </c>
      <c r="O66" s="11"/>
      <c r="P66" s="7">
        <v>0</v>
      </c>
      <c r="Q66" s="2"/>
      <c r="R66" s="6">
        <f t="shared" si="33"/>
        <v>0</v>
      </c>
      <c r="S66" s="2"/>
      <c r="T66" s="7"/>
      <c r="U66" s="2"/>
      <c r="V66" s="6">
        <f t="shared" si="34"/>
        <v>0</v>
      </c>
      <c r="W66" s="2"/>
      <c r="X66" s="7">
        <f t="shared" si="35"/>
        <v>0</v>
      </c>
      <c r="Y66" s="2"/>
      <c r="Z66" s="6">
        <f t="shared" si="36"/>
        <v>0</v>
      </c>
    </row>
    <row r="67" spans="1:26" s="28" customFormat="1" outlineLevel="1" collapsed="1" x14ac:dyDescent="0.35">
      <c r="A67" s="27"/>
      <c r="B67" s="14" t="str">
        <f>CONCATENATE("     ","Freight out/Postage                               ")</f>
        <v xml:space="preserve">     Freight out/Postage                               </v>
      </c>
      <c r="C67" s="14"/>
      <c r="D67" s="1">
        <f>SUM(OSRRefD22_6x_0)</f>
        <v>0</v>
      </c>
      <c r="E67" s="1"/>
      <c r="F67" s="5">
        <f t="shared" ref="F67:F75" si="37">IF(D$12=0,0,D67/D$12)</f>
        <v>0</v>
      </c>
      <c r="G67" s="1"/>
      <c r="H67" s="1">
        <f>SUM(OSRRefH22_6x_0)</f>
        <v>470</v>
      </c>
      <c r="I67" s="1"/>
      <c r="J67" s="5">
        <f t="shared" ref="J67:J75" si="38">IF(H$12=0,0,H67/H$12)</f>
        <v>1.8024928092042185E-2</v>
      </c>
      <c r="K67" s="1"/>
      <c r="L67" s="1">
        <f t="shared" ref="L67:L75" si="39">+D67-H67</f>
        <v>-470</v>
      </c>
      <c r="M67" s="1"/>
      <c r="N67" s="5">
        <f t="shared" ref="N67:N75" si="40">IF(H67=0,0,L67/H67)</f>
        <v>-1</v>
      </c>
      <c r="O67" s="14"/>
      <c r="P67" s="1">
        <f>SUM(OSRRefP22_6x_0)</f>
        <v>0</v>
      </c>
      <c r="Q67" s="1"/>
      <c r="R67" s="5">
        <f t="shared" ref="R67:R75" si="41">IF(P$12=0,0,P67/P$12)</f>
        <v>0</v>
      </c>
      <c r="S67" s="1"/>
      <c r="T67" s="1">
        <f>SUM(OSRRefT22_6x_0)</f>
        <v>1615</v>
      </c>
      <c r="U67" s="1"/>
      <c r="V67" s="5">
        <f t="shared" ref="V67:V75" si="42">IF(T$12=0,0,T67/T$12)</f>
        <v>2.1814301537131587E-2</v>
      </c>
      <c r="W67" s="1"/>
      <c r="X67" s="1">
        <f t="shared" ref="X67:X75" si="43">+P67-T67</f>
        <v>-1615</v>
      </c>
      <c r="Y67" s="1"/>
      <c r="Z67" s="5">
        <f t="shared" ref="Z67:Z75" si="44">IF(T67=0,0,X67/T67)</f>
        <v>-1</v>
      </c>
    </row>
    <row r="68" spans="1:26" s="24" customFormat="1" hidden="1" outlineLevel="2" x14ac:dyDescent="0.35">
      <c r="A68" s="29"/>
      <c r="B68" s="11" t="str">
        <f>CONCATENATE("          ", "6305", " - ", "FREIGHT OUT")</f>
        <v xml:space="preserve">          6305 - FREIGHT OUT</v>
      </c>
      <c r="C68" s="11"/>
      <c r="D68" s="7"/>
      <c r="E68" s="2"/>
      <c r="F68" s="6">
        <f t="shared" si="37"/>
        <v>0</v>
      </c>
      <c r="G68" s="2"/>
      <c r="H68" s="7">
        <v>470</v>
      </c>
      <c r="I68" s="2"/>
      <c r="J68" s="6">
        <f t="shared" si="38"/>
        <v>1.8024928092042185E-2</v>
      </c>
      <c r="K68" s="2"/>
      <c r="L68" s="7">
        <f t="shared" si="39"/>
        <v>-470</v>
      </c>
      <c r="M68" s="2"/>
      <c r="N68" s="6">
        <f t="shared" si="40"/>
        <v>-1</v>
      </c>
      <c r="O68" s="11"/>
      <c r="P68" s="7"/>
      <c r="Q68" s="2"/>
      <c r="R68" s="6">
        <f t="shared" si="41"/>
        <v>0</v>
      </c>
      <c r="S68" s="2"/>
      <c r="T68" s="7">
        <v>1615</v>
      </c>
      <c r="U68" s="2"/>
      <c r="V68" s="6">
        <f t="shared" si="42"/>
        <v>2.1814301537131587E-2</v>
      </c>
      <c r="W68" s="2"/>
      <c r="X68" s="7">
        <f t="shared" si="43"/>
        <v>-1615</v>
      </c>
      <c r="Y68" s="2"/>
      <c r="Z68" s="6">
        <f t="shared" si="44"/>
        <v>-1</v>
      </c>
    </row>
    <row r="69" spans="1:26" s="28" customFormat="1" outlineLevel="1" collapsed="1" x14ac:dyDescent="0.35">
      <c r="A69" s="27"/>
      <c r="B69" s="14" t="str">
        <f>CONCATENATE("     ","General                                           ")</f>
        <v xml:space="preserve">     General                                           </v>
      </c>
      <c r="C69" s="14"/>
      <c r="D69" s="1">
        <f>SUM(OSRRefD22_7x_0)</f>
        <v>0</v>
      </c>
      <c r="E69" s="1"/>
      <c r="F69" s="5">
        <f t="shared" si="37"/>
        <v>0</v>
      </c>
      <c r="G69" s="1"/>
      <c r="H69" s="1">
        <f>SUM(OSRRefH22_7x_0)</f>
        <v>0</v>
      </c>
      <c r="I69" s="1"/>
      <c r="J69" s="5">
        <f t="shared" si="38"/>
        <v>0</v>
      </c>
      <c r="K69" s="1"/>
      <c r="L69" s="1">
        <f t="shared" si="39"/>
        <v>0</v>
      </c>
      <c r="M69" s="1"/>
      <c r="N69" s="5">
        <f t="shared" si="40"/>
        <v>0</v>
      </c>
      <c r="O69" s="14"/>
      <c r="P69" s="1">
        <f>SUM(OSRRefP22_7x_0)</f>
        <v>879.55</v>
      </c>
      <c r="Q69" s="1"/>
      <c r="R69" s="5">
        <f t="shared" si="41"/>
        <v>4.1270331345087632E-2</v>
      </c>
      <c r="S69" s="1"/>
      <c r="T69" s="1">
        <f>SUM(OSRRefT22_7x_0)</f>
        <v>1000</v>
      </c>
      <c r="U69" s="1"/>
      <c r="V69" s="5">
        <f t="shared" si="42"/>
        <v>1.3507307453332253E-2</v>
      </c>
      <c r="W69" s="1"/>
      <c r="X69" s="1">
        <f t="shared" si="43"/>
        <v>-120.45000000000005</v>
      </c>
      <c r="Y69" s="1"/>
      <c r="Z69" s="5">
        <f t="shared" si="44"/>
        <v>-0.12045000000000004</v>
      </c>
    </row>
    <row r="70" spans="1:26" s="24" customFormat="1" hidden="1" outlineLevel="2" x14ac:dyDescent="0.35">
      <c r="A70" s="29"/>
      <c r="B70" s="11" t="str">
        <f>CONCATENATE("          ", "6279", " - ", "GENERAL EXPENSE")</f>
        <v xml:space="preserve">          6279 - GENERAL EXPENSE</v>
      </c>
      <c r="C70" s="11"/>
      <c r="D70" s="7"/>
      <c r="E70" s="2"/>
      <c r="F70" s="6">
        <f t="shared" si="37"/>
        <v>0</v>
      </c>
      <c r="G70" s="2"/>
      <c r="H70" s="7"/>
      <c r="I70" s="2"/>
      <c r="J70" s="6">
        <f t="shared" si="38"/>
        <v>0</v>
      </c>
      <c r="K70" s="2"/>
      <c r="L70" s="7">
        <f t="shared" si="39"/>
        <v>0</v>
      </c>
      <c r="M70" s="2"/>
      <c r="N70" s="6">
        <f t="shared" si="40"/>
        <v>0</v>
      </c>
      <c r="O70" s="11"/>
      <c r="P70" s="7">
        <v>879.55</v>
      </c>
      <c r="Q70" s="2"/>
      <c r="R70" s="6">
        <f t="shared" si="41"/>
        <v>4.1270331345087632E-2</v>
      </c>
      <c r="S70" s="2"/>
      <c r="T70" s="7">
        <v>1000</v>
      </c>
      <c r="U70" s="2"/>
      <c r="V70" s="6">
        <f t="shared" si="42"/>
        <v>1.3507307453332253E-2</v>
      </c>
      <c r="W70" s="2"/>
      <c r="X70" s="7">
        <f t="shared" si="43"/>
        <v>-120.45000000000005</v>
      </c>
      <c r="Y70" s="2"/>
      <c r="Z70" s="6">
        <f t="shared" si="44"/>
        <v>-0.12045000000000004</v>
      </c>
    </row>
    <row r="71" spans="1:26" s="28" customFormat="1" outlineLevel="1" collapsed="1" x14ac:dyDescent="0.35">
      <c r="A71" s="27"/>
      <c r="B71" s="14" t="str">
        <f>CONCATENATE("     ","Professional Services                             ")</f>
        <v xml:space="preserve">     Professional Services                             </v>
      </c>
      <c r="C71" s="14"/>
      <c r="D71" s="1">
        <f>SUM(OSRRefD22_8x_0)</f>
        <v>0</v>
      </c>
      <c r="E71" s="1"/>
      <c r="F71" s="5">
        <f t="shared" si="37"/>
        <v>0</v>
      </c>
      <c r="G71" s="1"/>
      <c r="H71" s="1">
        <f>SUM(OSRRefH22_8x_0)</f>
        <v>0</v>
      </c>
      <c r="I71" s="1"/>
      <c r="J71" s="5">
        <f t="shared" si="38"/>
        <v>0</v>
      </c>
      <c r="K71" s="1"/>
      <c r="L71" s="1">
        <f t="shared" si="39"/>
        <v>0</v>
      </c>
      <c r="M71" s="1"/>
      <c r="N71" s="5">
        <f t="shared" si="40"/>
        <v>0</v>
      </c>
      <c r="O71" s="14"/>
      <c r="P71" s="1">
        <f>SUM(OSRRefP22_8x_0)</f>
        <v>0</v>
      </c>
      <c r="Q71" s="1"/>
      <c r="R71" s="5">
        <f t="shared" si="41"/>
        <v>0</v>
      </c>
      <c r="S71" s="1"/>
      <c r="T71" s="1">
        <f>SUM(OSRRefT22_8x_0)</f>
        <v>800</v>
      </c>
      <c r="U71" s="1"/>
      <c r="V71" s="5">
        <f t="shared" si="42"/>
        <v>1.0805845962665803E-2</v>
      </c>
      <c r="W71" s="1"/>
      <c r="X71" s="1">
        <f t="shared" si="43"/>
        <v>-800</v>
      </c>
      <c r="Y71" s="1"/>
      <c r="Z71" s="5">
        <f t="shared" si="44"/>
        <v>-1</v>
      </c>
    </row>
    <row r="72" spans="1:26" s="24" customFormat="1" hidden="1" outlineLevel="2" x14ac:dyDescent="0.35">
      <c r="A72" s="29"/>
      <c r="B72" s="11" t="str">
        <f>CONCATENATE("          ", "6336", " - ", "PROFESSIONAL SERVICES")</f>
        <v xml:space="preserve">          6336 - PROFESSIONAL SERVICES</v>
      </c>
      <c r="C72" s="11"/>
      <c r="D72" s="7"/>
      <c r="E72" s="2"/>
      <c r="F72" s="6">
        <f t="shared" si="37"/>
        <v>0</v>
      </c>
      <c r="G72" s="2"/>
      <c r="H72" s="7"/>
      <c r="I72" s="2"/>
      <c r="J72" s="6">
        <f t="shared" si="38"/>
        <v>0</v>
      </c>
      <c r="K72" s="2"/>
      <c r="L72" s="7">
        <f t="shared" si="39"/>
        <v>0</v>
      </c>
      <c r="M72" s="2"/>
      <c r="N72" s="6">
        <f t="shared" si="40"/>
        <v>0</v>
      </c>
      <c r="O72" s="11"/>
      <c r="P72" s="7"/>
      <c r="Q72" s="2"/>
      <c r="R72" s="6">
        <f t="shared" si="41"/>
        <v>0</v>
      </c>
      <c r="S72" s="2"/>
      <c r="T72" s="7">
        <v>800</v>
      </c>
      <c r="U72" s="2"/>
      <c r="V72" s="6">
        <f t="shared" si="42"/>
        <v>1.0805845962665803E-2</v>
      </c>
      <c r="W72" s="2"/>
      <c r="X72" s="7">
        <f t="shared" si="43"/>
        <v>-800</v>
      </c>
      <c r="Y72" s="2"/>
      <c r="Z72" s="6">
        <f t="shared" si="44"/>
        <v>-1</v>
      </c>
    </row>
    <row r="73" spans="1:26" s="28" customFormat="1" outlineLevel="1" collapsed="1" x14ac:dyDescent="0.35">
      <c r="A73" s="27"/>
      <c r="B73" s="14" t="str">
        <f>CONCATENATE("     ","Repair and Maintenance                            ")</f>
        <v xml:space="preserve">     Repair and Maintenance                            </v>
      </c>
      <c r="C73" s="14"/>
      <c r="D73" s="1">
        <f>SUM(OSRRefD22_9x_0)</f>
        <v>0</v>
      </c>
      <c r="E73" s="1"/>
      <c r="F73" s="5">
        <f t="shared" si="37"/>
        <v>0</v>
      </c>
      <c r="G73" s="1"/>
      <c r="H73" s="1">
        <f>SUM(OSRRefH22_9x_0)</f>
        <v>100</v>
      </c>
      <c r="I73" s="1"/>
      <c r="J73" s="5">
        <f t="shared" si="38"/>
        <v>3.8350910834132309E-3</v>
      </c>
      <c r="K73" s="1"/>
      <c r="L73" s="1">
        <f t="shared" si="39"/>
        <v>-100</v>
      </c>
      <c r="M73" s="1"/>
      <c r="N73" s="5">
        <f t="shared" si="40"/>
        <v>-1</v>
      </c>
      <c r="O73" s="14"/>
      <c r="P73" s="1">
        <f>SUM(OSRRefP22_9x_0)</f>
        <v>200.82</v>
      </c>
      <c r="Q73" s="1"/>
      <c r="R73" s="5">
        <f t="shared" si="41"/>
        <v>9.4228957315905838E-3</v>
      </c>
      <c r="S73" s="1"/>
      <c r="T73" s="1">
        <f>SUM(OSRRefT22_9x_0)</f>
        <v>700</v>
      </c>
      <c r="U73" s="1"/>
      <c r="V73" s="5">
        <f t="shared" si="42"/>
        <v>9.4551152173325773E-3</v>
      </c>
      <c r="W73" s="1"/>
      <c r="X73" s="1">
        <f t="shared" si="43"/>
        <v>-499.18</v>
      </c>
      <c r="Y73" s="1"/>
      <c r="Z73" s="5">
        <f t="shared" si="44"/>
        <v>-0.7131142857142857</v>
      </c>
    </row>
    <row r="74" spans="1:26" s="24" customFormat="1" hidden="1" outlineLevel="2" x14ac:dyDescent="0.35">
      <c r="A74" s="29"/>
      <c r="B74" s="11" t="str">
        <f>CONCATENATE("          ", "6373", " - ", "MAINTENANCE CONTRACTS")</f>
        <v xml:space="preserve">          6373 - MAINTENANCE CONTRACTS</v>
      </c>
      <c r="C74" s="11"/>
      <c r="D74" s="7"/>
      <c r="E74" s="2"/>
      <c r="F74" s="6">
        <f t="shared" si="37"/>
        <v>0</v>
      </c>
      <c r="G74" s="2"/>
      <c r="H74" s="7"/>
      <c r="I74" s="2"/>
      <c r="J74" s="6">
        <f t="shared" si="38"/>
        <v>0</v>
      </c>
      <c r="K74" s="2"/>
      <c r="L74" s="7">
        <f t="shared" si="39"/>
        <v>0</v>
      </c>
      <c r="M74" s="2"/>
      <c r="N74" s="6">
        <f t="shared" si="40"/>
        <v>0</v>
      </c>
      <c r="O74" s="11"/>
      <c r="P74" s="7">
        <v>200.82</v>
      </c>
      <c r="Q74" s="2"/>
      <c r="R74" s="6">
        <f t="shared" si="41"/>
        <v>9.4228957315905838E-3</v>
      </c>
      <c r="S74" s="2"/>
      <c r="T74" s="7"/>
      <c r="U74" s="2"/>
      <c r="V74" s="6">
        <f t="shared" si="42"/>
        <v>0</v>
      </c>
      <c r="W74" s="2"/>
      <c r="X74" s="7">
        <f t="shared" si="43"/>
        <v>200.82</v>
      </c>
      <c r="Y74" s="2"/>
      <c r="Z74" s="6">
        <f t="shared" si="44"/>
        <v>0</v>
      </c>
    </row>
    <row r="75" spans="1:26" s="24" customFormat="1" hidden="1" outlineLevel="2" x14ac:dyDescent="0.35">
      <c r="A75" s="29"/>
      <c r="B75" s="11" t="str">
        <f>CONCATENATE("          ", "6375", " - ", "OUTSIDE REPAIRS &amp; MAINTENANCE")</f>
        <v xml:space="preserve">          6375 - OUTSIDE REPAIRS &amp; MAINTENANCE</v>
      </c>
      <c r="C75" s="11"/>
      <c r="D75" s="7"/>
      <c r="E75" s="2"/>
      <c r="F75" s="6">
        <f t="shared" si="37"/>
        <v>0</v>
      </c>
      <c r="G75" s="2"/>
      <c r="H75" s="7">
        <v>100</v>
      </c>
      <c r="I75" s="2"/>
      <c r="J75" s="6">
        <f t="shared" si="38"/>
        <v>3.8350910834132309E-3</v>
      </c>
      <c r="K75" s="2"/>
      <c r="L75" s="7">
        <f t="shared" si="39"/>
        <v>-100</v>
      </c>
      <c r="M75" s="2"/>
      <c r="N75" s="6">
        <f t="shared" si="40"/>
        <v>-1</v>
      </c>
      <c r="O75" s="11"/>
      <c r="P75" s="7"/>
      <c r="Q75" s="2"/>
      <c r="R75" s="6">
        <f t="shared" si="41"/>
        <v>0</v>
      </c>
      <c r="S75" s="2"/>
      <c r="T75" s="7">
        <v>700</v>
      </c>
      <c r="U75" s="2"/>
      <c r="V75" s="6">
        <f t="shared" si="42"/>
        <v>9.4551152173325773E-3</v>
      </c>
      <c r="W75" s="2"/>
      <c r="X75" s="7">
        <f t="shared" si="43"/>
        <v>-700</v>
      </c>
      <c r="Y75" s="2"/>
      <c r="Z75" s="6">
        <f t="shared" si="44"/>
        <v>-1</v>
      </c>
    </row>
    <row r="76" spans="1:26" s="28" customFormat="1" outlineLevel="1" collapsed="1" x14ac:dyDescent="0.35">
      <c r="A76" s="27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SUM(OSRRefD22_10x_0)</f>
        <v>0</v>
      </c>
      <c r="E76" s="1"/>
      <c r="F76" s="5">
        <f t="shared" ref="F76:F78" si="45">IF(D$12=0,0,D76/D$12)</f>
        <v>0</v>
      </c>
      <c r="G76" s="1"/>
      <c r="H76" s="1">
        <f>SUM(OSRRefH22_10x_0)</f>
        <v>274</v>
      </c>
      <c r="I76" s="1"/>
      <c r="J76" s="5">
        <f t="shared" ref="J76:J78" si="46">IF(H$12=0,0,H76/H$12)</f>
        <v>1.0508149568552254E-2</v>
      </c>
      <c r="K76" s="1"/>
      <c r="L76" s="1">
        <f t="shared" ref="L76:L78" si="47">+D76-H76</f>
        <v>-274</v>
      </c>
      <c r="M76" s="1"/>
      <c r="N76" s="5">
        <f t="shared" ref="N76:N78" si="48">IF(H76=0,0,L76/H76)</f>
        <v>-1</v>
      </c>
      <c r="O76" s="14"/>
      <c r="P76" s="1">
        <f>SUM(OSRRefP22_10x_0)</f>
        <v>18.5</v>
      </c>
      <c r="Q76" s="1"/>
      <c r="R76" s="5">
        <f t="shared" ref="R76:R78" si="49">IF(P$12=0,0,P76/P$12)</f>
        <v>8.6805881403458724E-4</v>
      </c>
      <c r="S76" s="1"/>
      <c r="T76" s="1">
        <f>SUM(OSRRefT22_10x_0)</f>
        <v>1644</v>
      </c>
      <c r="U76" s="1"/>
      <c r="V76" s="5">
        <f t="shared" ref="V76:V78" si="50">IF(T$12=0,0,T76/T$12)</f>
        <v>2.2206013453278224E-2</v>
      </c>
      <c r="W76" s="1"/>
      <c r="X76" s="1">
        <f t="shared" ref="X76:X78" si="51">+P76-T76</f>
        <v>-1625.5</v>
      </c>
      <c r="Y76" s="1"/>
      <c r="Z76" s="5">
        <f t="shared" ref="Z76:Z78" si="52">IF(T76=0,0,X76/T76)</f>
        <v>-0.98874695863746964</v>
      </c>
    </row>
    <row r="77" spans="1:26" s="24" customFormat="1" hidden="1" outlineLevel="2" x14ac:dyDescent="0.35">
      <c r="A77" s="29"/>
      <c r="B77" s="11" t="str">
        <f>CONCATENATE("          ", "6282", " - ", "JANITORIAL/EXTERMINATOR EXPENS")</f>
        <v xml:space="preserve">          6282 - JANITORIAL/EXTERMINATOR EXPENS</v>
      </c>
      <c r="C77" s="11"/>
      <c r="D77" s="7"/>
      <c r="E77" s="2"/>
      <c r="F77" s="6">
        <f t="shared" si="45"/>
        <v>0</v>
      </c>
      <c r="G77" s="2"/>
      <c r="H77" s="7"/>
      <c r="I77" s="2"/>
      <c r="J77" s="6">
        <f t="shared" si="46"/>
        <v>0</v>
      </c>
      <c r="K77" s="2"/>
      <c r="L77" s="7">
        <f t="shared" si="47"/>
        <v>0</v>
      </c>
      <c r="M77" s="2"/>
      <c r="N77" s="6">
        <f t="shared" si="48"/>
        <v>0</v>
      </c>
      <c r="O77" s="11"/>
      <c r="P77" s="7">
        <v>176</v>
      </c>
      <c r="Q77" s="2"/>
      <c r="R77" s="6">
        <f t="shared" si="49"/>
        <v>8.2582892578425601E-3</v>
      </c>
      <c r="S77" s="2"/>
      <c r="T77" s="7"/>
      <c r="U77" s="2"/>
      <c r="V77" s="6">
        <f t="shared" si="50"/>
        <v>0</v>
      </c>
      <c r="W77" s="2"/>
      <c r="X77" s="7">
        <f t="shared" si="51"/>
        <v>176</v>
      </c>
      <c r="Y77" s="2"/>
      <c r="Z77" s="6">
        <f t="shared" si="52"/>
        <v>0</v>
      </c>
    </row>
    <row r="78" spans="1:26" s="24" customFormat="1" hidden="1" outlineLevel="2" x14ac:dyDescent="0.35">
      <c r="A78" s="29"/>
      <c r="B78" s="11" t="str">
        <f>CONCATENATE("          ", "6285", " - ", "JANITORIAL SERVICES")</f>
        <v xml:space="preserve">          6285 - JANITORIAL SERVICES</v>
      </c>
      <c r="C78" s="11"/>
      <c r="D78" s="7"/>
      <c r="E78" s="2"/>
      <c r="F78" s="6">
        <f t="shared" si="45"/>
        <v>0</v>
      </c>
      <c r="G78" s="2"/>
      <c r="H78" s="7">
        <v>274</v>
      </c>
      <c r="I78" s="2"/>
      <c r="J78" s="6">
        <f t="shared" si="46"/>
        <v>1.0508149568552254E-2</v>
      </c>
      <c r="K78" s="2"/>
      <c r="L78" s="7">
        <f t="shared" si="47"/>
        <v>-274</v>
      </c>
      <c r="M78" s="2"/>
      <c r="N78" s="6">
        <f t="shared" si="48"/>
        <v>-1</v>
      </c>
      <c r="O78" s="11"/>
      <c r="P78" s="7">
        <v>-157.5</v>
      </c>
      <c r="Q78" s="2"/>
      <c r="R78" s="6">
        <f t="shared" si="49"/>
        <v>-7.3902304438079732E-3</v>
      </c>
      <c r="S78" s="2"/>
      <c r="T78" s="7">
        <v>1644</v>
      </c>
      <c r="U78" s="2"/>
      <c r="V78" s="6">
        <f t="shared" si="50"/>
        <v>2.2206013453278224E-2</v>
      </c>
      <c r="W78" s="2"/>
      <c r="X78" s="7">
        <f t="shared" si="51"/>
        <v>-1801.5</v>
      </c>
      <c r="Y78" s="2"/>
      <c r="Z78" s="6">
        <f t="shared" si="52"/>
        <v>-1.0958029197080292</v>
      </c>
    </row>
    <row r="79" spans="1:26" s="28" customFormat="1" outlineLevel="1" collapsed="1" x14ac:dyDescent="0.35">
      <c r="A79" s="27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SUM(OSRRefD22_11x_0)</f>
        <v>0</v>
      </c>
      <c r="E79" s="1"/>
      <c r="F79" s="5">
        <f t="shared" ref="F79:F83" si="53">IF(D$12=0,0,D79/D$12)</f>
        <v>0</v>
      </c>
      <c r="G79" s="1"/>
      <c r="H79" s="1">
        <f>SUM(OSRRefH22_11x_0)</f>
        <v>400</v>
      </c>
      <c r="I79" s="1"/>
      <c r="J79" s="5">
        <f t="shared" ref="J79:J83" si="54">IF(H$12=0,0,H79/H$12)</f>
        <v>1.5340364333652923E-2</v>
      </c>
      <c r="K79" s="1"/>
      <c r="L79" s="1">
        <f t="shared" ref="L79:L83" si="55">+D79-H79</f>
        <v>-400</v>
      </c>
      <c r="M79" s="1"/>
      <c r="N79" s="5">
        <f t="shared" ref="N79:N83" si="56">IF(H79=0,0,L79/H79)</f>
        <v>-1</v>
      </c>
      <c r="O79" s="14"/>
      <c r="P79" s="1">
        <f>SUM(OSRRefP22_11x_0)</f>
        <v>1892.27</v>
      </c>
      <c r="Q79" s="1"/>
      <c r="R79" s="5">
        <f t="shared" ref="R79:R83" si="57">IF(P$12=0,0,P79/P$12)</f>
        <v>8.8789278488282622E-2</v>
      </c>
      <c r="S79" s="1"/>
      <c r="T79" s="1">
        <f>SUM(OSRRefT22_11x_0)</f>
        <v>2000</v>
      </c>
      <c r="U79" s="1"/>
      <c r="V79" s="5">
        <f t="shared" ref="V79:V83" si="58">IF(T$12=0,0,T79/T$12)</f>
        <v>2.7014614906664507E-2</v>
      </c>
      <c r="W79" s="1"/>
      <c r="X79" s="1">
        <f t="shared" ref="X79:X83" si="59">+P79-T79</f>
        <v>-107.73000000000002</v>
      </c>
      <c r="Y79" s="1"/>
      <c r="Z79" s="5">
        <f t="shared" ref="Z79:Z83" si="60">IF(T79=0,0,X79/T79)</f>
        <v>-5.386500000000001E-2</v>
      </c>
    </row>
    <row r="80" spans="1:26" s="24" customFormat="1" hidden="1" outlineLevel="2" x14ac:dyDescent="0.35">
      <c r="A80" s="29"/>
      <c r="B80" s="11" t="str">
        <f>CONCATENATE("          ", "6235", " - ", "COVID-19 EXPENSES")</f>
        <v xml:space="preserve">          6235 - COVID-19 EXPENSES</v>
      </c>
      <c r="C80" s="11"/>
      <c r="D80" s="7"/>
      <c r="E80" s="2"/>
      <c r="F80" s="6">
        <f t="shared" si="53"/>
        <v>0</v>
      </c>
      <c r="G80" s="2"/>
      <c r="H80" s="7">
        <v>200</v>
      </c>
      <c r="I80" s="2"/>
      <c r="J80" s="6">
        <f t="shared" si="54"/>
        <v>7.6701821668264617E-3</v>
      </c>
      <c r="K80" s="2"/>
      <c r="L80" s="7">
        <f t="shared" si="55"/>
        <v>-200</v>
      </c>
      <c r="M80" s="2"/>
      <c r="N80" s="6">
        <f t="shared" si="56"/>
        <v>-1</v>
      </c>
      <c r="O80" s="11"/>
      <c r="P80" s="7">
        <v>444.3</v>
      </c>
      <c r="Q80" s="2"/>
      <c r="R80" s="6">
        <f t="shared" si="57"/>
        <v>2.0847488166246871E-2</v>
      </c>
      <c r="S80" s="2"/>
      <c r="T80" s="7">
        <v>1200</v>
      </c>
      <c r="U80" s="2"/>
      <c r="V80" s="6">
        <f t="shared" si="58"/>
        <v>1.6208768943998704E-2</v>
      </c>
      <c r="W80" s="2"/>
      <c r="X80" s="7">
        <f t="shared" si="59"/>
        <v>-755.7</v>
      </c>
      <c r="Y80" s="2"/>
      <c r="Z80" s="6">
        <f t="shared" si="60"/>
        <v>-0.62975000000000003</v>
      </c>
    </row>
    <row r="81" spans="1:26" s="24" customFormat="1" hidden="1" outlineLevel="2" x14ac:dyDescent="0.35">
      <c r="A81" s="29"/>
      <c r="B81" s="11" t="str">
        <f>CONCATENATE("          ", "6241", " - ", "OFFICE EXPENSE")</f>
        <v xml:space="preserve">          6241 - OFFICE EXPENSE</v>
      </c>
      <c r="C81" s="11"/>
      <c r="D81" s="7"/>
      <c r="E81" s="2"/>
      <c r="F81" s="6">
        <f t="shared" si="53"/>
        <v>0</v>
      </c>
      <c r="G81" s="2"/>
      <c r="H81" s="7"/>
      <c r="I81" s="2"/>
      <c r="J81" s="6">
        <f t="shared" si="54"/>
        <v>0</v>
      </c>
      <c r="K81" s="2"/>
      <c r="L81" s="7">
        <f t="shared" si="55"/>
        <v>0</v>
      </c>
      <c r="M81" s="2"/>
      <c r="N81" s="6">
        <f t="shared" si="56"/>
        <v>0</v>
      </c>
      <c r="O81" s="11"/>
      <c r="P81" s="7">
        <v>225.24</v>
      </c>
      <c r="Q81" s="2"/>
      <c r="R81" s="6">
        <f t="shared" si="57"/>
        <v>1.056873336611624E-2</v>
      </c>
      <c r="S81" s="2"/>
      <c r="T81" s="7"/>
      <c r="U81" s="2"/>
      <c r="V81" s="6">
        <f t="shared" si="58"/>
        <v>0</v>
      </c>
      <c r="W81" s="2"/>
      <c r="X81" s="7">
        <f t="shared" si="59"/>
        <v>225.24</v>
      </c>
      <c r="Y81" s="2"/>
      <c r="Z81" s="6">
        <f t="shared" si="60"/>
        <v>0</v>
      </c>
    </row>
    <row r="82" spans="1:26" s="24" customFormat="1" hidden="1" outlineLevel="2" x14ac:dyDescent="0.35">
      <c r="A82" s="29"/>
      <c r="B82" s="11" t="str">
        <f>CONCATENATE("          ", "6247", " - ", "STORE SUPPLIES")</f>
        <v xml:space="preserve">          6247 - STORE SUPPLIES</v>
      </c>
      <c r="C82" s="11"/>
      <c r="D82" s="7"/>
      <c r="E82" s="2"/>
      <c r="F82" s="6">
        <f t="shared" si="53"/>
        <v>0</v>
      </c>
      <c r="G82" s="2"/>
      <c r="H82" s="7">
        <v>100</v>
      </c>
      <c r="I82" s="2"/>
      <c r="J82" s="6">
        <f t="shared" si="54"/>
        <v>3.8350910834132309E-3</v>
      </c>
      <c r="K82" s="2"/>
      <c r="L82" s="7">
        <f t="shared" si="55"/>
        <v>-100</v>
      </c>
      <c r="M82" s="2"/>
      <c r="N82" s="6">
        <f t="shared" si="56"/>
        <v>-1</v>
      </c>
      <c r="O82" s="11"/>
      <c r="P82" s="7">
        <v>1222.73</v>
      </c>
      <c r="Q82" s="2"/>
      <c r="R82" s="6">
        <f t="shared" si="57"/>
        <v>5.7373056955919509E-2</v>
      </c>
      <c r="S82" s="2"/>
      <c r="T82" s="7">
        <v>600</v>
      </c>
      <c r="U82" s="2"/>
      <c r="V82" s="6">
        <f t="shared" si="58"/>
        <v>8.104384471999352E-3</v>
      </c>
      <c r="W82" s="2"/>
      <c r="X82" s="7">
        <f t="shared" si="59"/>
        <v>622.73</v>
      </c>
      <c r="Y82" s="2"/>
      <c r="Z82" s="6">
        <f t="shared" si="60"/>
        <v>1.0378833333333333</v>
      </c>
    </row>
    <row r="83" spans="1:26" s="24" customFormat="1" hidden="1" outlineLevel="2" x14ac:dyDescent="0.35">
      <c r="A83" s="29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53"/>
        <v>0</v>
      </c>
      <c r="G83" s="2"/>
      <c r="H83" s="7">
        <v>100</v>
      </c>
      <c r="I83" s="2"/>
      <c r="J83" s="6">
        <f t="shared" si="54"/>
        <v>3.8350910834132309E-3</v>
      </c>
      <c r="K83" s="2"/>
      <c r="L83" s="7">
        <f t="shared" si="55"/>
        <v>-100</v>
      </c>
      <c r="M83" s="2"/>
      <c r="N83" s="6">
        <f t="shared" si="56"/>
        <v>-1</v>
      </c>
      <c r="O83" s="11"/>
      <c r="P83" s="7"/>
      <c r="Q83" s="2"/>
      <c r="R83" s="6">
        <f t="shared" si="57"/>
        <v>0</v>
      </c>
      <c r="S83" s="2"/>
      <c r="T83" s="7">
        <v>200</v>
      </c>
      <c r="U83" s="2"/>
      <c r="V83" s="6">
        <f t="shared" si="58"/>
        <v>2.7014614906664507E-3</v>
      </c>
      <c r="W83" s="2"/>
      <c r="X83" s="7">
        <f t="shared" si="59"/>
        <v>-200</v>
      </c>
      <c r="Y83" s="2"/>
      <c r="Z83" s="6">
        <f t="shared" si="60"/>
        <v>-1</v>
      </c>
    </row>
    <row r="84" spans="1:26" s="28" customFormat="1" outlineLevel="1" collapsed="1" x14ac:dyDescent="0.35">
      <c r="A84" s="27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SUM(OSRRefD22_12x_0)</f>
        <v>53</v>
      </c>
      <c r="E84" s="1"/>
      <c r="F84" s="5">
        <f t="shared" ref="F84:F86" si="61">IF(D$12=0,0,D84/D$12)</f>
        <v>0</v>
      </c>
      <c r="G84" s="1"/>
      <c r="H84" s="1">
        <f>SUM(OSRRefH22_12x_0)</f>
        <v>100</v>
      </c>
      <c r="I84" s="1"/>
      <c r="J84" s="5">
        <f t="shared" ref="J84:J86" si="62">IF(H$12=0,0,H84/H$12)</f>
        <v>3.8350910834132309E-3</v>
      </c>
      <c r="K84" s="1"/>
      <c r="L84" s="1">
        <f t="shared" ref="L84:L86" si="63">+D84-H84</f>
        <v>-47</v>
      </c>
      <c r="M84" s="1"/>
      <c r="N84" s="5">
        <f t="shared" ref="N84:N86" si="64">IF(H84=0,0,L84/H84)</f>
        <v>-0.47</v>
      </c>
      <c r="O84" s="14"/>
      <c r="P84" s="1">
        <f>SUM(OSRRefP22_12x_0)</f>
        <v>419.05</v>
      </c>
      <c r="Q84" s="1"/>
      <c r="R84" s="5">
        <f t="shared" ref="R84:R86" si="65">IF(P$12=0,0,P84/P$12)</f>
        <v>1.9662705190334799E-2</v>
      </c>
      <c r="S84" s="1"/>
      <c r="T84" s="1">
        <f>SUM(OSRRefT22_12x_0)</f>
        <v>700</v>
      </c>
      <c r="U84" s="1"/>
      <c r="V84" s="5">
        <f t="shared" ref="V84:V86" si="66">IF(T$12=0,0,T84/T$12)</f>
        <v>9.4551152173325773E-3</v>
      </c>
      <c r="W84" s="1"/>
      <c r="X84" s="1">
        <f t="shared" ref="X84:X86" si="67">+P84-T84</f>
        <v>-280.95</v>
      </c>
      <c r="Y84" s="1"/>
      <c r="Z84" s="5">
        <f t="shared" ref="Z84:Z86" si="68">IF(T84=0,0,X84/T84)</f>
        <v>-0.40135714285714286</v>
      </c>
    </row>
    <row r="85" spans="1:26" s="24" customFormat="1" hidden="1" outlineLevel="2" x14ac:dyDescent="0.35">
      <c r="A85" s="29"/>
      <c r="B85" s="11" t="str">
        <f>CONCATENATE("          ", "6303", " - ", "DATA PHONE LINES")</f>
        <v xml:space="preserve">          6303 - DATA PHONE LINES</v>
      </c>
      <c r="C85" s="11"/>
      <c r="D85" s="7"/>
      <c r="E85" s="2"/>
      <c r="F85" s="6">
        <f t="shared" si="61"/>
        <v>0</v>
      </c>
      <c r="G85" s="2"/>
      <c r="H85" s="7">
        <v>100</v>
      </c>
      <c r="I85" s="2"/>
      <c r="J85" s="6">
        <f t="shared" si="62"/>
        <v>3.8350910834132309E-3</v>
      </c>
      <c r="K85" s="2"/>
      <c r="L85" s="7">
        <f t="shared" si="63"/>
        <v>-100</v>
      </c>
      <c r="M85" s="2"/>
      <c r="N85" s="6">
        <f t="shared" si="64"/>
        <v>-1</v>
      </c>
      <c r="O85" s="11"/>
      <c r="P85" s="7"/>
      <c r="Q85" s="2"/>
      <c r="R85" s="6">
        <f t="shared" si="65"/>
        <v>0</v>
      </c>
      <c r="S85" s="2"/>
      <c r="T85" s="7">
        <v>700</v>
      </c>
      <c r="U85" s="2"/>
      <c r="V85" s="6">
        <f t="shared" si="66"/>
        <v>9.4551152173325773E-3</v>
      </c>
      <c r="W85" s="2"/>
      <c r="X85" s="7">
        <f t="shared" si="67"/>
        <v>-700</v>
      </c>
      <c r="Y85" s="2"/>
      <c r="Z85" s="6">
        <f t="shared" si="68"/>
        <v>-1</v>
      </c>
    </row>
    <row r="86" spans="1:26" s="24" customFormat="1" hidden="1" outlineLevel="2" x14ac:dyDescent="0.35">
      <c r="A86" s="29"/>
      <c r="B86" s="11" t="str">
        <f>CONCATENATE("          ", "6309", " - ", "TELEPHONE")</f>
        <v xml:space="preserve">          6309 - TELEPHONE</v>
      </c>
      <c r="C86" s="11"/>
      <c r="D86" s="7">
        <v>53</v>
      </c>
      <c r="E86" s="2"/>
      <c r="F86" s="6">
        <f t="shared" si="61"/>
        <v>0</v>
      </c>
      <c r="G86" s="2"/>
      <c r="H86" s="7"/>
      <c r="I86" s="2"/>
      <c r="J86" s="6">
        <f t="shared" si="62"/>
        <v>0</v>
      </c>
      <c r="K86" s="2"/>
      <c r="L86" s="7">
        <f t="shared" si="63"/>
        <v>53</v>
      </c>
      <c r="M86" s="2"/>
      <c r="N86" s="6">
        <f t="shared" si="64"/>
        <v>0</v>
      </c>
      <c r="O86" s="11"/>
      <c r="P86" s="7">
        <v>419.05</v>
      </c>
      <c r="Q86" s="2"/>
      <c r="R86" s="6">
        <f t="shared" si="65"/>
        <v>1.9662705190334799E-2</v>
      </c>
      <c r="S86" s="2"/>
      <c r="T86" s="7"/>
      <c r="U86" s="2"/>
      <c r="V86" s="6">
        <f t="shared" si="66"/>
        <v>0</v>
      </c>
      <c r="W86" s="2"/>
      <c r="X86" s="7">
        <f t="shared" si="67"/>
        <v>419.05</v>
      </c>
      <c r="Y86" s="2"/>
      <c r="Z86" s="6">
        <f t="shared" si="68"/>
        <v>0</v>
      </c>
    </row>
    <row r="87" spans="1:26" s="28" customFormat="1" outlineLevel="1" collapsed="1" x14ac:dyDescent="0.35">
      <c r="A87" s="27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SUM(OSRRefD22_13x_0)</f>
        <v>0</v>
      </c>
      <c r="E87" s="1"/>
      <c r="F87" s="5">
        <f t="shared" ref="F87:F88" si="69">IF(D$12=0,0,D87/D$12)</f>
        <v>0</v>
      </c>
      <c r="G87" s="1"/>
      <c r="H87" s="1">
        <f>SUM(OSRRefH22_13x_0)</f>
        <v>60</v>
      </c>
      <c r="I87" s="1"/>
      <c r="J87" s="5">
        <f t="shared" ref="J87:J88" si="70">IF(H$12=0,0,H87/H$12)</f>
        <v>2.3010546500479385E-3</v>
      </c>
      <c r="K87" s="1"/>
      <c r="L87" s="1">
        <f t="shared" ref="L87:L88" si="71">+D87-H87</f>
        <v>-60</v>
      </c>
      <c r="M87" s="1"/>
      <c r="N87" s="5">
        <f t="shared" ref="N87:N88" si="72">IF(H87=0,0,L87/H87)</f>
        <v>-1</v>
      </c>
      <c r="O87" s="14"/>
      <c r="P87" s="1">
        <f>SUM(OSRRefP22_13x_0)</f>
        <v>14</v>
      </c>
      <c r="Q87" s="1"/>
      <c r="R87" s="5">
        <f t="shared" ref="R87:R88" si="73">IF(P$12=0,0,P87/P$12)</f>
        <v>6.5690937278293094E-4</v>
      </c>
      <c r="S87" s="1"/>
      <c r="T87" s="1">
        <f>SUM(OSRRefT22_13x_0)</f>
        <v>120</v>
      </c>
      <c r="U87" s="1"/>
      <c r="V87" s="5">
        <f t="shared" ref="V87:V88" si="74">IF(T$12=0,0,T87/T$12)</f>
        <v>1.6208768943998704E-3</v>
      </c>
      <c r="W87" s="1"/>
      <c r="X87" s="1">
        <f t="shared" ref="X87:X88" si="75">+P87-T87</f>
        <v>-106</v>
      </c>
      <c r="Y87" s="1"/>
      <c r="Z87" s="5">
        <f t="shared" ref="Z87:Z88" si="76">IF(T87=0,0,X87/T87)</f>
        <v>-0.8833333333333333</v>
      </c>
    </row>
    <row r="88" spans="1:26" s="24" customFormat="1" hidden="1" outlineLevel="2" x14ac:dyDescent="0.35">
      <c r="A88" s="29"/>
      <c r="B88" s="11" t="str">
        <f>CONCATENATE("          ", "6376", " - ", "TRAINING")</f>
        <v xml:space="preserve">          6376 - TRAINING</v>
      </c>
      <c r="C88" s="11"/>
      <c r="D88" s="7"/>
      <c r="E88" s="2"/>
      <c r="F88" s="6">
        <f t="shared" si="69"/>
        <v>0</v>
      </c>
      <c r="G88" s="2"/>
      <c r="H88" s="7">
        <v>60</v>
      </c>
      <c r="I88" s="2"/>
      <c r="J88" s="6">
        <f t="shared" si="70"/>
        <v>2.3010546500479385E-3</v>
      </c>
      <c r="K88" s="2"/>
      <c r="L88" s="7">
        <f t="shared" si="71"/>
        <v>-60</v>
      </c>
      <c r="M88" s="2"/>
      <c r="N88" s="6">
        <f t="shared" si="72"/>
        <v>-1</v>
      </c>
      <c r="O88" s="11"/>
      <c r="P88" s="7">
        <v>14</v>
      </c>
      <c r="Q88" s="2"/>
      <c r="R88" s="6">
        <f t="shared" si="73"/>
        <v>6.5690937278293094E-4</v>
      </c>
      <c r="S88" s="2"/>
      <c r="T88" s="7">
        <v>120</v>
      </c>
      <c r="U88" s="2"/>
      <c r="V88" s="6">
        <f t="shared" si="74"/>
        <v>1.6208768943998704E-3</v>
      </c>
      <c r="W88" s="2"/>
      <c r="X88" s="7">
        <f t="shared" si="75"/>
        <v>-106</v>
      </c>
      <c r="Y88" s="2"/>
      <c r="Z88" s="6">
        <f t="shared" si="76"/>
        <v>-0.8833333333333333</v>
      </c>
    </row>
    <row r="89" spans="1:26" s="55" customFormat="1" x14ac:dyDescent="0.3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35">
      <c r="A90" s="10"/>
      <c r="B90" s="25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3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35">
      <c r="A92" s="10"/>
      <c r="B92" s="26" t="s">
        <v>3</v>
      </c>
      <c r="C92" s="26"/>
      <c r="D92" s="19">
        <f>+D35-D37+D90</f>
        <v>-71.52</v>
      </c>
      <c r="E92" s="13"/>
      <c r="F92" s="21">
        <f>IF(D$12=0,0,D92/D$12)</f>
        <v>0</v>
      </c>
      <c r="G92" s="13"/>
      <c r="H92" s="19">
        <f>+H35-H37+H90</f>
        <v>-5813.6109300000026</v>
      </c>
      <c r="I92" s="13"/>
      <c r="J92" s="21">
        <f>IF(H$12=0,0,H92/H$12)</f>
        <v>-0.22295727440076712</v>
      </c>
      <c r="K92" s="16"/>
      <c r="L92" s="19">
        <f>+D92-H92</f>
        <v>5742.0909300000021</v>
      </c>
      <c r="M92" s="16"/>
      <c r="N92" s="21">
        <f>IF(H92=0,0,L92/H92)</f>
        <v>-0.98769783515595522</v>
      </c>
      <c r="O92" s="25"/>
      <c r="P92" s="19">
        <f>+P35-P37+P90</f>
        <v>-4899.0899999999929</v>
      </c>
      <c r="Q92" s="13"/>
      <c r="R92" s="21">
        <f>IF(P$12=0,0,P92/P$12)</f>
        <v>-0.22987558136479461</v>
      </c>
      <c r="S92" s="13"/>
      <c r="T92" s="19">
        <f>+T35-T37+T90</f>
        <v>-42309.992073999994</v>
      </c>
      <c r="U92" s="13"/>
      <c r="V92" s="21">
        <f>IF(T$12=0,0,T92/T$12)</f>
        <v>-0.57149407129156871</v>
      </c>
      <c r="W92" s="16"/>
      <c r="X92" s="19">
        <f>+P92-T92</f>
        <v>37410.902073999998</v>
      </c>
      <c r="Y92" s="16"/>
      <c r="Z92" s="21">
        <f>IF(T92=0,0,X92/T92)</f>
        <v>-0.88420962141917891</v>
      </c>
    </row>
    <row r="93" spans="1:26" x14ac:dyDescent="0.3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35">
      <c r="A94" s="52"/>
      <c r="B94" s="10" t="s">
        <v>14</v>
      </c>
      <c r="C94" s="10"/>
      <c r="D94" s="4">
        <v>-74.48</v>
      </c>
      <c r="E94" s="4"/>
      <c r="F94" s="12">
        <f>IF(D$12=0,0,D94/D$12)</f>
        <v>0</v>
      </c>
      <c r="G94" s="4"/>
      <c r="H94" s="4">
        <v>4298</v>
      </c>
      <c r="I94" s="4"/>
      <c r="J94" s="12">
        <f>IF(H$12=0,0,H94/H$12)</f>
        <v>0.16483221476510068</v>
      </c>
      <c r="K94" s="4"/>
      <c r="L94" s="4">
        <f>+D94-H94</f>
        <v>-4372.4799999999996</v>
      </c>
      <c r="M94" s="4"/>
      <c r="N94" s="12">
        <f>IF(H94=0,0,L94/H94)</f>
        <v>-1.0173289902280129</v>
      </c>
      <c r="O94" s="10"/>
      <c r="P94" s="4">
        <v>3868.68</v>
      </c>
      <c r="Q94" s="4"/>
      <c r="R94" s="12">
        <f>IF(P$12=0,0,P94/P$12)</f>
        <v>0.18152658230699065</v>
      </c>
      <c r="S94" s="4"/>
      <c r="T94" s="4">
        <v>18341</v>
      </c>
      <c r="U94" s="4"/>
      <c r="V94" s="12">
        <f>IF(T$12=0,0,T94/T$12)</f>
        <v>0.24773752600156684</v>
      </c>
      <c r="W94" s="4"/>
      <c r="X94" s="4">
        <f>+P94-T94</f>
        <v>-14472.32</v>
      </c>
      <c r="Y94" s="4"/>
      <c r="Z94" s="12">
        <f>IF(T94=0,0,X94/T94)</f>
        <v>-0.78906929829344086</v>
      </c>
    </row>
    <row r="95" spans="1:26" x14ac:dyDescent="0.3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" thickBot="1" x14ac:dyDescent="0.4">
      <c r="A96" s="10"/>
      <c r="B96" s="26" t="s">
        <v>4</v>
      </c>
      <c r="C96" s="26"/>
      <c r="D96" s="33">
        <f>+D92-D94</f>
        <v>2.960000000000008</v>
      </c>
      <c r="E96" s="13"/>
      <c r="F96" s="31">
        <f>IF(D$12=0,0,D96/D$12)</f>
        <v>0</v>
      </c>
      <c r="G96" s="13"/>
      <c r="H96" s="33">
        <f>+H92-H94</f>
        <v>-10111.610930000003</v>
      </c>
      <c r="I96" s="13"/>
      <c r="J96" s="31">
        <f>IF(H$12=0,0,H96/H$12)</f>
        <v>-0.38778948916586781</v>
      </c>
      <c r="K96" s="16"/>
      <c r="L96" s="33">
        <f>D96-H96</f>
        <v>10114.570930000002</v>
      </c>
      <c r="M96" s="16"/>
      <c r="N96" s="31">
        <f>IF(H96=0,0,L96/H96)</f>
        <v>-1.0002927327821938</v>
      </c>
      <c r="O96" s="25"/>
      <c r="P96" s="33">
        <f>+P92-P94</f>
        <v>-8767.7699999999932</v>
      </c>
      <c r="Q96" s="13"/>
      <c r="R96" s="31">
        <f>IF(P$12=0,0,P96/P$12)</f>
        <v>-0.41140216367178528</v>
      </c>
      <c r="S96" s="13"/>
      <c r="T96" s="33">
        <f>+T92-T94</f>
        <v>-60650.992073999994</v>
      </c>
      <c r="U96" s="13"/>
      <c r="V96" s="31">
        <f>IF(T$12=0,0,T96/T$12)</f>
        <v>-0.81923159729313555</v>
      </c>
      <c r="W96" s="16"/>
      <c r="X96" s="33">
        <f>P96-T96</f>
        <v>51883.222074000005</v>
      </c>
      <c r="Y96" s="16"/>
      <c r="Z96" s="31">
        <f>IF(T96=0,0,X96/T96)</f>
        <v>-0.85543896809960707</v>
      </c>
    </row>
    <row r="97" spans="1:26" ht="15" thickTop="1" x14ac:dyDescent="0.3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3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" thickBot="1" x14ac:dyDescent="0.4">
      <c r="A99" s="10"/>
      <c r="B99" s="26" t="s">
        <v>5</v>
      </c>
      <c r="C99" s="26"/>
      <c r="D99" s="34">
        <f>SUM(D96:D98)</f>
        <v>2.960000000000008</v>
      </c>
      <c r="E99" s="13"/>
      <c r="F99" s="32">
        <f>IF(D$12=0,0,D99/D$12)</f>
        <v>0</v>
      </c>
      <c r="G99" s="13"/>
      <c r="H99" s="34">
        <f>SUM(H96:H98)</f>
        <v>-10111.610930000003</v>
      </c>
      <c r="I99" s="13"/>
      <c r="J99" s="32">
        <f>IF(H$12=0,0,H99/H$12)</f>
        <v>-0.38778948916586781</v>
      </c>
      <c r="K99" s="16"/>
      <c r="L99" s="34">
        <f>+D99-H99</f>
        <v>10114.570930000002</v>
      </c>
      <c r="M99" s="16"/>
      <c r="N99" s="32">
        <f>IF(H99=0,0,L99/H99)</f>
        <v>-1.0002927327821938</v>
      </c>
      <c r="O99" s="25"/>
      <c r="P99" s="34">
        <f>SUM(P96:P98)</f>
        <v>-8767.7699999999932</v>
      </c>
      <c r="Q99" s="13"/>
      <c r="R99" s="32">
        <f>IF(P$12=0,0,P99/P$12)</f>
        <v>-0.41140216367178528</v>
      </c>
      <c r="S99" s="13"/>
      <c r="T99" s="34">
        <f>SUM(T96:T98)</f>
        <v>-60650.992073999994</v>
      </c>
      <c r="U99" s="13"/>
      <c r="V99" s="32">
        <f>IF(T$12=0,0,T99/T$12)</f>
        <v>-0.81923159729313555</v>
      </c>
      <c r="W99" s="16"/>
      <c r="X99" s="34">
        <f>+P99-T99</f>
        <v>51883.222074000005</v>
      </c>
      <c r="Y99" s="16"/>
      <c r="Z99" s="32">
        <f>IF(T99=0,0,X99/T99)</f>
        <v>-0.85543896809960707</v>
      </c>
    </row>
    <row r="100" spans="1:26" ht="15" thickTop="1" x14ac:dyDescent="0.3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35">
      <c r="A101" s="9"/>
      <c r="B101" s="60">
        <v>44238.490416469911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35">
      <c r="A102" s="9"/>
      <c r="B102" s="59" t="s">
        <v>314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35">
      <c r="A103" s="9"/>
      <c r="B103" s="58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3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303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988954.85000000009</v>
      </c>
      <c r="E12" s="4"/>
      <c r="F12" s="12"/>
      <c r="G12" s="4"/>
      <c r="H12" s="4">
        <f>SUM(OSRRefH13x_0)</f>
        <v>1528939</v>
      </c>
      <c r="I12" s="4"/>
      <c r="J12" s="12"/>
      <c r="K12" s="4"/>
      <c r="L12" s="4">
        <f t="shared" ref="L12:L33" si="0">+D12-H12</f>
        <v>-539984.14999999991</v>
      </c>
      <c r="M12" s="4"/>
      <c r="N12" s="12">
        <f t="shared" ref="N12:N33" si="1">IF(H12=0,0,L12/H12)</f>
        <v>-0.35317573166751576</v>
      </c>
      <c r="O12" s="10"/>
      <c r="P12" s="4">
        <f>SUM(OSRRefP13x_0)</f>
        <v>2560907.3199999994</v>
      </c>
      <c r="Q12" s="4"/>
      <c r="R12" s="12"/>
      <c r="S12" s="4"/>
      <c r="T12" s="4">
        <f>SUM(OSRRefT13x_0)</f>
        <v>4169501</v>
      </c>
      <c r="U12" s="4"/>
      <c r="V12" s="12"/>
      <c r="W12" s="4"/>
      <c r="X12" s="4">
        <f t="shared" ref="X12:X33" si="2">+P12-T12</f>
        <v>-1608593.6800000006</v>
      </c>
      <c r="Y12" s="4"/>
      <c r="Z12" s="12">
        <f t="shared" ref="Z12:Z33" si="3">IF(T12=0,0,X12/T12)</f>
        <v>-0.38580004657631706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>-835.3</f>
        <v>-835.3</v>
      </c>
      <c r="E13" s="2"/>
      <c r="F13" s="22"/>
      <c r="G13" s="2"/>
      <c r="H13" s="2">
        <v>1528939</v>
      </c>
      <c r="I13" s="2"/>
      <c r="J13" s="22"/>
      <c r="K13" s="2"/>
      <c r="L13" s="2">
        <f t="shared" si="0"/>
        <v>-1529774.3</v>
      </c>
      <c r="M13" s="2"/>
      <c r="N13" s="22">
        <f t="shared" si="1"/>
        <v>-1.0005463265702557</v>
      </c>
      <c r="O13" s="11"/>
      <c r="P13" s="2">
        <f>-7761.03</f>
        <v>-7761.03</v>
      </c>
      <c r="Q13" s="2"/>
      <c r="R13" s="22"/>
      <c r="S13" s="2"/>
      <c r="T13" s="2">
        <v>4169501</v>
      </c>
      <c r="U13" s="2"/>
      <c r="V13" s="22"/>
      <c r="W13" s="2"/>
      <c r="X13" s="2">
        <f t="shared" si="2"/>
        <v>-4177262.03</v>
      </c>
      <c r="Y13" s="2"/>
      <c r="Z13" s="22">
        <f t="shared" si="3"/>
        <v>-1.0018613810141788</v>
      </c>
    </row>
    <row r="14" spans="1:26" s="24" customFormat="1" hidden="1" outlineLevel="1" x14ac:dyDescent="0.3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--459430.32</f>
        <v>459430.32</v>
      </c>
      <c r="E14" s="2"/>
      <c r="F14" s="22"/>
      <c r="G14" s="2"/>
      <c r="H14" s="2"/>
      <c r="I14" s="2"/>
      <c r="J14" s="22"/>
      <c r="K14" s="2"/>
      <c r="L14" s="2">
        <f t="shared" si="0"/>
        <v>459430.32</v>
      </c>
      <c r="M14" s="2"/>
      <c r="N14" s="22">
        <f t="shared" si="1"/>
        <v>0</v>
      </c>
      <c r="O14" s="11"/>
      <c r="P14" s="2">
        <f>--1190096.34</f>
        <v>1190096.3400000001</v>
      </c>
      <c r="Q14" s="2"/>
      <c r="R14" s="22"/>
      <c r="S14" s="2"/>
      <c r="T14" s="2"/>
      <c r="U14" s="2"/>
      <c r="V14" s="22"/>
      <c r="W14" s="2"/>
      <c r="X14" s="2">
        <f t="shared" si="2"/>
        <v>1190096.3400000001</v>
      </c>
      <c r="Y14" s="2"/>
      <c r="Z14" s="22">
        <f t="shared" si="3"/>
        <v>0</v>
      </c>
    </row>
    <row r="15" spans="1:26" s="24" customFormat="1" hidden="1" outlineLevel="1" x14ac:dyDescent="0.3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--238947.44</f>
        <v>238947.44</v>
      </c>
      <c r="E15" s="2"/>
      <c r="F15" s="22"/>
      <c r="G15" s="2"/>
      <c r="H15" s="2"/>
      <c r="I15" s="2"/>
      <c r="J15" s="22"/>
      <c r="K15" s="2"/>
      <c r="L15" s="2">
        <f t="shared" si="0"/>
        <v>238947.44</v>
      </c>
      <c r="M15" s="2"/>
      <c r="N15" s="22">
        <f t="shared" si="1"/>
        <v>0</v>
      </c>
      <c r="O15" s="11"/>
      <c r="P15" s="2">
        <f>--562401.5</f>
        <v>562401.5</v>
      </c>
      <c r="Q15" s="2"/>
      <c r="R15" s="22"/>
      <c r="S15" s="2"/>
      <c r="T15" s="2"/>
      <c r="U15" s="2"/>
      <c r="V15" s="22"/>
      <c r="W15" s="2"/>
      <c r="X15" s="2">
        <f t="shared" si="2"/>
        <v>562401.5</v>
      </c>
      <c r="Y15" s="2"/>
      <c r="Z15" s="22">
        <f t="shared" si="3"/>
        <v>0</v>
      </c>
    </row>
    <row r="16" spans="1:26" s="24" customFormat="1" hidden="1" outlineLevel="1" x14ac:dyDescent="0.3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--7222.26</f>
        <v>7222.26</v>
      </c>
      <c r="E16" s="2"/>
      <c r="F16" s="22"/>
      <c r="G16" s="2"/>
      <c r="H16" s="2"/>
      <c r="I16" s="2"/>
      <c r="J16" s="22"/>
      <c r="K16" s="2"/>
      <c r="L16" s="2">
        <f t="shared" si="0"/>
        <v>7222.26</v>
      </c>
      <c r="M16" s="2"/>
      <c r="N16" s="22">
        <f t="shared" si="1"/>
        <v>0</v>
      </c>
      <c r="O16" s="11"/>
      <c r="P16" s="2">
        <f>--17887.89</f>
        <v>17887.89</v>
      </c>
      <c r="Q16" s="2"/>
      <c r="R16" s="22"/>
      <c r="S16" s="2"/>
      <c r="T16" s="2"/>
      <c r="U16" s="2"/>
      <c r="V16" s="22"/>
      <c r="W16" s="2"/>
      <c r="X16" s="2">
        <f t="shared" si="2"/>
        <v>17887.89</v>
      </c>
      <c r="Y16" s="2"/>
      <c r="Z16" s="22">
        <f t="shared" si="3"/>
        <v>0</v>
      </c>
    </row>
    <row r="17" spans="1:26" s="24" customFormat="1" hidden="1" outlineLevel="1" x14ac:dyDescent="0.3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--200.1</f>
        <v>200.1</v>
      </c>
      <c r="E17" s="2"/>
      <c r="F17" s="22"/>
      <c r="G17" s="2"/>
      <c r="H17" s="2"/>
      <c r="I17" s="2"/>
      <c r="J17" s="22"/>
      <c r="K17" s="2"/>
      <c r="L17" s="2">
        <f t="shared" si="0"/>
        <v>200.1</v>
      </c>
      <c r="M17" s="2"/>
      <c r="N17" s="22">
        <f t="shared" si="1"/>
        <v>0</v>
      </c>
      <c r="O17" s="11"/>
      <c r="P17" s="2">
        <f>--2659.66</f>
        <v>2659.66</v>
      </c>
      <c r="Q17" s="2"/>
      <c r="R17" s="22"/>
      <c r="S17" s="2"/>
      <c r="T17" s="2"/>
      <c r="U17" s="2"/>
      <c r="V17" s="22"/>
      <c r="W17" s="2"/>
      <c r="X17" s="2">
        <f t="shared" si="2"/>
        <v>2659.66</v>
      </c>
      <c r="Y17" s="2"/>
      <c r="Z17" s="22">
        <f t="shared" si="3"/>
        <v>0</v>
      </c>
    </row>
    <row r="18" spans="1:26" s="24" customFormat="1" hidden="1" outlineLevel="1" x14ac:dyDescent="0.3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--346.55</f>
        <v>346.55</v>
      </c>
      <c r="E18" s="2"/>
      <c r="F18" s="22"/>
      <c r="G18" s="2"/>
      <c r="H18" s="2"/>
      <c r="I18" s="2"/>
      <c r="J18" s="22"/>
      <c r="K18" s="2"/>
      <c r="L18" s="2">
        <f t="shared" si="0"/>
        <v>346.55</v>
      </c>
      <c r="M18" s="2"/>
      <c r="N18" s="22">
        <f t="shared" si="1"/>
        <v>0</v>
      </c>
      <c r="O18" s="11"/>
      <c r="P18" s="2">
        <f>--930.52</f>
        <v>930.52</v>
      </c>
      <c r="Q18" s="2"/>
      <c r="R18" s="22"/>
      <c r="S18" s="2"/>
      <c r="T18" s="2"/>
      <c r="U18" s="2"/>
      <c r="V18" s="22"/>
      <c r="W18" s="2"/>
      <c r="X18" s="2">
        <f t="shared" si="2"/>
        <v>930.52</v>
      </c>
      <c r="Y18" s="2"/>
      <c r="Z18" s="22">
        <f t="shared" si="3"/>
        <v>0</v>
      </c>
    </row>
    <row r="19" spans="1:26" s="24" customFormat="1" hidden="1" outlineLevel="1" x14ac:dyDescent="0.3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--3.98</f>
        <v>3.98</v>
      </c>
      <c r="E19" s="2"/>
      <c r="F19" s="22"/>
      <c r="G19" s="2"/>
      <c r="H19" s="2"/>
      <c r="I19" s="2"/>
      <c r="J19" s="22"/>
      <c r="K19" s="2"/>
      <c r="L19" s="2">
        <f t="shared" si="0"/>
        <v>3.98</v>
      </c>
      <c r="M19" s="2"/>
      <c r="N19" s="22">
        <f t="shared" si="1"/>
        <v>0</v>
      </c>
      <c r="O19" s="11"/>
      <c r="P19" s="2">
        <f>--380.04</f>
        <v>380.04</v>
      </c>
      <c r="Q19" s="2"/>
      <c r="R19" s="22"/>
      <c r="S19" s="2"/>
      <c r="T19" s="2"/>
      <c r="U19" s="2"/>
      <c r="V19" s="22"/>
      <c r="W19" s="2"/>
      <c r="X19" s="2">
        <f t="shared" si="2"/>
        <v>380.04</v>
      </c>
      <c r="Y19" s="2"/>
      <c r="Z19" s="22">
        <f t="shared" si="3"/>
        <v>0</v>
      </c>
    </row>
    <row r="20" spans="1:26" s="24" customFormat="1" hidden="1" outlineLevel="1" x14ac:dyDescent="0.3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--100.3</f>
        <v>100.3</v>
      </c>
      <c r="E20" s="2"/>
      <c r="F20" s="22"/>
      <c r="G20" s="2"/>
      <c r="H20" s="2"/>
      <c r="I20" s="2"/>
      <c r="J20" s="22"/>
      <c r="K20" s="2"/>
      <c r="L20" s="2">
        <f t="shared" si="0"/>
        <v>100.3</v>
      </c>
      <c r="M20" s="2"/>
      <c r="N20" s="22">
        <f t="shared" si="1"/>
        <v>0</v>
      </c>
      <c r="O20" s="11"/>
      <c r="P20" s="2">
        <f>--291.14</f>
        <v>291.14</v>
      </c>
      <c r="Q20" s="2"/>
      <c r="R20" s="22"/>
      <c r="S20" s="2"/>
      <c r="T20" s="2"/>
      <c r="U20" s="2"/>
      <c r="V20" s="22"/>
      <c r="W20" s="2"/>
      <c r="X20" s="2">
        <f t="shared" si="2"/>
        <v>291.14</v>
      </c>
      <c r="Y20" s="2"/>
      <c r="Z20" s="22">
        <f t="shared" si="3"/>
        <v>0</v>
      </c>
    </row>
    <row r="21" spans="1:26" s="24" customFormat="1" hidden="1" outlineLevel="1" x14ac:dyDescent="0.35">
      <c r="A21" s="51"/>
      <c r="B21" s="11" t="str">
        <f>CONCATENATE("          ", "4100", " - ", "NON-TAXABLE SALES")</f>
        <v xml:space="preserve">          4100 - NON-TAXABLE SALES</v>
      </c>
      <c r="C21" s="11"/>
      <c r="D21" s="2">
        <f>--112968.19</f>
        <v>112968.19</v>
      </c>
      <c r="E21" s="2"/>
      <c r="F21" s="22"/>
      <c r="G21" s="2"/>
      <c r="H21" s="2"/>
      <c r="I21" s="2"/>
      <c r="J21" s="22"/>
      <c r="K21" s="2"/>
      <c r="L21" s="2">
        <f t="shared" si="0"/>
        <v>112968.19</v>
      </c>
      <c r="M21" s="2"/>
      <c r="N21" s="22">
        <f t="shared" si="1"/>
        <v>0</v>
      </c>
      <c r="O21" s="11"/>
      <c r="P21" s="2">
        <f>--278555.86</f>
        <v>278555.86</v>
      </c>
      <c r="Q21" s="2"/>
      <c r="R21" s="22"/>
      <c r="S21" s="2"/>
      <c r="T21" s="2"/>
      <c r="U21" s="2"/>
      <c r="V21" s="22"/>
      <c r="W21" s="2"/>
      <c r="X21" s="2">
        <f t="shared" si="2"/>
        <v>278555.86</v>
      </c>
      <c r="Y21" s="2"/>
      <c r="Z21" s="22">
        <f t="shared" si="3"/>
        <v>0</v>
      </c>
    </row>
    <row r="22" spans="1:26" s="24" customFormat="1" hidden="1" outlineLevel="1" x14ac:dyDescent="0.35">
      <c r="A22" s="51"/>
      <c r="B22" s="11" t="str">
        <f>CONCATENATE("          ", "4101", " - ", "NON-TAXABLE SALES-NEW TEXT")</f>
        <v xml:space="preserve">          4101 - NON-TAXABLE SALES-NEW TEXT</v>
      </c>
      <c r="C22" s="11"/>
      <c r="D22" s="2">
        <f>--22084.7</f>
        <v>22084.7</v>
      </c>
      <c r="E22" s="2"/>
      <c r="F22" s="22"/>
      <c r="G22" s="2"/>
      <c r="H22" s="2"/>
      <c r="I22" s="2"/>
      <c r="J22" s="22"/>
      <c r="K22" s="2"/>
      <c r="L22" s="2">
        <f t="shared" si="0"/>
        <v>22084.7</v>
      </c>
      <c r="M22" s="2"/>
      <c r="N22" s="22">
        <f t="shared" si="1"/>
        <v>0</v>
      </c>
      <c r="O22" s="11"/>
      <c r="P22" s="2">
        <f>--104225.63</f>
        <v>104225.63</v>
      </c>
      <c r="Q22" s="2"/>
      <c r="R22" s="22"/>
      <c r="S22" s="2"/>
      <c r="T22" s="2"/>
      <c r="U22" s="2"/>
      <c r="V22" s="22"/>
      <c r="W22" s="2"/>
      <c r="X22" s="2">
        <f t="shared" si="2"/>
        <v>104225.63</v>
      </c>
      <c r="Y22" s="2"/>
      <c r="Z22" s="22">
        <f t="shared" si="3"/>
        <v>0</v>
      </c>
    </row>
    <row r="23" spans="1:26" s="24" customFormat="1" hidden="1" outlineLevel="1" x14ac:dyDescent="0.35">
      <c r="A23" s="51"/>
      <c r="B23" s="11" t="str">
        <f>CONCATENATE("          ", "4102", " - ", "NON-TAXABLE SALES-USED TEXT")</f>
        <v xml:space="preserve">          4102 - NON-TAXABLE SALES-USED TEXT</v>
      </c>
      <c r="C23" s="11"/>
      <c r="D23" s="2">
        <f>--9330.01</f>
        <v>9330.01</v>
      </c>
      <c r="E23" s="2"/>
      <c r="F23" s="22"/>
      <c r="G23" s="2"/>
      <c r="H23" s="2"/>
      <c r="I23" s="2"/>
      <c r="J23" s="22"/>
      <c r="K23" s="2"/>
      <c r="L23" s="2">
        <f t="shared" si="0"/>
        <v>9330.01</v>
      </c>
      <c r="M23" s="2"/>
      <c r="N23" s="22">
        <f t="shared" si="1"/>
        <v>0</v>
      </c>
      <c r="O23" s="11"/>
      <c r="P23" s="2">
        <f>--42961.32</f>
        <v>42961.32</v>
      </c>
      <c r="Q23" s="2"/>
      <c r="R23" s="22"/>
      <c r="S23" s="2"/>
      <c r="T23" s="2"/>
      <c r="U23" s="2"/>
      <c r="V23" s="22"/>
      <c r="W23" s="2"/>
      <c r="X23" s="2">
        <f t="shared" si="2"/>
        <v>42961.32</v>
      </c>
      <c r="Y23" s="2"/>
      <c r="Z23" s="22">
        <f t="shared" si="3"/>
        <v>0</v>
      </c>
    </row>
    <row r="24" spans="1:26" s="24" customFormat="1" hidden="1" outlineLevel="1" x14ac:dyDescent="0.35">
      <c r="A24" s="51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--853.98</f>
        <v>853.98</v>
      </c>
      <c r="E24" s="2"/>
      <c r="F24" s="22"/>
      <c r="G24" s="2"/>
      <c r="H24" s="2"/>
      <c r="I24" s="2"/>
      <c r="J24" s="22"/>
      <c r="K24" s="2"/>
      <c r="L24" s="2">
        <f t="shared" si="0"/>
        <v>853.98</v>
      </c>
      <c r="M24" s="2"/>
      <c r="N24" s="22">
        <f t="shared" si="1"/>
        <v>0</v>
      </c>
      <c r="O24" s="11"/>
      <c r="P24" s="2">
        <f>--1138.95</f>
        <v>1138.95</v>
      </c>
      <c r="Q24" s="2"/>
      <c r="R24" s="22"/>
      <c r="S24" s="2"/>
      <c r="T24" s="2"/>
      <c r="U24" s="2"/>
      <c r="V24" s="22"/>
      <c r="W24" s="2"/>
      <c r="X24" s="2">
        <f t="shared" si="2"/>
        <v>1138.95</v>
      </c>
      <c r="Y24" s="2"/>
      <c r="Z24" s="22">
        <f t="shared" si="3"/>
        <v>0</v>
      </c>
    </row>
    <row r="25" spans="1:26" s="24" customFormat="1" hidden="1" outlineLevel="1" x14ac:dyDescent="0.35">
      <c r="A25" s="51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--161977.12</f>
        <v>161977.12</v>
      </c>
      <c r="E25" s="2"/>
      <c r="F25" s="22"/>
      <c r="G25" s="2"/>
      <c r="H25" s="2"/>
      <c r="I25" s="2"/>
      <c r="J25" s="22"/>
      <c r="K25" s="2"/>
      <c r="L25" s="2">
        <f t="shared" si="0"/>
        <v>161977.12</v>
      </c>
      <c r="M25" s="2"/>
      <c r="N25" s="22">
        <f t="shared" si="1"/>
        <v>0</v>
      </c>
      <c r="O25" s="11"/>
      <c r="P25" s="2">
        <f>--458168.13</f>
        <v>458168.13</v>
      </c>
      <c r="Q25" s="2"/>
      <c r="R25" s="22"/>
      <c r="S25" s="2"/>
      <c r="T25" s="2"/>
      <c r="U25" s="2"/>
      <c r="V25" s="22"/>
      <c r="W25" s="2"/>
      <c r="X25" s="2">
        <f t="shared" si="2"/>
        <v>458168.13</v>
      </c>
      <c r="Y25" s="2"/>
      <c r="Z25" s="22">
        <f t="shared" si="3"/>
        <v>0</v>
      </c>
    </row>
    <row r="26" spans="1:26" s="24" customFormat="1" hidden="1" outlineLevel="1" x14ac:dyDescent="0.35">
      <c r="A26" s="51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>--4661.75</f>
        <v>4661.75</v>
      </c>
      <c r="E26" s="2"/>
      <c r="F26" s="22"/>
      <c r="G26" s="2"/>
      <c r="H26" s="2"/>
      <c r="I26" s="2"/>
      <c r="J26" s="22"/>
      <c r="K26" s="2"/>
      <c r="L26" s="2">
        <f t="shared" si="0"/>
        <v>4661.75</v>
      </c>
      <c r="M26" s="2"/>
      <c r="N26" s="22">
        <f t="shared" si="1"/>
        <v>0</v>
      </c>
      <c r="O26" s="11"/>
      <c r="P26" s="2">
        <f>--6989.25</f>
        <v>6989.25</v>
      </c>
      <c r="Q26" s="2"/>
      <c r="R26" s="22"/>
      <c r="S26" s="2"/>
      <c r="T26" s="2"/>
      <c r="U26" s="2"/>
      <c r="V26" s="22"/>
      <c r="W26" s="2"/>
      <c r="X26" s="2">
        <f t="shared" si="2"/>
        <v>6989.25</v>
      </c>
      <c r="Y26" s="2"/>
      <c r="Z26" s="22">
        <f t="shared" si="3"/>
        <v>0</v>
      </c>
    </row>
    <row r="27" spans="1:26" s="24" customFormat="1" hidden="1" outlineLevel="1" x14ac:dyDescent="0.35">
      <c r="A27" s="51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>--538.3</f>
        <v>538.29999999999995</v>
      </c>
      <c r="E27" s="2"/>
      <c r="F27" s="22"/>
      <c r="G27" s="2"/>
      <c r="H27" s="2"/>
      <c r="I27" s="2"/>
      <c r="J27" s="22"/>
      <c r="K27" s="2"/>
      <c r="L27" s="2">
        <f t="shared" si="0"/>
        <v>538.29999999999995</v>
      </c>
      <c r="M27" s="2"/>
      <c r="N27" s="22">
        <f t="shared" si="1"/>
        <v>0</v>
      </c>
      <c r="O27" s="11"/>
      <c r="P27" s="2">
        <f>--771.73</f>
        <v>771.73</v>
      </c>
      <c r="Q27" s="2"/>
      <c r="R27" s="22"/>
      <c r="S27" s="2"/>
      <c r="T27" s="2"/>
      <c r="U27" s="2"/>
      <c r="V27" s="22"/>
      <c r="W27" s="2"/>
      <c r="X27" s="2">
        <f t="shared" si="2"/>
        <v>771.73</v>
      </c>
      <c r="Y27" s="2"/>
      <c r="Z27" s="22">
        <f t="shared" si="3"/>
        <v>0</v>
      </c>
    </row>
    <row r="28" spans="1:26" s="24" customFormat="1" hidden="1" outlineLevel="1" x14ac:dyDescent="0.35">
      <c r="A28" s="51"/>
      <c r="B28" s="11" t="str">
        <f>CONCATENATE("          ", "4201", " - ", "SALES RETURN TAXABLE-NEW TEXT")</f>
        <v xml:space="preserve">          4201 - SALES RETURN TAXABLE-NEW TEXT</v>
      </c>
      <c r="C28" s="11"/>
      <c r="D28" s="2">
        <f>-12741.9</f>
        <v>-12741.9</v>
      </c>
      <c r="E28" s="2"/>
      <c r="F28" s="22"/>
      <c r="G28" s="2"/>
      <c r="H28" s="2"/>
      <c r="I28" s="2"/>
      <c r="J28" s="22"/>
      <c r="K28" s="2"/>
      <c r="L28" s="2">
        <f t="shared" si="0"/>
        <v>-12741.9</v>
      </c>
      <c r="M28" s="2"/>
      <c r="N28" s="22">
        <f t="shared" si="1"/>
        <v>0</v>
      </c>
      <c r="O28" s="11"/>
      <c r="P28" s="2">
        <f>-48517.74</f>
        <v>-48517.74</v>
      </c>
      <c r="Q28" s="2"/>
      <c r="R28" s="22"/>
      <c r="S28" s="2"/>
      <c r="T28" s="2"/>
      <c r="U28" s="2"/>
      <c r="V28" s="22"/>
      <c r="W28" s="2"/>
      <c r="X28" s="2">
        <f t="shared" si="2"/>
        <v>-48517.74</v>
      </c>
      <c r="Y28" s="2"/>
      <c r="Z28" s="22">
        <f t="shared" si="3"/>
        <v>0</v>
      </c>
    </row>
    <row r="29" spans="1:26" s="24" customFormat="1" hidden="1" outlineLevel="1" x14ac:dyDescent="0.35">
      <c r="A29" s="51"/>
      <c r="B29" s="11" t="str">
        <f>CONCATENATE("          ", "4202", " - ", "SALES RETURN TAXABLE-USED TEXT")</f>
        <v xml:space="preserve">          4202 - SALES RETURN TAXABLE-USED TEXT</v>
      </c>
      <c r="C29" s="11"/>
      <c r="D29" s="2">
        <f>-4670.3</f>
        <v>-4670.3</v>
      </c>
      <c r="E29" s="2"/>
      <c r="F29" s="22"/>
      <c r="G29" s="2"/>
      <c r="H29" s="2"/>
      <c r="I29" s="2"/>
      <c r="J29" s="22"/>
      <c r="K29" s="2"/>
      <c r="L29" s="2">
        <f t="shared" si="0"/>
        <v>-4670.3</v>
      </c>
      <c r="M29" s="2"/>
      <c r="N29" s="22">
        <f t="shared" si="1"/>
        <v>0</v>
      </c>
      <c r="O29" s="11"/>
      <c r="P29" s="2">
        <f>-18536.3</f>
        <v>-18536.3</v>
      </c>
      <c r="Q29" s="2"/>
      <c r="R29" s="22"/>
      <c r="S29" s="2"/>
      <c r="T29" s="2"/>
      <c r="U29" s="2"/>
      <c r="V29" s="22"/>
      <c r="W29" s="2"/>
      <c r="X29" s="2">
        <f t="shared" si="2"/>
        <v>-18536.3</v>
      </c>
      <c r="Y29" s="2"/>
      <c r="Z29" s="22">
        <f t="shared" si="3"/>
        <v>0</v>
      </c>
    </row>
    <row r="30" spans="1:26" s="24" customFormat="1" hidden="1" outlineLevel="1" x14ac:dyDescent="0.35">
      <c r="A30" s="51"/>
      <c r="B30" s="11" t="str">
        <f>CONCATENATE("          ", "4204", " - ", "SALES RETURN TAXABLE-DIGITAL T")</f>
        <v xml:space="preserve">          4204 - SALES RETURN TAXABLE-DIGITAL T</v>
      </c>
      <c r="C30" s="11"/>
      <c r="D30" s="2">
        <f>0</f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-1630.85</f>
        <v>-1630.85</v>
      </c>
      <c r="Q30" s="2"/>
      <c r="R30" s="22"/>
      <c r="S30" s="2"/>
      <c r="T30" s="2"/>
      <c r="U30" s="2"/>
      <c r="V30" s="22"/>
      <c r="W30" s="2"/>
      <c r="X30" s="2">
        <f t="shared" si="2"/>
        <v>-1630.85</v>
      </c>
      <c r="Y30" s="2"/>
      <c r="Z30" s="22">
        <f t="shared" si="3"/>
        <v>0</v>
      </c>
    </row>
    <row r="31" spans="1:26" s="24" customFormat="1" hidden="1" outlineLevel="1" x14ac:dyDescent="0.35">
      <c r="A31" s="51"/>
      <c r="B31" s="11" t="str">
        <f>CONCATENATE("          ", "4301", " - ", "SALES RETURN NON TAXABLE-NEW T")</f>
        <v xml:space="preserve">          4301 - SALES RETURN NON TAXABLE-NEW T</v>
      </c>
      <c r="C31" s="11"/>
      <c r="D31" s="2">
        <f>-256.69</f>
        <v>-256.69</v>
      </c>
      <c r="E31" s="2"/>
      <c r="F31" s="22"/>
      <c r="G31" s="2"/>
      <c r="H31" s="2"/>
      <c r="I31" s="2"/>
      <c r="J31" s="22"/>
      <c r="K31" s="2"/>
      <c r="L31" s="2">
        <f t="shared" si="0"/>
        <v>-256.69</v>
      </c>
      <c r="M31" s="2"/>
      <c r="N31" s="22">
        <f t="shared" si="1"/>
        <v>0</v>
      </c>
      <c r="O31" s="11"/>
      <c r="P31" s="2">
        <f>-3005.79</f>
        <v>-3005.79</v>
      </c>
      <c r="Q31" s="2"/>
      <c r="R31" s="22"/>
      <c r="S31" s="2"/>
      <c r="T31" s="2"/>
      <c r="U31" s="2"/>
      <c r="V31" s="22"/>
      <c r="W31" s="2"/>
      <c r="X31" s="2">
        <f t="shared" si="2"/>
        <v>-3005.79</v>
      </c>
      <c r="Y31" s="2"/>
      <c r="Z31" s="22">
        <f t="shared" si="3"/>
        <v>0</v>
      </c>
    </row>
    <row r="32" spans="1:26" s="24" customFormat="1" hidden="1" outlineLevel="1" x14ac:dyDescent="0.35">
      <c r="A32" s="51"/>
      <c r="B32" s="11" t="str">
        <f>CONCATENATE("          ", "4302", " - ", "SALES RETURN NON TAXABLE-TEXT")</f>
        <v xml:space="preserve">          4302 - SALES RETURN NON TAXABLE-TEXT</v>
      </c>
      <c r="C32" s="11"/>
      <c r="D32" s="2">
        <f>-532.96</f>
        <v>-532.96</v>
      </c>
      <c r="E32" s="2"/>
      <c r="F32" s="22"/>
      <c r="G32" s="2"/>
      <c r="H32" s="2"/>
      <c r="I32" s="2"/>
      <c r="J32" s="22"/>
      <c r="K32" s="2"/>
      <c r="L32" s="2">
        <f t="shared" si="0"/>
        <v>-532.96</v>
      </c>
      <c r="M32" s="2"/>
      <c r="N32" s="22">
        <f t="shared" si="1"/>
        <v>0</v>
      </c>
      <c r="O32" s="11"/>
      <c r="P32" s="2">
        <f>-2003.16</f>
        <v>-2003.16</v>
      </c>
      <c r="Q32" s="2"/>
      <c r="R32" s="22"/>
      <c r="S32" s="2"/>
      <c r="T32" s="2"/>
      <c r="U32" s="2"/>
      <c r="V32" s="22"/>
      <c r="W32" s="2"/>
      <c r="X32" s="2">
        <f t="shared" si="2"/>
        <v>-2003.16</v>
      </c>
      <c r="Y32" s="2"/>
      <c r="Z32" s="22">
        <f t="shared" si="3"/>
        <v>0</v>
      </c>
    </row>
    <row r="33" spans="1:26" s="24" customFormat="1" hidden="1" outlineLevel="1" x14ac:dyDescent="0.35">
      <c r="A33" s="51"/>
      <c r="B33" s="11" t="str">
        <f>CONCATENATE("          ", "4304", " - ", "SALES RETURN NON TAXABLE-DIGIT")</f>
        <v xml:space="preserve">          4304 - SALES RETURN NON TAXABLE-DIGIT</v>
      </c>
      <c r="C33" s="11"/>
      <c r="D33" s="2">
        <f>-10673</f>
        <v>-10673</v>
      </c>
      <c r="E33" s="2"/>
      <c r="F33" s="22"/>
      <c r="G33" s="2"/>
      <c r="H33" s="2"/>
      <c r="I33" s="2"/>
      <c r="J33" s="22"/>
      <c r="K33" s="2"/>
      <c r="L33" s="2">
        <f t="shared" si="0"/>
        <v>-10673</v>
      </c>
      <c r="M33" s="2"/>
      <c r="N33" s="22">
        <f t="shared" si="1"/>
        <v>0</v>
      </c>
      <c r="O33" s="11"/>
      <c r="P33" s="2">
        <f>-25095.77</f>
        <v>-25095.77</v>
      </c>
      <c r="Q33" s="2"/>
      <c r="R33" s="22"/>
      <c r="S33" s="2"/>
      <c r="T33" s="2"/>
      <c r="U33" s="2"/>
      <c r="V33" s="22"/>
      <c r="W33" s="2"/>
      <c r="X33" s="2">
        <f t="shared" si="2"/>
        <v>-25095.77</v>
      </c>
      <c r="Y33" s="2"/>
      <c r="Z33" s="22">
        <f t="shared" si="3"/>
        <v>0</v>
      </c>
    </row>
    <row r="34" spans="1:26" x14ac:dyDescent="0.3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35">
      <c r="A35" s="10"/>
      <c r="B35" s="25" t="s">
        <v>8</v>
      </c>
      <c r="C35" s="10"/>
      <c r="D35" s="4">
        <f>SUM(OSRRefD16x_0)</f>
        <v>686871.82000000007</v>
      </c>
      <c r="E35" s="4"/>
      <c r="F35" s="12">
        <f t="shared" ref="F35:F50" si="4">IF(D$12=0,0,D35/D$12)</f>
        <v>0.69454315330977956</v>
      </c>
      <c r="G35" s="4"/>
      <c r="H35" s="4">
        <f>SUM(OSRRefH16x_0)</f>
        <v>1108946</v>
      </c>
      <c r="I35" s="4"/>
      <c r="J35" s="12">
        <f t="shared" ref="J35:J50" si="5">IF(H$12=0,0,H35/H$12)</f>
        <v>0.72530427963443933</v>
      </c>
      <c r="K35" s="4"/>
      <c r="L35" s="4">
        <f t="shared" ref="L35:L50" si="6">+D35-H35</f>
        <v>-422074.17999999993</v>
      </c>
      <c r="M35" s="4"/>
      <c r="N35" s="12">
        <f t="shared" ref="N35:N50" si="7">IF(H35=0,0,L35/H35)</f>
        <v>-0.38060841555855734</v>
      </c>
      <c r="O35" s="10"/>
      <c r="P35" s="4">
        <f>SUM(OSRRefP16x_0)</f>
        <v>1809575.97</v>
      </c>
      <c r="Q35" s="4"/>
      <c r="R35" s="12">
        <f t="shared" ref="R35:R50" si="8">IF(P$12=0,0,P35/P$12)</f>
        <v>0.70661517340658797</v>
      </c>
      <c r="S35" s="4"/>
      <c r="T35" s="4">
        <f>SUM(OSRRefT16x_0)</f>
        <v>3032163</v>
      </c>
      <c r="U35" s="4"/>
      <c r="V35" s="12">
        <f t="shared" ref="V35:V50" si="9">IF(T$12=0,0,T35/T$12)</f>
        <v>0.72722443285179694</v>
      </c>
      <c r="W35" s="4"/>
      <c r="X35" s="4">
        <f t="shared" ref="X35:X50" si="10">+P35-T35</f>
        <v>-1222587.03</v>
      </c>
      <c r="Y35" s="4"/>
      <c r="Z35" s="12">
        <f t="shared" ref="Z35:Z50" si="11">IF(T35=0,0,X35/T35)</f>
        <v>-0.40320623594443966</v>
      </c>
    </row>
    <row r="36" spans="1:26" s="24" customFormat="1" hidden="1" outlineLevel="1" x14ac:dyDescent="0.35">
      <c r="A36" s="51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22">
        <f t="shared" si="4"/>
        <v>0</v>
      </c>
      <c r="G36" s="2"/>
      <c r="H36" s="2">
        <v>1108946</v>
      </c>
      <c r="I36" s="2"/>
      <c r="J36" s="22">
        <f t="shared" si="5"/>
        <v>0.72530427963443933</v>
      </c>
      <c r="K36" s="2"/>
      <c r="L36" s="2">
        <f t="shared" si="6"/>
        <v>-1108946</v>
      </c>
      <c r="M36" s="2"/>
      <c r="N36" s="22">
        <f t="shared" si="7"/>
        <v>-1</v>
      </c>
      <c r="O36" s="11"/>
      <c r="P36" s="2"/>
      <c r="Q36" s="2"/>
      <c r="R36" s="22">
        <f t="shared" si="8"/>
        <v>0</v>
      </c>
      <c r="S36" s="2"/>
      <c r="T36" s="2">
        <v>3032163</v>
      </c>
      <c r="U36" s="2"/>
      <c r="V36" s="22">
        <f t="shared" si="9"/>
        <v>0.72722443285179694</v>
      </c>
      <c r="W36" s="2"/>
      <c r="X36" s="2">
        <f t="shared" si="10"/>
        <v>-3032163</v>
      </c>
      <c r="Y36" s="2"/>
      <c r="Z36" s="22">
        <f t="shared" si="11"/>
        <v>-1</v>
      </c>
    </row>
    <row r="37" spans="1:26" s="24" customFormat="1" hidden="1" outlineLevel="1" x14ac:dyDescent="0.35">
      <c r="A37" s="51"/>
      <c r="B37" s="11" t="str">
        <f>CONCATENATE("          ", "5001", " - ", "PURCHASES @ COST-NEW TEXT")</f>
        <v xml:space="preserve">          5001 - PURCHASES @ COST-NEW TEXT</v>
      </c>
      <c r="C37" s="11"/>
      <c r="D37" s="2">
        <v>381096.17</v>
      </c>
      <c r="E37" s="2"/>
      <c r="F37" s="22">
        <f t="shared" si="4"/>
        <v>0.38535244556412251</v>
      </c>
      <c r="G37" s="2"/>
      <c r="H37" s="2"/>
      <c r="I37" s="2"/>
      <c r="J37" s="22">
        <f t="shared" si="5"/>
        <v>0</v>
      </c>
      <c r="K37" s="2"/>
      <c r="L37" s="2">
        <f t="shared" si="6"/>
        <v>381096.17</v>
      </c>
      <c r="M37" s="2"/>
      <c r="N37" s="22">
        <f t="shared" si="7"/>
        <v>0</v>
      </c>
      <c r="O37" s="11"/>
      <c r="P37" s="2">
        <v>1659009.21</v>
      </c>
      <c r="Q37" s="2"/>
      <c r="R37" s="22">
        <f t="shared" si="8"/>
        <v>0.6478208707685682</v>
      </c>
      <c r="S37" s="2"/>
      <c r="T37" s="2"/>
      <c r="U37" s="2"/>
      <c r="V37" s="22">
        <f t="shared" si="9"/>
        <v>0</v>
      </c>
      <c r="W37" s="2"/>
      <c r="X37" s="2">
        <f t="shared" si="10"/>
        <v>1659009.21</v>
      </c>
      <c r="Y37" s="2"/>
      <c r="Z37" s="22">
        <f t="shared" si="11"/>
        <v>0</v>
      </c>
    </row>
    <row r="38" spans="1:26" s="24" customFormat="1" hidden="1" outlineLevel="1" x14ac:dyDescent="0.35">
      <c r="A38" s="51"/>
      <c r="B38" s="11" t="str">
        <f>CONCATENATE("          ", "5002", " - ", "PURCHASES @ COST-USED TEXT")</f>
        <v xml:space="preserve">          5002 - PURCHASES @ COST-USED TEXT</v>
      </c>
      <c r="C38" s="11"/>
      <c r="D38" s="2">
        <v>95863.360000000001</v>
      </c>
      <c r="E38" s="2"/>
      <c r="F38" s="22">
        <f t="shared" si="4"/>
        <v>9.6934010688152231E-2</v>
      </c>
      <c r="G38" s="2"/>
      <c r="H38" s="2"/>
      <c r="I38" s="2"/>
      <c r="J38" s="22">
        <f t="shared" si="5"/>
        <v>0</v>
      </c>
      <c r="K38" s="2"/>
      <c r="L38" s="2">
        <f t="shared" si="6"/>
        <v>95863.360000000001</v>
      </c>
      <c r="M38" s="2"/>
      <c r="N38" s="22">
        <f t="shared" si="7"/>
        <v>0</v>
      </c>
      <c r="O38" s="11"/>
      <c r="P38" s="2">
        <v>260336.28</v>
      </c>
      <c r="Q38" s="2"/>
      <c r="R38" s="22">
        <f t="shared" si="8"/>
        <v>0.10165782961641895</v>
      </c>
      <c r="S38" s="2"/>
      <c r="T38" s="2"/>
      <c r="U38" s="2"/>
      <c r="V38" s="22">
        <f t="shared" si="9"/>
        <v>0</v>
      </c>
      <c r="W38" s="2"/>
      <c r="X38" s="2">
        <f t="shared" si="10"/>
        <v>260336.28</v>
      </c>
      <c r="Y38" s="2"/>
      <c r="Z38" s="22">
        <f t="shared" si="11"/>
        <v>0</v>
      </c>
    </row>
    <row r="39" spans="1:26" s="24" customFormat="1" hidden="1" outlineLevel="1" x14ac:dyDescent="0.35">
      <c r="A39" s="51"/>
      <c r="B39" s="11" t="str">
        <f>CONCATENATE("          ", "5003", " - ", "PURCHASES @ COST-RENTAL TEXT")</f>
        <v xml:space="preserve">          5003 - PURCHASES @ COST-RENTAL TEXT</v>
      </c>
      <c r="C39" s="11"/>
      <c r="D39" s="2"/>
      <c r="E39" s="2"/>
      <c r="F39" s="22">
        <f t="shared" si="4"/>
        <v>0</v>
      </c>
      <c r="G39" s="2"/>
      <c r="H39" s="2"/>
      <c r="I39" s="2"/>
      <c r="J39" s="22">
        <f t="shared" si="5"/>
        <v>0</v>
      </c>
      <c r="K39" s="2"/>
      <c r="L39" s="2">
        <f t="shared" si="6"/>
        <v>0</v>
      </c>
      <c r="M39" s="2"/>
      <c r="N39" s="22">
        <f t="shared" si="7"/>
        <v>0</v>
      </c>
      <c r="O39" s="11"/>
      <c r="P39" s="2">
        <v>32.520000000000003</v>
      </c>
      <c r="Q39" s="2"/>
      <c r="R39" s="22">
        <f t="shared" si="8"/>
        <v>1.2698624329755132E-5</v>
      </c>
      <c r="S39" s="2"/>
      <c r="T39" s="2"/>
      <c r="U39" s="2"/>
      <c r="V39" s="22">
        <f t="shared" si="9"/>
        <v>0</v>
      </c>
      <c r="W39" s="2"/>
      <c r="X39" s="2">
        <f t="shared" si="10"/>
        <v>32.520000000000003</v>
      </c>
      <c r="Y39" s="2"/>
      <c r="Z39" s="22">
        <f t="shared" si="11"/>
        <v>0</v>
      </c>
    </row>
    <row r="40" spans="1:26" s="24" customFormat="1" hidden="1" outlineLevel="1" x14ac:dyDescent="0.35">
      <c r="A40" s="51"/>
      <c r="B40" s="11" t="str">
        <f>CONCATENATE("          ", "5004", " - ", "PURCHASES @ COST-DIGITAL TEXT")</f>
        <v xml:space="preserve">          5004 - PURCHASES @ COST-DIGITAL TEXT</v>
      </c>
      <c r="C40" s="11"/>
      <c r="D40" s="2">
        <v>18888.449999999997</v>
      </c>
      <c r="E40" s="2"/>
      <c r="F40" s="22">
        <f t="shared" si="4"/>
        <v>1.9099405801993888E-2</v>
      </c>
      <c r="G40" s="2"/>
      <c r="H40" s="2"/>
      <c r="I40" s="2"/>
      <c r="J40" s="22">
        <f t="shared" si="5"/>
        <v>0</v>
      </c>
      <c r="K40" s="2"/>
      <c r="L40" s="2">
        <f t="shared" si="6"/>
        <v>18888.449999999997</v>
      </c>
      <c r="M40" s="2"/>
      <c r="N40" s="22">
        <f t="shared" si="7"/>
        <v>0</v>
      </c>
      <c r="O40" s="11"/>
      <c r="P40" s="2">
        <v>216726.56</v>
      </c>
      <c r="Q40" s="2"/>
      <c r="R40" s="22">
        <f t="shared" si="8"/>
        <v>8.4628818195576105E-2</v>
      </c>
      <c r="S40" s="2"/>
      <c r="T40" s="2"/>
      <c r="U40" s="2"/>
      <c r="V40" s="22">
        <f t="shared" si="9"/>
        <v>0</v>
      </c>
      <c r="W40" s="2"/>
      <c r="X40" s="2">
        <f t="shared" si="10"/>
        <v>216726.56</v>
      </c>
      <c r="Y40" s="2"/>
      <c r="Z40" s="22">
        <f t="shared" si="11"/>
        <v>0</v>
      </c>
    </row>
    <row r="41" spans="1:26" s="24" customFormat="1" hidden="1" outlineLevel="1" x14ac:dyDescent="0.35">
      <c r="A41" s="51"/>
      <c r="B41" s="11" t="str">
        <f>CONCATENATE("          ", "5011", " - ", "PURCHASES @ COST-NO VALUE TEXT")</f>
        <v xml:space="preserve">          5011 - PURCHASES @ COST-NO VALUE TEXT</v>
      </c>
      <c r="C41" s="11"/>
      <c r="D41" s="2"/>
      <c r="E41" s="2"/>
      <c r="F41" s="22">
        <f t="shared" si="4"/>
        <v>0</v>
      </c>
      <c r="G41" s="2"/>
      <c r="H41" s="2"/>
      <c r="I41" s="2"/>
      <c r="J41" s="22">
        <f t="shared" si="5"/>
        <v>0</v>
      </c>
      <c r="K41" s="2"/>
      <c r="L41" s="2">
        <f t="shared" si="6"/>
        <v>0</v>
      </c>
      <c r="M41" s="2"/>
      <c r="N41" s="22">
        <f t="shared" si="7"/>
        <v>0</v>
      </c>
      <c r="O41" s="11"/>
      <c r="P41" s="2">
        <v>67.17</v>
      </c>
      <c r="Q41" s="2"/>
      <c r="R41" s="22">
        <f t="shared" si="8"/>
        <v>2.6228985123913044E-5</v>
      </c>
      <c r="S41" s="2"/>
      <c r="T41" s="2"/>
      <c r="U41" s="2"/>
      <c r="V41" s="22">
        <f t="shared" si="9"/>
        <v>0</v>
      </c>
      <c r="W41" s="2"/>
      <c r="X41" s="2">
        <f t="shared" si="10"/>
        <v>67.17</v>
      </c>
      <c r="Y41" s="2"/>
      <c r="Z41" s="22">
        <f t="shared" si="11"/>
        <v>0</v>
      </c>
    </row>
    <row r="42" spans="1:26" s="24" customFormat="1" hidden="1" outlineLevel="1" x14ac:dyDescent="0.35">
      <c r="A42" s="51"/>
      <c r="B42" s="11" t="str">
        <f>CONCATENATE("          ", "5013", " - ", "PURCHASES @ COST-TRADE BOOKS")</f>
        <v xml:space="preserve">          5013 - PURCHASES @ COST-TRADE BOOKS</v>
      </c>
      <c r="C42" s="11"/>
      <c r="D42" s="2">
        <v>3531.13</v>
      </c>
      <c r="E42" s="2"/>
      <c r="F42" s="22">
        <f t="shared" si="4"/>
        <v>3.5705674531046586E-3</v>
      </c>
      <c r="G42" s="2"/>
      <c r="H42" s="2"/>
      <c r="I42" s="2"/>
      <c r="J42" s="22">
        <f t="shared" si="5"/>
        <v>0</v>
      </c>
      <c r="K42" s="2"/>
      <c r="L42" s="2">
        <f t="shared" si="6"/>
        <v>3531.13</v>
      </c>
      <c r="M42" s="2"/>
      <c r="N42" s="22">
        <f t="shared" si="7"/>
        <v>0</v>
      </c>
      <c r="O42" s="11"/>
      <c r="P42" s="2">
        <v>5656.98</v>
      </c>
      <c r="Q42" s="2"/>
      <c r="R42" s="22">
        <f t="shared" si="8"/>
        <v>2.2089749034728836E-3</v>
      </c>
      <c r="S42" s="2"/>
      <c r="T42" s="2"/>
      <c r="U42" s="2"/>
      <c r="V42" s="22">
        <f t="shared" si="9"/>
        <v>0</v>
      </c>
      <c r="W42" s="2"/>
      <c r="X42" s="2">
        <f t="shared" si="10"/>
        <v>5656.98</v>
      </c>
      <c r="Y42" s="2"/>
      <c r="Z42" s="22">
        <f t="shared" si="11"/>
        <v>0</v>
      </c>
    </row>
    <row r="43" spans="1:26" s="24" customFormat="1" hidden="1" outlineLevel="1" x14ac:dyDescent="0.35">
      <c r="A43" s="51"/>
      <c r="B43" s="11" t="str">
        <f>CONCATENATE("          ", "5014", " - ", "PURCHASES @ COST-REMAINDERS")</f>
        <v xml:space="preserve">          5014 - PURCHASES @ COST-REMAINDERS</v>
      </c>
      <c r="C43" s="11"/>
      <c r="D43" s="2"/>
      <c r="E43" s="2"/>
      <c r="F43" s="22">
        <f t="shared" si="4"/>
        <v>0</v>
      </c>
      <c r="G43" s="2"/>
      <c r="H43" s="2"/>
      <c r="I43" s="2"/>
      <c r="J43" s="22">
        <f t="shared" si="5"/>
        <v>0</v>
      </c>
      <c r="K43" s="2"/>
      <c r="L43" s="2">
        <f t="shared" si="6"/>
        <v>0</v>
      </c>
      <c r="M43" s="2"/>
      <c r="N43" s="22">
        <f t="shared" si="7"/>
        <v>0</v>
      </c>
      <c r="O43" s="11"/>
      <c r="P43" s="2">
        <v>90.41</v>
      </c>
      <c r="Q43" s="2"/>
      <c r="R43" s="22">
        <f t="shared" si="8"/>
        <v>3.5303893777772486E-5</v>
      </c>
      <c r="S43" s="2"/>
      <c r="T43" s="2"/>
      <c r="U43" s="2"/>
      <c r="V43" s="22">
        <f t="shared" si="9"/>
        <v>0</v>
      </c>
      <c r="W43" s="2"/>
      <c r="X43" s="2">
        <f t="shared" si="10"/>
        <v>90.41</v>
      </c>
      <c r="Y43" s="2"/>
      <c r="Z43" s="22">
        <f t="shared" si="11"/>
        <v>0</v>
      </c>
    </row>
    <row r="44" spans="1:26" s="24" customFormat="1" hidden="1" outlineLevel="1" x14ac:dyDescent="0.35">
      <c r="A44" s="51"/>
      <c r="B44" s="11" t="str">
        <f>CONCATENATE("          ", "5018", " - ", "PURCHASES @ COST-STUDY GUIDES")</f>
        <v xml:space="preserve">          5018 - PURCHASES @ COST-STUDY GUIDES</v>
      </c>
      <c r="C44" s="11"/>
      <c r="D44" s="2">
        <v>416</v>
      </c>
      <c r="E44" s="2"/>
      <c r="F44" s="22">
        <f t="shared" si="4"/>
        <v>4.2064609926327777E-4</v>
      </c>
      <c r="G44" s="2"/>
      <c r="H44" s="2"/>
      <c r="I44" s="2"/>
      <c r="J44" s="22">
        <f t="shared" si="5"/>
        <v>0</v>
      </c>
      <c r="K44" s="2"/>
      <c r="L44" s="2">
        <f t="shared" si="6"/>
        <v>416</v>
      </c>
      <c r="M44" s="2"/>
      <c r="N44" s="22">
        <f t="shared" si="7"/>
        <v>0</v>
      </c>
      <c r="O44" s="11"/>
      <c r="P44" s="2">
        <v>522.34</v>
      </c>
      <c r="Q44" s="2"/>
      <c r="R44" s="22">
        <f t="shared" si="8"/>
        <v>2.0396677221415423E-4</v>
      </c>
      <c r="S44" s="2"/>
      <c r="T44" s="2"/>
      <c r="U44" s="2"/>
      <c r="V44" s="22">
        <f t="shared" si="9"/>
        <v>0</v>
      </c>
      <c r="W44" s="2"/>
      <c r="X44" s="2">
        <f t="shared" si="10"/>
        <v>522.34</v>
      </c>
      <c r="Y44" s="2"/>
      <c r="Z44" s="22">
        <f t="shared" si="11"/>
        <v>0</v>
      </c>
    </row>
    <row r="45" spans="1:26" s="24" customFormat="1" hidden="1" outlineLevel="1" x14ac:dyDescent="0.35">
      <c r="A45" s="51"/>
      <c r="B45" s="11" t="str">
        <f>CONCATENATE("          ", "5200", " - ", "PURCHASES OFFSET")</f>
        <v xml:space="preserve">          5200 - PURCHASES OFFSET</v>
      </c>
      <c r="C45" s="11"/>
      <c r="D45" s="2">
        <v>-321969.30000000005</v>
      </c>
      <c r="E45" s="2"/>
      <c r="F45" s="22">
        <f t="shared" si="4"/>
        <v>-0.32556521665271171</v>
      </c>
      <c r="G45" s="2"/>
      <c r="H45" s="2"/>
      <c r="I45" s="2"/>
      <c r="J45" s="22">
        <f t="shared" si="5"/>
        <v>0</v>
      </c>
      <c r="K45" s="2"/>
      <c r="L45" s="2">
        <f t="shared" si="6"/>
        <v>-321969.30000000005</v>
      </c>
      <c r="M45" s="2"/>
      <c r="N45" s="22">
        <f t="shared" si="7"/>
        <v>0</v>
      </c>
      <c r="O45" s="11"/>
      <c r="P45" s="2">
        <v>-1672643.0999999999</v>
      </c>
      <c r="Q45" s="2"/>
      <c r="R45" s="22">
        <f t="shared" si="8"/>
        <v>-0.65314472216042563</v>
      </c>
      <c r="S45" s="2"/>
      <c r="T45" s="2"/>
      <c r="U45" s="2"/>
      <c r="V45" s="22">
        <f t="shared" si="9"/>
        <v>0</v>
      </c>
      <c r="W45" s="2"/>
      <c r="X45" s="2">
        <f t="shared" si="10"/>
        <v>-1672643.0999999999</v>
      </c>
      <c r="Y45" s="2"/>
      <c r="Z45" s="22">
        <f t="shared" si="11"/>
        <v>0</v>
      </c>
    </row>
    <row r="46" spans="1:26" s="24" customFormat="1" hidden="1" outlineLevel="1" x14ac:dyDescent="0.35">
      <c r="A46" s="51"/>
      <c r="B46" s="11" t="str">
        <f>CONCATENATE("          ", "5300", " - ", "COG$ OFFSET")</f>
        <v xml:space="preserve">          5300 - COG$ OFFSET</v>
      </c>
      <c r="C46" s="11"/>
      <c r="D46" s="2">
        <v>499754.00000000006</v>
      </c>
      <c r="E46" s="2"/>
      <c r="F46" s="22">
        <f t="shared" si="4"/>
        <v>0.50533550646927916</v>
      </c>
      <c r="G46" s="2"/>
      <c r="H46" s="2"/>
      <c r="I46" s="2"/>
      <c r="J46" s="22">
        <f t="shared" si="5"/>
        <v>0</v>
      </c>
      <c r="K46" s="2"/>
      <c r="L46" s="2">
        <f t="shared" si="6"/>
        <v>499754.00000000006</v>
      </c>
      <c r="M46" s="2"/>
      <c r="N46" s="22">
        <f t="shared" si="7"/>
        <v>0</v>
      </c>
      <c r="O46" s="11"/>
      <c r="P46" s="2">
        <v>1279451</v>
      </c>
      <c r="Q46" s="2"/>
      <c r="R46" s="22">
        <f t="shared" si="8"/>
        <v>0.49960847470263015</v>
      </c>
      <c r="S46" s="2"/>
      <c r="T46" s="2"/>
      <c r="U46" s="2"/>
      <c r="V46" s="22">
        <f t="shared" si="9"/>
        <v>0</v>
      </c>
      <c r="W46" s="2"/>
      <c r="X46" s="2">
        <f t="shared" si="10"/>
        <v>1279451</v>
      </c>
      <c r="Y46" s="2"/>
      <c r="Z46" s="22">
        <f t="shared" si="11"/>
        <v>0</v>
      </c>
    </row>
    <row r="47" spans="1:26" s="24" customFormat="1" hidden="1" outlineLevel="1" x14ac:dyDescent="0.35">
      <c r="A47" s="51"/>
      <c r="B47" s="11" t="str">
        <f>CONCATENATE("          ", "5501", " - ", "FREIGHT-IN-NEW TEXT")</f>
        <v xml:space="preserve">          5501 - FREIGHT-IN-NEW TEXT</v>
      </c>
      <c r="C47" s="11"/>
      <c r="D47" s="2">
        <v>7155.21</v>
      </c>
      <c r="E47" s="2"/>
      <c r="F47" s="22">
        <f t="shared" si="4"/>
        <v>7.2351230190134562E-3</v>
      </c>
      <c r="G47" s="2"/>
      <c r="H47" s="2"/>
      <c r="I47" s="2"/>
      <c r="J47" s="22">
        <f t="shared" si="5"/>
        <v>0</v>
      </c>
      <c r="K47" s="2"/>
      <c r="L47" s="2">
        <f t="shared" si="6"/>
        <v>7155.21</v>
      </c>
      <c r="M47" s="2"/>
      <c r="N47" s="22">
        <f t="shared" si="7"/>
        <v>0</v>
      </c>
      <c r="O47" s="11"/>
      <c r="P47" s="2">
        <v>44618.79</v>
      </c>
      <c r="Q47" s="2"/>
      <c r="R47" s="22">
        <f t="shared" si="8"/>
        <v>1.7423039737338098E-2</v>
      </c>
      <c r="S47" s="2"/>
      <c r="T47" s="2"/>
      <c r="U47" s="2"/>
      <c r="V47" s="22">
        <f t="shared" si="9"/>
        <v>0</v>
      </c>
      <c r="W47" s="2"/>
      <c r="X47" s="2">
        <f t="shared" si="10"/>
        <v>44618.79</v>
      </c>
      <c r="Y47" s="2"/>
      <c r="Z47" s="22">
        <f t="shared" si="11"/>
        <v>0</v>
      </c>
    </row>
    <row r="48" spans="1:26" s="24" customFormat="1" hidden="1" outlineLevel="1" x14ac:dyDescent="0.35">
      <c r="A48" s="51"/>
      <c r="B48" s="11" t="str">
        <f>CONCATENATE("          ", "5502", " - ", "FREIGHT-IN-USED TEXT")</f>
        <v xml:space="preserve">          5502 - FREIGHT-IN-USED TEXT</v>
      </c>
      <c r="C48" s="11"/>
      <c r="D48" s="2">
        <v>2129.7399999999998</v>
      </c>
      <c r="E48" s="2"/>
      <c r="F48" s="22">
        <f t="shared" si="4"/>
        <v>2.1535260178965699E-3</v>
      </c>
      <c r="G48" s="2"/>
      <c r="H48" s="2"/>
      <c r="I48" s="2"/>
      <c r="J48" s="22">
        <f t="shared" si="5"/>
        <v>0</v>
      </c>
      <c r="K48" s="2"/>
      <c r="L48" s="2">
        <f t="shared" si="6"/>
        <v>2129.7399999999998</v>
      </c>
      <c r="M48" s="2"/>
      <c r="N48" s="22">
        <f t="shared" si="7"/>
        <v>0</v>
      </c>
      <c r="O48" s="11"/>
      <c r="P48" s="2">
        <v>15652.310000000001</v>
      </c>
      <c r="Q48" s="2"/>
      <c r="R48" s="22">
        <f t="shared" si="8"/>
        <v>6.1120173610968494E-3</v>
      </c>
      <c r="S48" s="2"/>
      <c r="T48" s="2"/>
      <c r="U48" s="2"/>
      <c r="V48" s="22">
        <f t="shared" si="9"/>
        <v>0</v>
      </c>
      <c r="W48" s="2"/>
      <c r="X48" s="2">
        <f t="shared" si="10"/>
        <v>15652.310000000001</v>
      </c>
      <c r="Y48" s="2"/>
      <c r="Z48" s="22">
        <f t="shared" si="11"/>
        <v>0</v>
      </c>
    </row>
    <row r="49" spans="1:26" s="24" customFormat="1" hidden="1" outlineLevel="1" x14ac:dyDescent="0.35">
      <c r="A49" s="51"/>
      <c r="B49" s="11" t="str">
        <f>CONCATENATE("          ", "5504", " - ", "FREIGHT-IN-DIGITAL TEXT")</f>
        <v xml:space="preserve">          5504 - FREIGHT-IN-DIGITAL TEXT</v>
      </c>
      <c r="C49" s="11"/>
      <c r="D49" s="2"/>
      <c r="E49" s="2"/>
      <c r="F49" s="22">
        <f t="shared" si="4"/>
        <v>0</v>
      </c>
      <c r="G49" s="2"/>
      <c r="H49" s="2"/>
      <c r="I49" s="2"/>
      <c r="J49" s="22">
        <f t="shared" si="5"/>
        <v>0</v>
      </c>
      <c r="K49" s="2"/>
      <c r="L49" s="2">
        <f t="shared" si="6"/>
        <v>0</v>
      </c>
      <c r="M49" s="2"/>
      <c r="N49" s="22">
        <f t="shared" si="7"/>
        <v>0</v>
      </c>
      <c r="O49" s="11"/>
      <c r="P49" s="2">
        <v>21.98</v>
      </c>
      <c r="Q49" s="2"/>
      <c r="R49" s="22">
        <f t="shared" si="8"/>
        <v>8.5828955340718882E-6</v>
      </c>
      <c r="S49" s="2"/>
      <c r="T49" s="2"/>
      <c r="U49" s="2"/>
      <c r="V49" s="22">
        <f t="shared" si="9"/>
        <v>0</v>
      </c>
      <c r="W49" s="2"/>
      <c r="X49" s="2">
        <f t="shared" si="10"/>
        <v>21.98</v>
      </c>
      <c r="Y49" s="2"/>
      <c r="Z49" s="22">
        <f t="shared" si="11"/>
        <v>0</v>
      </c>
    </row>
    <row r="50" spans="1:26" s="24" customFormat="1" hidden="1" outlineLevel="1" x14ac:dyDescent="0.35">
      <c r="A50" s="51"/>
      <c r="B50" s="11" t="str">
        <f>CONCATENATE("          ", "5513", " - ", "FREIGHT-IN-TRADE BOOKS")</f>
        <v xml:space="preserve">          5513 - FREIGHT-IN-TRADE BOOKS</v>
      </c>
      <c r="C50" s="11"/>
      <c r="D50" s="2">
        <v>7.06</v>
      </c>
      <c r="E50" s="2"/>
      <c r="F50" s="22">
        <f t="shared" si="4"/>
        <v>7.1388496653815886E-6</v>
      </c>
      <c r="G50" s="2"/>
      <c r="H50" s="2"/>
      <c r="I50" s="2"/>
      <c r="J50" s="22">
        <f t="shared" si="5"/>
        <v>0</v>
      </c>
      <c r="K50" s="2"/>
      <c r="L50" s="2">
        <f t="shared" si="6"/>
        <v>7.06</v>
      </c>
      <c r="M50" s="2"/>
      <c r="N50" s="22">
        <f t="shared" si="7"/>
        <v>0</v>
      </c>
      <c r="O50" s="11"/>
      <c r="P50" s="2">
        <v>33.520000000000003</v>
      </c>
      <c r="Q50" s="2"/>
      <c r="R50" s="22">
        <f t="shared" si="8"/>
        <v>1.3089110932761132E-5</v>
      </c>
      <c r="S50" s="2"/>
      <c r="T50" s="2"/>
      <c r="U50" s="2"/>
      <c r="V50" s="22">
        <f t="shared" si="9"/>
        <v>0</v>
      </c>
      <c r="W50" s="2"/>
      <c r="X50" s="2">
        <f t="shared" si="10"/>
        <v>33.520000000000003</v>
      </c>
      <c r="Y50" s="2"/>
      <c r="Z50" s="22">
        <f t="shared" si="11"/>
        <v>0</v>
      </c>
    </row>
    <row r="51" spans="1:26" x14ac:dyDescent="0.3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35">
      <c r="A52" s="10"/>
      <c r="B52" s="26" t="s">
        <v>6</v>
      </c>
      <c r="C52" s="26"/>
      <c r="D52" s="19">
        <f>D12-D35</f>
        <v>302083.03000000003</v>
      </c>
      <c r="E52" s="13"/>
      <c r="F52" s="21">
        <f>IF(D$12=0,0,D52/D$12)</f>
        <v>0.3054568466902205</v>
      </c>
      <c r="G52" s="13"/>
      <c r="H52" s="19">
        <f>H12-H35</f>
        <v>419993</v>
      </c>
      <c r="I52" s="13"/>
      <c r="J52" s="21">
        <f>IF(H$12=0,0,H52/H$12)</f>
        <v>0.27469572036556067</v>
      </c>
      <c r="K52" s="16"/>
      <c r="L52" s="19">
        <f>+D52-H52</f>
        <v>-117909.96999999997</v>
      </c>
      <c r="M52" s="16"/>
      <c r="N52" s="21">
        <f>IF(H52=0,0,L52/H52)</f>
        <v>-0.28074270285457131</v>
      </c>
      <c r="O52" s="25"/>
      <c r="P52" s="19">
        <f>P12-P35</f>
        <v>751331.34999999939</v>
      </c>
      <c r="Q52" s="13"/>
      <c r="R52" s="21">
        <f>IF(P$12=0,0,P52/P$12)</f>
        <v>0.29338482659341203</v>
      </c>
      <c r="S52" s="13"/>
      <c r="T52" s="19">
        <f>T12-T35</f>
        <v>1137338</v>
      </c>
      <c r="U52" s="13"/>
      <c r="V52" s="21">
        <f>IF(T$12=0,0,T52/T$12)</f>
        <v>0.27277556714820311</v>
      </c>
      <c r="W52" s="16"/>
      <c r="X52" s="19">
        <f>+P52-T52</f>
        <v>-386006.65000000061</v>
      </c>
      <c r="Y52" s="16"/>
      <c r="Z52" s="21">
        <f>IF(T52=0,0,X52/T52)</f>
        <v>-0.33939484128728714</v>
      </c>
    </row>
    <row r="53" spans="1:26" x14ac:dyDescent="0.3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6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35">
      <c r="A54" s="10"/>
      <c r="B54" s="25" t="s">
        <v>9</v>
      </c>
      <c r="C54" s="10"/>
      <c r="D54" s="20">
        <f>SUM(OSRRefD22x_0)</f>
        <v>58886.079999999994</v>
      </c>
      <c r="E54" s="20"/>
      <c r="F54" s="30">
        <f t="shared" ref="F54:F65" si="12">IF(D$12=0,0,D54/D$12)</f>
        <v>5.9543749646407004E-2</v>
      </c>
      <c r="G54" s="20"/>
      <c r="H54" s="20">
        <f>SUM(OSRRefH22x_0)</f>
        <v>94552.11966682694</v>
      </c>
      <c r="I54" s="20"/>
      <c r="J54" s="30">
        <f t="shared" ref="J54:J65" si="13">IF(H$12=0,0,H54/H$12)</f>
        <v>6.1841655989432504E-2</v>
      </c>
      <c r="K54" s="4"/>
      <c r="L54" s="20">
        <f t="shared" ref="L54:L65" si="14">+D54-H54</f>
        <v>-35666.039666826946</v>
      </c>
      <c r="M54" s="4"/>
      <c r="N54" s="30">
        <f t="shared" ref="N54:N65" si="15">IF(H54=0,0,L54/H54)</f>
        <v>-0.37721036601298075</v>
      </c>
      <c r="O54" s="10"/>
      <c r="P54" s="20">
        <f>SUM(OSRRefP22x_0)</f>
        <v>322990.58999999991</v>
      </c>
      <c r="Q54" s="20"/>
      <c r="R54" s="30">
        <f t="shared" ref="R54:R65" si="16">IF(P$12=0,0,P54/P$12)</f>
        <v>0.12612349829200378</v>
      </c>
      <c r="S54" s="20"/>
      <c r="T54" s="20">
        <f>SUM(OSRRefT22x_0)</f>
        <v>404853.12989692693</v>
      </c>
      <c r="U54" s="20"/>
      <c r="V54" s="30">
        <f t="shared" ref="V54:V65" si="17">IF(T$12=0,0,T54/T$12)</f>
        <v>9.7098700755060843E-2</v>
      </c>
      <c r="W54" s="4"/>
      <c r="X54" s="20">
        <f t="shared" ref="X54:X65" si="18">+P54-T54</f>
        <v>-81862.539896927017</v>
      </c>
      <c r="Y54" s="4"/>
      <c r="Z54" s="30">
        <f t="shared" ref="Z54:Z65" si="19">IF(T54=0,0,X54/T54)</f>
        <v>-0.20220305550748419</v>
      </c>
    </row>
    <row r="55" spans="1:26" s="28" customFormat="1" outlineLevel="1" collapsed="1" x14ac:dyDescent="0.35">
      <c r="A55" s="27"/>
      <c r="B55" s="14" t="str">
        <f>CONCATENATE("     ","*Benefits                                         ")</f>
        <v xml:space="preserve">     *Benefits                                         </v>
      </c>
      <c r="C55" s="14"/>
      <c r="D55" s="1">
        <f>SUM(OSRRefD22_0x_0)</f>
        <v>13034.259999999998</v>
      </c>
      <c r="E55" s="1"/>
      <c r="F55" s="5">
        <f t="shared" si="12"/>
        <v>1.3179833235056178E-2</v>
      </c>
      <c r="G55" s="1"/>
      <c r="H55" s="1">
        <f>SUM(OSRRefH22_0x_0)</f>
        <v>16114.680737211538</v>
      </c>
      <c r="I55" s="1"/>
      <c r="J55" s="5">
        <f t="shared" si="13"/>
        <v>1.0539780028641782E-2</v>
      </c>
      <c r="K55" s="1"/>
      <c r="L55" s="1">
        <f t="shared" si="14"/>
        <v>-3080.4207372115397</v>
      </c>
      <c r="M55" s="1"/>
      <c r="N55" s="5">
        <f t="shared" si="15"/>
        <v>-0.19115617538101914</v>
      </c>
      <c r="O55" s="14"/>
      <c r="P55" s="1">
        <f>SUM(OSRRefP22_0x_0)</f>
        <v>81797.209999999992</v>
      </c>
      <c r="Q55" s="1"/>
      <c r="R55" s="5">
        <f t="shared" si="16"/>
        <v>3.1940714668268436E-2</v>
      </c>
      <c r="S55" s="1"/>
      <c r="T55" s="1">
        <f>SUM(OSRRefT22_0x_0)</f>
        <v>89735.927033311527</v>
      </c>
      <c r="U55" s="1"/>
      <c r="V55" s="5">
        <f t="shared" si="17"/>
        <v>2.1521982374704197E-2</v>
      </c>
      <c r="W55" s="1"/>
      <c r="X55" s="1">
        <f t="shared" si="18"/>
        <v>-7938.7170333115355</v>
      </c>
      <c r="Y55" s="1"/>
      <c r="Z55" s="5">
        <f t="shared" si="19"/>
        <v>-8.8467543555487499E-2</v>
      </c>
    </row>
    <row r="56" spans="1:26" s="24" customFormat="1" hidden="1" outlineLevel="2" x14ac:dyDescent="0.35">
      <c r="A56" s="29"/>
      <c r="B56" s="11" t="str">
        <f>CONCATENATE("          ", "6111", " - ", "F.I.C.A.")</f>
        <v xml:space="preserve">          6111 - F.I.C.A.</v>
      </c>
      <c r="C56" s="11"/>
      <c r="D56" s="7">
        <v>2182.61</v>
      </c>
      <c r="E56" s="2"/>
      <c r="F56" s="6">
        <f t="shared" si="12"/>
        <v>2.2069864969063045E-3</v>
      </c>
      <c r="G56" s="2"/>
      <c r="H56" s="7">
        <v>3099.0375357980797</v>
      </c>
      <c r="I56" s="2"/>
      <c r="J56" s="6">
        <f t="shared" si="13"/>
        <v>2.0269203256624885E-3</v>
      </c>
      <c r="K56" s="2"/>
      <c r="L56" s="7">
        <f t="shared" si="14"/>
        <v>-916.42753579807959</v>
      </c>
      <c r="M56" s="2"/>
      <c r="N56" s="6">
        <f t="shared" si="15"/>
        <v>-0.29571359662866314</v>
      </c>
      <c r="O56" s="11"/>
      <c r="P56" s="7">
        <v>15125.609999999999</v>
      </c>
      <c r="Q56" s="2"/>
      <c r="R56" s="6">
        <f t="shared" si="16"/>
        <v>5.9063480672935879E-3</v>
      </c>
      <c r="S56" s="2"/>
      <c r="T56" s="7">
        <v>14338.690219898081</v>
      </c>
      <c r="U56" s="2"/>
      <c r="V56" s="6">
        <f t="shared" si="17"/>
        <v>3.4389463439145548E-3</v>
      </c>
      <c r="W56" s="2"/>
      <c r="X56" s="7">
        <f t="shared" si="18"/>
        <v>786.91978010191815</v>
      </c>
      <c r="Y56" s="2"/>
      <c r="Z56" s="6">
        <f t="shared" si="19"/>
        <v>5.4880869035715284E-2</v>
      </c>
    </row>
    <row r="57" spans="1:26" s="24" customFormat="1" hidden="1" outlineLevel="2" x14ac:dyDescent="0.35">
      <c r="A57" s="29"/>
      <c r="B57" s="11" t="str">
        <f>CONCATENATE("          ", "6112", " - ", "COMPENSATION INSURANCE")</f>
        <v xml:space="preserve">          6112 - COMPENSATION INSURANCE</v>
      </c>
      <c r="C57" s="11"/>
      <c r="D57" s="7">
        <v>-125.07</v>
      </c>
      <c r="E57" s="2"/>
      <c r="F57" s="6">
        <f t="shared" si="12"/>
        <v>-1.264668452761013E-4</v>
      </c>
      <c r="G57" s="2"/>
      <c r="H57" s="7">
        <v>1309.7489062019199</v>
      </c>
      <c r="I57" s="2"/>
      <c r="J57" s="6">
        <f t="shared" si="13"/>
        <v>8.5663908514461333E-4</v>
      </c>
      <c r="K57" s="2"/>
      <c r="L57" s="7">
        <f t="shared" si="14"/>
        <v>-1434.8189062019198</v>
      </c>
      <c r="M57" s="2"/>
      <c r="N57" s="6">
        <f t="shared" si="15"/>
        <v>-1.095491585759506</v>
      </c>
      <c r="O57" s="11"/>
      <c r="P57" s="7">
        <v>856.97</v>
      </c>
      <c r="Q57" s="2"/>
      <c r="R57" s="6">
        <f t="shared" si="16"/>
        <v>3.3463530417805211E-4</v>
      </c>
      <c r="S57" s="2"/>
      <c r="T57" s="7">
        <v>4989.6527262019208</v>
      </c>
      <c r="U57" s="2"/>
      <c r="V57" s="6">
        <f t="shared" si="17"/>
        <v>1.1967026093055071E-3</v>
      </c>
      <c r="W57" s="2"/>
      <c r="X57" s="7">
        <f t="shared" si="18"/>
        <v>-4132.6827262019206</v>
      </c>
      <c r="Y57" s="2"/>
      <c r="Z57" s="6">
        <f t="shared" si="19"/>
        <v>-0.82825057232944588</v>
      </c>
    </row>
    <row r="58" spans="1:26" s="24" customFormat="1" hidden="1" outlineLevel="2" x14ac:dyDescent="0.35">
      <c r="A58" s="29"/>
      <c r="B58" s="11" t="str">
        <f>CONCATENATE("          ", "6113", " - ", "GROUP INSURANCE")</f>
        <v xml:space="preserve">          6113 - GROUP INSURANCE</v>
      </c>
      <c r="C58" s="11"/>
      <c r="D58" s="7">
        <v>4943.91</v>
      </c>
      <c r="E58" s="2"/>
      <c r="F58" s="6">
        <f t="shared" si="12"/>
        <v>4.9991260976170945E-3</v>
      </c>
      <c r="G58" s="2"/>
      <c r="H58" s="7">
        <v>4969.6153846153802</v>
      </c>
      <c r="I58" s="2"/>
      <c r="J58" s="6">
        <f t="shared" si="13"/>
        <v>3.2503686442790589E-3</v>
      </c>
      <c r="K58" s="2"/>
      <c r="L58" s="7">
        <f t="shared" si="14"/>
        <v>-25.705384615380353</v>
      </c>
      <c r="M58" s="2"/>
      <c r="N58" s="6">
        <f t="shared" si="15"/>
        <v>-5.1725098676564489E-3</v>
      </c>
      <c r="O58" s="11"/>
      <c r="P58" s="7">
        <v>30332.129999999997</v>
      </c>
      <c r="Q58" s="2"/>
      <c r="R58" s="6">
        <f t="shared" si="16"/>
        <v>1.1844290405636391E-2</v>
      </c>
      <c r="S58" s="2"/>
      <c r="T58" s="7">
        <v>33559.615384615383</v>
      </c>
      <c r="U58" s="2"/>
      <c r="V58" s="6">
        <f t="shared" si="17"/>
        <v>8.0488325544508521E-3</v>
      </c>
      <c r="W58" s="2"/>
      <c r="X58" s="7">
        <f t="shared" si="18"/>
        <v>-3227.4853846153856</v>
      </c>
      <c r="Y58" s="2"/>
      <c r="Z58" s="6">
        <f t="shared" si="19"/>
        <v>-9.6171703627299335E-2</v>
      </c>
    </row>
    <row r="59" spans="1:26" s="24" customFormat="1" hidden="1" outlineLevel="2" x14ac:dyDescent="0.35">
      <c r="A59" s="29"/>
      <c r="B59" s="11" t="str">
        <f>CONCATENATE("          ", "6114", " - ", "STATE UNEMPLOYMENT INSURANCE")</f>
        <v xml:space="preserve">          6114 - STATE UNEMPLOYMENT INSURANCE</v>
      </c>
      <c r="C59" s="11"/>
      <c r="D59" s="7">
        <v>149.4</v>
      </c>
      <c r="E59" s="2"/>
      <c r="F59" s="6">
        <f t="shared" si="12"/>
        <v>1.5106857507195601E-4</v>
      </c>
      <c r="G59" s="2"/>
      <c r="H59" s="7">
        <v>184.07281925000001</v>
      </c>
      <c r="I59" s="2"/>
      <c r="J59" s="6">
        <f t="shared" si="13"/>
        <v>1.2039252007437839E-4</v>
      </c>
      <c r="K59" s="2"/>
      <c r="L59" s="7">
        <f t="shared" si="14"/>
        <v>-34.672819250000003</v>
      </c>
      <c r="M59" s="2"/>
      <c r="N59" s="6">
        <f t="shared" si="15"/>
        <v>-0.18836468844924262</v>
      </c>
      <c r="O59" s="11"/>
      <c r="P59" s="7">
        <v>532.15</v>
      </c>
      <c r="Q59" s="2"/>
      <c r="R59" s="6">
        <f t="shared" si="16"/>
        <v>2.0779744578964306E-4</v>
      </c>
      <c r="S59" s="2"/>
      <c r="T59" s="7">
        <v>701.24849125000003</v>
      </c>
      <c r="U59" s="2"/>
      <c r="V59" s="6">
        <f t="shared" si="17"/>
        <v>1.6818523157807134E-4</v>
      </c>
      <c r="W59" s="2"/>
      <c r="X59" s="7">
        <f t="shared" si="18"/>
        <v>-169.09849125000005</v>
      </c>
      <c r="Y59" s="2"/>
      <c r="Z59" s="6">
        <f t="shared" si="19"/>
        <v>-0.24113918726381295</v>
      </c>
    </row>
    <row r="60" spans="1:26" s="24" customFormat="1" hidden="1" outlineLevel="2" x14ac:dyDescent="0.35">
      <c r="A60" s="29"/>
      <c r="B60" s="11" t="str">
        <f>CONCATENATE("          ", "6115", " - ", "P.E.R.S.")</f>
        <v xml:space="preserve">          6115 - P.E.R.S.</v>
      </c>
      <c r="C60" s="11"/>
      <c r="D60" s="7">
        <v>2689.05</v>
      </c>
      <c r="E60" s="2"/>
      <c r="F60" s="6">
        <f t="shared" si="12"/>
        <v>2.7190826760190314E-3</v>
      </c>
      <c r="G60" s="2"/>
      <c r="H60" s="7">
        <v>1585.67246538462</v>
      </c>
      <c r="I60" s="2"/>
      <c r="J60" s="6">
        <f t="shared" si="13"/>
        <v>1.0371064283039545E-3</v>
      </c>
      <c r="K60" s="2"/>
      <c r="L60" s="7">
        <f t="shared" si="14"/>
        <v>1103.3775346153802</v>
      </c>
      <c r="M60" s="2"/>
      <c r="N60" s="6">
        <f t="shared" si="15"/>
        <v>0.69584202204567225</v>
      </c>
      <c r="O60" s="11"/>
      <c r="P60" s="7">
        <v>13175.29</v>
      </c>
      <c r="Q60" s="2"/>
      <c r="R60" s="6">
        <f t="shared" si="16"/>
        <v>5.1447742357189265E-3</v>
      </c>
      <c r="S60" s="2"/>
      <c r="T60" s="7">
        <v>9831.1692853846198</v>
      </c>
      <c r="U60" s="2"/>
      <c r="V60" s="6">
        <f t="shared" si="17"/>
        <v>2.3578767064415191E-3</v>
      </c>
      <c r="W60" s="2"/>
      <c r="X60" s="7">
        <f t="shared" si="18"/>
        <v>3344.1207146153811</v>
      </c>
      <c r="Y60" s="2"/>
      <c r="Z60" s="6">
        <f t="shared" si="19"/>
        <v>0.34015493147767017</v>
      </c>
    </row>
    <row r="61" spans="1:26" s="24" customFormat="1" hidden="1" outlineLevel="2" x14ac:dyDescent="0.35">
      <c r="A61" s="29"/>
      <c r="B61" s="11" t="str">
        <f>CONCATENATE("          ", "6116", " - ", "EDUCATIONAL BENEFITS")</f>
        <v xml:space="preserve">          6116 - EDUCATIONAL BENEFITS</v>
      </c>
      <c r="C61" s="11"/>
      <c r="D61" s="7"/>
      <c r="E61" s="2"/>
      <c r="F61" s="6">
        <f t="shared" si="12"/>
        <v>0</v>
      </c>
      <c r="G61" s="2"/>
      <c r="H61" s="7">
        <v>0</v>
      </c>
      <c r="I61" s="2"/>
      <c r="J61" s="6">
        <f t="shared" si="13"/>
        <v>0</v>
      </c>
      <c r="K61" s="2"/>
      <c r="L61" s="7">
        <f t="shared" si="14"/>
        <v>0</v>
      </c>
      <c r="M61" s="2"/>
      <c r="N61" s="6">
        <f t="shared" si="15"/>
        <v>0</v>
      </c>
      <c r="O61" s="11"/>
      <c r="P61" s="7"/>
      <c r="Q61" s="2"/>
      <c r="R61" s="6">
        <f t="shared" si="16"/>
        <v>0</v>
      </c>
      <c r="S61" s="2"/>
      <c r="T61" s="7">
        <v>0</v>
      </c>
      <c r="U61" s="2"/>
      <c r="V61" s="6">
        <f t="shared" si="17"/>
        <v>0</v>
      </c>
      <c r="W61" s="2"/>
      <c r="X61" s="7">
        <f t="shared" si="18"/>
        <v>0</v>
      </c>
      <c r="Y61" s="2"/>
      <c r="Z61" s="6">
        <f t="shared" si="19"/>
        <v>0</v>
      </c>
    </row>
    <row r="62" spans="1:26" s="24" customFormat="1" hidden="1" outlineLevel="2" x14ac:dyDescent="0.35">
      <c r="A62" s="29"/>
      <c r="B62" s="11" t="str">
        <f>CONCATENATE("          ", "6117", " - ", "RETIREMENT STAFF HOURLY")</f>
        <v xml:space="preserve">          6117 - RETIREMENT STAFF HOURLY</v>
      </c>
      <c r="C62" s="11"/>
      <c r="D62" s="7">
        <v>297.92</v>
      </c>
      <c r="E62" s="2"/>
      <c r="F62" s="6">
        <f t="shared" si="12"/>
        <v>3.0124732185700891E-4</v>
      </c>
      <c r="G62" s="2"/>
      <c r="H62" s="7"/>
      <c r="I62" s="2"/>
      <c r="J62" s="6">
        <f t="shared" si="13"/>
        <v>0</v>
      </c>
      <c r="K62" s="2"/>
      <c r="L62" s="7">
        <f t="shared" si="14"/>
        <v>297.92</v>
      </c>
      <c r="M62" s="2"/>
      <c r="N62" s="6">
        <f t="shared" si="15"/>
        <v>0</v>
      </c>
      <c r="O62" s="11"/>
      <c r="P62" s="7">
        <v>1842.08</v>
      </c>
      <c r="Q62" s="2"/>
      <c r="R62" s="6">
        <f t="shared" si="16"/>
        <v>7.1930756166529303E-4</v>
      </c>
      <c r="S62" s="2"/>
      <c r="T62" s="7"/>
      <c r="U62" s="2"/>
      <c r="V62" s="6">
        <f t="shared" si="17"/>
        <v>0</v>
      </c>
      <c r="W62" s="2"/>
      <c r="X62" s="7">
        <f t="shared" si="18"/>
        <v>1842.08</v>
      </c>
      <c r="Y62" s="2"/>
      <c r="Z62" s="6">
        <f t="shared" si="19"/>
        <v>0</v>
      </c>
    </row>
    <row r="63" spans="1:26" s="24" customFormat="1" hidden="1" outlineLevel="2" x14ac:dyDescent="0.35">
      <c r="A63" s="29"/>
      <c r="B63" s="11" t="str">
        <f>CONCATENATE("          ", "6118", " - ", "VACATION")</f>
        <v xml:space="preserve">          6118 - VACATION</v>
      </c>
      <c r="C63" s="11"/>
      <c r="D63" s="7">
        <v>1526.05</v>
      </c>
      <c r="E63" s="2"/>
      <c r="F63" s="6">
        <f t="shared" si="12"/>
        <v>1.5430937013959736E-3</v>
      </c>
      <c r="G63" s="2"/>
      <c r="H63" s="7">
        <v>1682.75965</v>
      </c>
      <c r="I63" s="2"/>
      <c r="J63" s="6">
        <f t="shared" si="13"/>
        <v>1.1006061392900568E-3</v>
      </c>
      <c r="K63" s="2"/>
      <c r="L63" s="7">
        <f t="shared" si="14"/>
        <v>-156.70965000000001</v>
      </c>
      <c r="M63" s="2"/>
      <c r="N63" s="6">
        <f t="shared" si="15"/>
        <v>-9.3126579306795243E-2</v>
      </c>
      <c r="O63" s="11"/>
      <c r="P63" s="7">
        <v>9302.7000000000007</v>
      </c>
      <c r="Q63" s="2"/>
      <c r="R63" s="6">
        <f t="shared" si="16"/>
        <v>3.6325797217839195E-3</v>
      </c>
      <c r="S63" s="2"/>
      <c r="T63" s="7">
        <v>10433.109829999999</v>
      </c>
      <c r="U63" s="2"/>
      <c r="V63" s="6">
        <f t="shared" si="17"/>
        <v>2.5022442325832272E-3</v>
      </c>
      <c r="W63" s="2"/>
      <c r="X63" s="7">
        <f t="shared" si="18"/>
        <v>-1130.4098299999987</v>
      </c>
      <c r="Y63" s="2"/>
      <c r="Z63" s="6">
        <f t="shared" si="19"/>
        <v>-0.10834831113821398</v>
      </c>
    </row>
    <row r="64" spans="1:26" s="24" customFormat="1" hidden="1" outlineLevel="2" x14ac:dyDescent="0.35">
      <c r="A64" s="29"/>
      <c r="B64" s="11" t="str">
        <f>CONCATENATE("          ", "6119", " - ", "SICK LEAVE")</f>
        <v xml:space="preserve">          6119 - SICK LEAVE</v>
      </c>
      <c r="C64" s="11"/>
      <c r="D64" s="7">
        <v>1147.56</v>
      </c>
      <c r="E64" s="2"/>
      <c r="F64" s="6">
        <f t="shared" si="12"/>
        <v>1.16037653286194E-3</v>
      </c>
      <c r="G64" s="2"/>
      <c r="H64" s="7">
        <v>2533.7739759615401</v>
      </c>
      <c r="I64" s="2"/>
      <c r="J64" s="6">
        <f t="shared" si="13"/>
        <v>1.6572106382017465E-3</v>
      </c>
      <c r="K64" s="2"/>
      <c r="L64" s="7">
        <f t="shared" si="14"/>
        <v>-1386.2139759615402</v>
      </c>
      <c r="M64" s="2"/>
      <c r="N64" s="6">
        <f t="shared" si="15"/>
        <v>-0.54709456688435942</v>
      </c>
      <c r="O64" s="11"/>
      <c r="P64" s="7">
        <v>7591.9</v>
      </c>
      <c r="Q64" s="2"/>
      <c r="R64" s="6">
        <f t="shared" si="16"/>
        <v>2.9645352413612538E-3</v>
      </c>
      <c r="S64" s="2"/>
      <c r="T64" s="7">
        <v>10632.44109596154</v>
      </c>
      <c r="U64" s="2"/>
      <c r="V64" s="6">
        <f t="shared" si="17"/>
        <v>2.5500512161914673E-3</v>
      </c>
      <c r="W64" s="2"/>
      <c r="X64" s="7">
        <f t="shared" si="18"/>
        <v>-3040.5410959615401</v>
      </c>
      <c r="Y64" s="2"/>
      <c r="Z64" s="6">
        <f t="shared" si="19"/>
        <v>-0.28596829914406124</v>
      </c>
    </row>
    <row r="65" spans="1:26" s="24" customFormat="1" hidden="1" outlineLevel="2" x14ac:dyDescent="0.35">
      <c r="A65" s="29"/>
      <c r="B65" s="11" t="str">
        <f>CONCATENATE("          ", "6156", " - ", "EMPLOYEE MEALS")</f>
        <v xml:space="preserve">          6156 - EMPLOYEE MEALS</v>
      </c>
      <c r="C65" s="11"/>
      <c r="D65" s="7">
        <v>222.83</v>
      </c>
      <c r="E65" s="2"/>
      <c r="F65" s="6">
        <f t="shared" si="12"/>
        <v>2.253186786029716E-4</v>
      </c>
      <c r="G65" s="2"/>
      <c r="H65" s="7">
        <v>750</v>
      </c>
      <c r="I65" s="2"/>
      <c r="J65" s="6">
        <f t="shared" si="13"/>
        <v>4.9053624768548645E-4</v>
      </c>
      <c r="K65" s="2"/>
      <c r="L65" s="7">
        <f t="shared" si="14"/>
        <v>-527.16999999999996</v>
      </c>
      <c r="M65" s="2"/>
      <c r="N65" s="6">
        <f t="shared" si="15"/>
        <v>-0.70289333333333326</v>
      </c>
      <c r="O65" s="11"/>
      <c r="P65" s="7">
        <v>3038.38</v>
      </c>
      <c r="Q65" s="2"/>
      <c r="R65" s="6">
        <f t="shared" si="16"/>
        <v>1.1864466848413714E-3</v>
      </c>
      <c r="S65" s="2"/>
      <c r="T65" s="7">
        <v>5250</v>
      </c>
      <c r="U65" s="2"/>
      <c r="V65" s="6">
        <f t="shared" si="17"/>
        <v>1.2591434802390023E-3</v>
      </c>
      <c r="W65" s="2"/>
      <c r="X65" s="7">
        <f t="shared" si="18"/>
        <v>-2211.62</v>
      </c>
      <c r="Y65" s="2"/>
      <c r="Z65" s="6">
        <f t="shared" si="19"/>
        <v>-0.42126095238095235</v>
      </c>
    </row>
    <row r="66" spans="1:26" s="28" customFormat="1" outlineLevel="1" collapsed="1" x14ac:dyDescent="0.35">
      <c r="A66" s="27"/>
      <c r="B66" s="14" t="str">
        <f>CONCATENATE("     ","*Payroll                                          ")</f>
        <v xml:space="preserve">     *Payroll                                          </v>
      </c>
      <c r="C66" s="14"/>
      <c r="D66" s="1">
        <f>SUM(OSRRefD22_1x_0)</f>
        <v>38361.300000000003</v>
      </c>
      <c r="E66" s="1"/>
      <c r="F66" s="5">
        <f t="shared" ref="F66:F76" si="20">IF(D$12=0,0,D66/D$12)</f>
        <v>3.8789738479972059E-2</v>
      </c>
      <c r="G66" s="1"/>
      <c r="H66" s="1">
        <f>SUM(OSRRefH22_1x_0)</f>
        <v>68172.438929615411</v>
      </c>
      <c r="I66" s="1"/>
      <c r="J66" s="5">
        <f t="shared" ref="J66:J76" si="21">IF(H$12=0,0,H66/H$12)</f>
        <v>4.4588069850802034E-2</v>
      </c>
      <c r="K66" s="1"/>
      <c r="L66" s="1">
        <f t="shared" ref="L66:L76" si="22">+D66-H66</f>
        <v>-29811.138929615408</v>
      </c>
      <c r="M66" s="1"/>
      <c r="N66" s="5">
        <f t="shared" ref="N66:N76" si="23">IF(H66=0,0,L66/H66)</f>
        <v>-0.43729019230768462</v>
      </c>
      <c r="O66" s="14"/>
      <c r="P66" s="1">
        <f>SUM(OSRRefP22_1x_0)</f>
        <v>203768.37</v>
      </c>
      <c r="Q66" s="1"/>
      <c r="R66" s="5">
        <f t="shared" ref="R66:R76" si="24">IF(P$12=0,0,P66/P$12)</f>
        <v>7.9568818601369787E-2</v>
      </c>
      <c r="S66" s="1"/>
      <c r="T66" s="1">
        <f>SUM(OSRRefT22_1x_0)</f>
        <v>253437.20286361538</v>
      </c>
      <c r="U66" s="1"/>
      <c r="V66" s="5">
        <f t="shared" ref="V66:V76" si="25">IF(T$12=0,0,T66/T$12)</f>
        <v>6.0783581263948706E-2</v>
      </c>
      <c r="W66" s="1"/>
      <c r="X66" s="1">
        <f t="shared" ref="X66:X76" si="26">+P66-T66</f>
        <v>-49668.832863615389</v>
      </c>
      <c r="Y66" s="1"/>
      <c r="Z66" s="5">
        <f t="shared" ref="Z66:Z76" si="27">IF(T66=0,0,X66/T66)</f>
        <v>-0.19598082800157859</v>
      </c>
    </row>
    <row r="67" spans="1:26" s="24" customFormat="1" hidden="1" outlineLevel="2" x14ac:dyDescent="0.35">
      <c r="A67" s="29"/>
      <c r="B67" s="11" t="str">
        <f>CONCATENATE("          ", "6001", " - ", "ADMINISTRATIVE SALARIES")</f>
        <v xml:space="preserve">          6001 - ADMINISTRATIVE SALARIES</v>
      </c>
      <c r="C67" s="11"/>
      <c r="D67" s="7"/>
      <c r="E67" s="2"/>
      <c r="F67" s="6">
        <f t="shared" si="20"/>
        <v>0</v>
      </c>
      <c r="G67" s="2"/>
      <c r="H67" s="7">
        <v>0</v>
      </c>
      <c r="I67" s="2"/>
      <c r="J67" s="6">
        <f t="shared" si="21"/>
        <v>0</v>
      </c>
      <c r="K67" s="2"/>
      <c r="L67" s="7">
        <f t="shared" si="22"/>
        <v>0</v>
      </c>
      <c r="M67" s="2"/>
      <c r="N67" s="6">
        <f t="shared" si="23"/>
        <v>0</v>
      </c>
      <c r="O67" s="11"/>
      <c r="P67" s="7">
        <v>-311.32</v>
      </c>
      <c r="Q67" s="2"/>
      <c r="R67" s="6">
        <f t="shared" si="24"/>
        <v>-1.2156628924782802E-4</v>
      </c>
      <c r="S67" s="2"/>
      <c r="T67" s="7">
        <v>0</v>
      </c>
      <c r="U67" s="2"/>
      <c r="V67" s="6">
        <f t="shared" si="25"/>
        <v>0</v>
      </c>
      <c r="W67" s="2"/>
      <c r="X67" s="7">
        <f t="shared" si="26"/>
        <v>-311.32</v>
      </c>
      <c r="Y67" s="2"/>
      <c r="Z67" s="6">
        <f t="shared" si="27"/>
        <v>0</v>
      </c>
    </row>
    <row r="68" spans="1:26" s="24" customFormat="1" hidden="1" outlineLevel="2" x14ac:dyDescent="0.35">
      <c r="A68" s="29"/>
      <c r="B68" s="11" t="str">
        <f>CONCATENATE("          ", "6002", " - ", "STAFF SALARIES")</f>
        <v xml:space="preserve">          6002 - STAFF SALARIES</v>
      </c>
      <c r="C68" s="11"/>
      <c r="D68" s="7">
        <v>24862.47</v>
      </c>
      <c r="E68" s="2"/>
      <c r="F68" s="6">
        <f t="shared" si="20"/>
        <v>2.5140146691226599E-2</v>
      </c>
      <c r="G68" s="2"/>
      <c r="H68" s="7">
        <v>16384.0650796154</v>
      </c>
      <c r="I68" s="2"/>
      <c r="J68" s="6">
        <f t="shared" si="21"/>
        <v>1.07159704079858E-2</v>
      </c>
      <c r="K68" s="2"/>
      <c r="L68" s="7">
        <f t="shared" si="22"/>
        <v>8478.4049203846007</v>
      </c>
      <c r="M68" s="2"/>
      <c r="N68" s="6">
        <f t="shared" si="23"/>
        <v>0.51747871356621977</v>
      </c>
      <c r="O68" s="11"/>
      <c r="P68" s="7">
        <v>121360.67000000001</v>
      </c>
      <c r="Q68" s="2"/>
      <c r="R68" s="6">
        <f t="shared" si="24"/>
        <v>4.7389715766832222E-2</v>
      </c>
      <c r="S68" s="2"/>
      <c r="T68" s="7">
        <v>101581.20349361539</v>
      </c>
      <c r="U68" s="2"/>
      <c r="V68" s="6">
        <f t="shared" si="25"/>
        <v>2.436291620834613E-2</v>
      </c>
      <c r="W68" s="2"/>
      <c r="X68" s="7">
        <f t="shared" si="26"/>
        <v>19779.466506384619</v>
      </c>
      <c r="Y68" s="2"/>
      <c r="Z68" s="6">
        <f t="shared" si="27"/>
        <v>0.19471581184434186</v>
      </c>
    </row>
    <row r="69" spans="1:26" s="24" customFormat="1" hidden="1" outlineLevel="2" x14ac:dyDescent="0.35">
      <c r="A69" s="29"/>
      <c r="B69" s="11" t="str">
        <f>CONCATENATE("          ", "6003", " - ", "STAFF HOURLY-9 MONTH")</f>
        <v xml:space="preserve">          6003 - STAFF HOURLY-9 MONTH</v>
      </c>
      <c r="C69" s="11"/>
      <c r="D69" s="7"/>
      <c r="E69" s="2"/>
      <c r="F69" s="6">
        <f t="shared" si="20"/>
        <v>0</v>
      </c>
      <c r="G69" s="2"/>
      <c r="H69" s="7">
        <v>0</v>
      </c>
      <c r="I69" s="2"/>
      <c r="J69" s="6">
        <f t="shared" si="21"/>
        <v>0</v>
      </c>
      <c r="K69" s="2"/>
      <c r="L69" s="7">
        <f t="shared" si="22"/>
        <v>0</v>
      </c>
      <c r="M69" s="2"/>
      <c r="N69" s="6">
        <f t="shared" si="23"/>
        <v>0</v>
      </c>
      <c r="O69" s="11"/>
      <c r="P69" s="7"/>
      <c r="Q69" s="2"/>
      <c r="R69" s="6">
        <f t="shared" si="24"/>
        <v>0</v>
      </c>
      <c r="S69" s="2"/>
      <c r="T69" s="7">
        <v>0</v>
      </c>
      <c r="U69" s="2"/>
      <c r="V69" s="6">
        <f t="shared" si="25"/>
        <v>0</v>
      </c>
      <c r="W69" s="2"/>
      <c r="X69" s="7">
        <f t="shared" si="26"/>
        <v>0</v>
      </c>
      <c r="Y69" s="2"/>
      <c r="Z69" s="6">
        <f t="shared" si="27"/>
        <v>0</v>
      </c>
    </row>
    <row r="70" spans="1:26" s="24" customFormat="1" hidden="1" outlineLevel="2" x14ac:dyDescent="0.35">
      <c r="A70" s="29"/>
      <c r="B70" s="11" t="str">
        <f>CONCATENATE("          ", "6004", " - ", "STAFF HOURLY")</f>
        <v xml:space="preserve">          6004 - STAFF HOURLY</v>
      </c>
      <c r="C70" s="11"/>
      <c r="D70" s="7">
        <v>8056.36</v>
      </c>
      <c r="E70" s="2"/>
      <c r="F70" s="6">
        <f t="shared" si="20"/>
        <v>8.1463375198574522E-3</v>
      </c>
      <c r="G70" s="2"/>
      <c r="H70" s="7">
        <v>6607.1876000000002</v>
      </c>
      <c r="I70" s="2"/>
      <c r="J70" s="6">
        <f t="shared" si="21"/>
        <v>4.3214200174107667E-3</v>
      </c>
      <c r="K70" s="2"/>
      <c r="L70" s="7">
        <f t="shared" si="22"/>
        <v>1449.1723999999995</v>
      </c>
      <c r="M70" s="2"/>
      <c r="N70" s="6">
        <f t="shared" si="23"/>
        <v>0.21933271578364136</v>
      </c>
      <c r="O70" s="11"/>
      <c r="P70" s="7">
        <v>47894.409999999996</v>
      </c>
      <c r="Q70" s="2"/>
      <c r="R70" s="6">
        <f t="shared" si="24"/>
        <v>1.8702125463876611E-2</v>
      </c>
      <c r="S70" s="2"/>
      <c r="T70" s="7">
        <v>40964.563119999999</v>
      </c>
      <c r="U70" s="2"/>
      <c r="V70" s="6">
        <f t="shared" si="25"/>
        <v>9.8248119187403955E-3</v>
      </c>
      <c r="W70" s="2"/>
      <c r="X70" s="7">
        <f t="shared" si="26"/>
        <v>6929.8468799999973</v>
      </c>
      <c r="Y70" s="2"/>
      <c r="Z70" s="6">
        <f t="shared" si="27"/>
        <v>0.1691668689276625</v>
      </c>
    </row>
    <row r="71" spans="1:26" s="24" customFormat="1" hidden="1" outlineLevel="2" x14ac:dyDescent="0.35">
      <c r="A71" s="29"/>
      <c r="B71" s="11" t="str">
        <f>CONCATENATE("          ", "6005", " - ", "TEMPORARY WAGES-HOURLY")</f>
        <v xml:space="preserve">          6005 - TEMPORARY WAGES-HOURLY</v>
      </c>
      <c r="C71" s="11"/>
      <c r="D71" s="7"/>
      <c r="E71" s="2"/>
      <c r="F71" s="6">
        <f t="shared" si="20"/>
        <v>0</v>
      </c>
      <c r="G71" s="2"/>
      <c r="H71" s="7">
        <v>4949.88</v>
      </c>
      <c r="I71" s="2"/>
      <c r="J71" s="6">
        <f t="shared" si="21"/>
        <v>3.2374607489245809E-3</v>
      </c>
      <c r="K71" s="2"/>
      <c r="L71" s="7">
        <f t="shared" si="22"/>
        <v>-4949.88</v>
      </c>
      <c r="M71" s="2"/>
      <c r="N71" s="6">
        <f t="shared" si="23"/>
        <v>-1</v>
      </c>
      <c r="O71" s="11"/>
      <c r="P71" s="7">
        <v>12838</v>
      </c>
      <c r="Q71" s="2"/>
      <c r="R71" s="6">
        <f t="shared" si="24"/>
        <v>5.0130670093910326E-3</v>
      </c>
      <c r="S71" s="2"/>
      <c r="T71" s="7">
        <v>25868.880000000001</v>
      </c>
      <c r="U71" s="2"/>
      <c r="V71" s="6">
        <f t="shared" si="25"/>
        <v>6.2043107796352611E-3</v>
      </c>
      <c r="W71" s="2"/>
      <c r="X71" s="7">
        <f t="shared" si="26"/>
        <v>-13030.880000000001</v>
      </c>
      <c r="Y71" s="2"/>
      <c r="Z71" s="6">
        <f t="shared" si="27"/>
        <v>-0.50372803151895251</v>
      </c>
    </row>
    <row r="72" spans="1:26" s="24" customFormat="1" hidden="1" outlineLevel="2" x14ac:dyDescent="0.35">
      <c r="A72" s="29"/>
      <c r="B72" s="11" t="str">
        <f>CONCATENATE("          ", "6006", " - ", "TEMPORARY PART TIME")</f>
        <v xml:space="preserve">          6006 - TEMPORARY PART TIME</v>
      </c>
      <c r="C72" s="11"/>
      <c r="D72" s="7"/>
      <c r="E72" s="2"/>
      <c r="F72" s="6">
        <f t="shared" si="20"/>
        <v>0</v>
      </c>
      <c r="G72" s="2"/>
      <c r="H72" s="7">
        <v>0</v>
      </c>
      <c r="I72" s="2"/>
      <c r="J72" s="6">
        <f t="shared" si="21"/>
        <v>0</v>
      </c>
      <c r="K72" s="2"/>
      <c r="L72" s="7">
        <f t="shared" si="22"/>
        <v>0</v>
      </c>
      <c r="M72" s="2"/>
      <c r="N72" s="6">
        <f t="shared" si="23"/>
        <v>0</v>
      </c>
      <c r="O72" s="11"/>
      <c r="P72" s="7">
        <v>502.29</v>
      </c>
      <c r="Q72" s="2"/>
      <c r="R72" s="6">
        <f t="shared" si="24"/>
        <v>1.9613751582388391E-4</v>
      </c>
      <c r="S72" s="2"/>
      <c r="T72" s="7">
        <v>0</v>
      </c>
      <c r="U72" s="2"/>
      <c r="V72" s="6">
        <f t="shared" si="25"/>
        <v>0</v>
      </c>
      <c r="W72" s="2"/>
      <c r="X72" s="7">
        <f t="shared" si="26"/>
        <v>502.29</v>
      </c>
      <c r="Y72" s="2"/>
      <c r="Z72" s="6">
        <f t="shared" si="27"/>
        <v>0</v>
      </c>
    </row>
    <row r="73" spans="1:26" s="24" customFormat="1" hidden="1" outlineLevel="2" x14ac:dyDescent="0.35">
      <c r="A73" s="29"/>
      <c r="B73" s="11" t="str">
        <f>CONCATENATE("          ", "6007", " - ", "STUDENT HOURLY")</f>
        <v xml:space="preserve">          6007 - STUDENT HOURLY</v>
      </c>
      <c r="C73" s="11"/>
      <c r="D73" s="7">
        <v>4760.1099999999997</v>
      </c>
      <c r="E73" s="2"/>
      <c r="F73" s="6">
        <f t="shared" si="20"/>
        <v>4.813273325875291E-3</v>
      </c>
      <c r="G73" s="2"/>
      <c r="H73" s="7">
        <v>14878.362499999999</v>
      </c>
      <c r="I73" s="2"/>
      <c r="J73" s="6">
        <f t="shared" si="21"/>
        <v>9.7311681499392712E-3</v>
      </c>
      <c r="K73" s="2"/>
      <c r="L73" s="7">
        <f t="shared" si="22"/>
        <v>-10118.252499999999</v>
      </c>
      <c r="M73" s="2"/>
      <c r="N73" s="6">
        <f t="shared" si="23"/>
        <v>-0.68006492649980799</v>
      </c>
      <c r="O73" s="11"/>
      <c r="P73" s="7">
        <v>20801.96</v>
      </c>
      <c r="Q73" s="2"/>
      <c r="R73" s="6">
        <f t="shared" si="24"/>
        <v>8.1228866962666981E-3</v>
      </c>
      <c r="S73" s="2"/>
      <c r="T73" s="7">
        <v>28540.862499999999</v>
      </c>
      <c r="U73" s="2"/>
      <c r="V73" s="6">
        <f t="shared" si="25"/>
        <v>6.8451506547186338E-3</v>
      </c>
      <c r="W73" s="2"/>
      <c r="X73" s="7">
        <f t="shared" si="26"/>
        <v>-7738.9025000000001</v>
      </c>
      <c r="Y73" s="2"/>
      <c r="Z73" s="6">
        <f t="shared" si="27"/>
        <v>-0.27115166894483306</v>
      </c>
    </row>
    <row r="74" spans="1:26" s="24" customFormat="1" hidden="1" outlineLevel="2" x14ac:dyDescent="0.35">
      <c r="A74" s="29"/>
      <c r="B74" s="11" t="str">
        <f>CONCATENATE("          ", "6008", " - ", "STUDENT HOURLY-FICA EXEMPT")</f>
        <v xml:space="preserve">          6008 - STUDENT HOURLY-FICA EXEMPT</v>
      </c>
      <c r="C74" s="11"/>
      <c r="D74" s="7">
        <v>682.36</v>
      </c>
      <c r="E74" s="2"/>
      <c r="F74" s="6">
        <f t="shared" si="20"/>
        <v>6.8998094301271683E-4</v>
      </c>
      <c r="G74" s="2"/>
      <c r="H74" s="7">
        <v>25352.943750000002</v>
      </c>
      <c r="I74" s="2"/>
      <c r="J74" s="6">
        <f t="shared" si="21"/>
        <v>1.658205052654161E-2</v>
      </c>
      <c r="K74" s="2"/>
      <c r="L74" s="7">
        <f t="shared" si="22"/>
        <v>-24670.583750000002</v>
      </c>
      <c r="M74" s="2"/>
      <c r="N74" s="6">
        <f t="shared" si="23"/>
        <v>-0.97308557117750871</v>
      </c>
      <c r="O74" s="11"/>
      <c r="P74" s="7">
        <v>682.36</v>
      </c>
      <c r="Q74" s="2"/>
      <c r="R74" s="6">
        <f t="shared" si="24"/>
        <v>2.6645243842717437E-4</v>
      </c>
      <c r="S74" s="2"/>
      <c r="T74" s="7">
        <v>56481.693749999999</v>
      </c>
      <c r="U74" s="2"/>
      <c r="V74" s="6">
        <f t="shared" si="25"/>
        <v>1.3546391702508286E-2</v>
      </c>
      <c r="W74" s="2"/>
      <c r="X74" s="7">
        <f t="shared" si="26"/>
        <v>-55799.333749999998</v>
      </c>
      <c r="Y74" s="2"/>
      <c r="Z74" s="6">
        <f t="shared" si="27"/>
        <v>-0.987918917534232</v>
      </c>
    </row>
    <row r="75" spans="1:26" s="24" customFormat="1" hidden="1" outlineLevel="2" x14ac:dyDescent="0.35">
      <c r="A75" s="29"/>
      <c r="B75" s="11" t="str">
        <f>CONCATENATE("          ", "6009", " - ", "TEMPORARY-SEASONAL")</f>
        <v xml:space="preserve">          6009 - TEMPORARY-SEASONAL</v>
      </c>
      <c r="C75" s="11"/>
      <c r="D75" s="7"/>
      <c r="E75" s="2"/>
      <c r="F75" s="6">
        <f t="shared" si="20"/>
        <v>0</v>
      </c>
      <c r="G75" s="2"/>
      <c r="H75" s="7">
        <v>0</v>
      </c>
      <c r="I75" s="2"/>
      <c r="J75" s="6">
        <f t="shared" si="21"/>
        <v>0</v>
      </c>
      <c r="K75" s="2"/>
      <c r="L75" s="7">
        <f t="shared" si="22"/>
        <v>0</v>
      </c>
      <c r="M75" s="2"/>
      <c r="N75" s="6">
        <f t="shared" si="23"/>
        <v>0</v>
      </c>
      <c r="O75" s="11"/>
      <c r="P75" s="7"/>
      <c r="Q75" s="2"/>
      <c r="R75" s="6">
        <f t="shared" si="24"/>
        <v>0</v>
      </c>
      <c r="S75" s="2"/>
      <c r="T75" s="7">
        <v>0</v>
      </c>
      <c r="U75" s="2"/>
      <c r="V75" s="6">
        <f t="shared" si="25"/>
        <v>0</v>
      </c>
      <c r="W75" s="2"/>
      <c r="X75" s="7">
        <f t="shared" si="26"/>
        <v>0</v>
      </c>
      <c r="Y75" s="2"/>
      <c r="Z75" s="6">
        <f t="shared" si="27"/>
        <v>0</v>
      </c>
    </row>
    <row r="76" spans="1:26" s="24" customFormat="1" hidden="1" outlineLevel="2" x14ac:dyDescent="0.35">
      <c r="A76" s="29"/>
      <c r="B76" s="11" t="str">
        <f>CONCATENATE("          ", "6010", " - ", "GRATUITY")</f>
        <v xml:space="preserve">          6010 - GRATUITY</v>
      </c>
      <c r="C76" s="11"/>
      <c r="D76" s="7"/>
      <c r="E76" s="2"/>
      <c r="F76" s="6">
        <f t="shared" si="20"/>
        <v>0</v>
      </c>
      <c r="G76" s="2"/>
      <c r="H76" s="7">
        <v>0</v>
      </c>
      <c r="I76" s="2"/>
      <c r="J76" s="6">
        <f t="shared" si="21"/>
        <v>0</v>
      </c>
      <c r="K76" s="2"/>
      <c r="L76" s="7">
        <f t="shared" si="22"/>
        <v>0</v>
      </c>
      <c r="M76" s="2"/>
      <c r="N76" s="6">
        <f t="shared" si="23"/>
        <v>0</v>
      </c>
      <c r="O76" s="11"/>
      <c r="P76" s="7"/>
      <c r="Q76" s="2"/>
      <c r="R76" s="6">
        <f t="shared" si="24"/>
        <v>0</v>
      </c>
      <c r="S76" s="2"/>
      <c r="T76" s="7">
        <v>0</v>
      </c>
      <c r="U76" s="2"/>
      <c r="V76" s="6">
        <f t="shared" si="25"/>
        <v>0</v>
      </c>
      <c r="W76" s="2"/>
      <c r="X76" s="7">
        <f t="shared" si="26"/>
        <v>0</v>
      </c>
      <c r="Y76" s="2"/>
      <c r="Z76" s="6">
        <f t="shared" si="27"/>
        <v>0</v>
      </c>
    </row>
    <row r="77" spans="1:26" s="28" customFormat="1" outlineLevel="1" collapsed="1" x14ac:dyDescent="0.35">
      <c r="A77" s="27"/>
      <c r="B77" s="14" t="str">
        <f>CONCATENATE("     ","Advertising/Promo                                 ")</f>
        <v xml:space="preserve">     Advertising/Promo                                 </v>
      </c>
      <c r="C77" s="14"/>
      <c r="D77" s="1">
        <f>SUM(OSRRefD22_2x_0)</f>
        <v>569.11</v>
      </c>
      <c r="E77" s="1"/>
      <c r="F77" s="5">
        <f t="shared" ref="F77:F81" si="28">IF(D$12=0,0,D77/D$12)</f>
        <v>5.7546610949933653E-4</v>
      </c>
      <c r="G77" s="1"/>
      <c r="H77" s="1">
        <f>SUM(OSRRefH22_2x_0)</f>
        <v>250</v>
      </c>
      <c r="I77" s="1"/>
      <c r="J77" s="5">
        <f t="shared" ref="J77:J81" si="29">IF(H$12=0,0,H77/H$12)</f>
        <v>1.6351208256182884E-4</v>
      </c>
      <c r="K77" s="1"/>
      <c r="L77" s="1">
        <f t="shared" ref="L77:L81" si="30">+D77-H77</f>
        <v>319.11</v>
      </c>
      <c r="M77" s="1"/>
      <c r="N77" s="5">
        <f t="shared" ref="N77:N81" si="31">IF(H77=0,0,L77/H77)</f>
        <v>1.27644</v>
      </c>
      <c r="O77" s="14"/>
      <c r="P77" s="1">
        <f>SUM(OSRRefP22_2x_0)</f>
        <v>1999.55</v>
      </c>
      <c r="Q77" s="1"/>
      <c r="R77" s="5">
        <f t="shared" ref="R77:R81" si="32">IF(P$12=0,0,P77/P$12)</f>
        <v>7.807974870406479E-4</v>
      </c>
      <c r="S77" s="1"/>
      <c r="T77" s="1">
        <f>SUM(OSRRefT22_2x_0)</f>
        <v>2100</v>
      </c>
      <c r="U77" s="1"/>
      <c r="V77" s="5">
        <f t="shared" ref="V77:V81" si="33">IF(T$12=0,0,T77/T$12)</f>
        <v>5.0365739209560091E-4</v>
      </c>
      <c r="W77" s="1"/>
      <c r="X77" s="1">
        <f t="shared" ref="X77:X81" si="34">+P77-T77</f>
        <v>-100.45000000000005</v>
      </c>
      <c r="Y77" s="1"/>
      <c r="Z77" s="5">
        <f t="shared" ref="Z77:Z81" si="35">IF(T77=0,0,X77/T77)</f>
        <v>-4.7833333333333353E-2</v>
      </c>
    </row>
    <row r="78" spans="1:26" s="24" customFormat="1" hidden="1" outlineLevel="2" x14ac:dyDescent="0.35">
      <c r="A78" s="29"/>
      <c r="B78" s="11" t="str">
        <f>CONCATENATE("          ", "6362", " - ", "ADVERTISING EXPENSE")</f>
        <v xml:space="preserve">          6362 - ADVERTISING EXPENSE</v>
      </c>
      <c r="C78" s="11"/>
      <c r="D78" s="7">
        <v>569.11</v>
      </c>
      <c r="E78" s="2"/>
      <c r="F78" s="6">
        <f t="shared" si="28"/>
        <v>5.7546610949933653E-4</v>
      </c>
      <c r="G78" s="2"/>
      <c r="H78" s="7">
        <v>250</v>
      </c>
      <c r="I78" s="2"/>
      <c r="J78" s="6">
        <f t="shared" si="29"/>
        <v>1.6351208256182884E-4</v>
      </c>
      <c r="K78" s="2"/>
      <c r="L78" s="7">
        <f t="shared" si="30"/>
        <v>319.11</v>
      </c>
      <c r="M78" s="2"/>
      <c r="N78" s="6">
        <f t="shared" si="31"/>
        <v>1.27644</v>
      </c>
      <c r="O78" s="11"/>
      <c r="P78" s="7">
        <v>1999.55</v>
      </c>
      <c r="Q78" s="2"/>
      <c r="R78" s="6">
        <f t="shared" si="32"/>
        <v>7.807974870406479E-4</v>
      </c>
      <c r="S78" s="2"/>
      <c r="T78" s="7">
        <v>2100</v>
      </c>
      <c r="U78" s="2"/>
      <c r="V78" s="6">
        <f t="shared" si="33"/>
        <v>5.0365739209560091E-4</v>
      </c>
      <c r="W78" s="2"/>
      <c r="X78" s="7">
        <f t="shared" si="34"/>
        <v>-100.45000000000005</v>
      </c>
      <c r="Y78" s="2"/>
      <c r="Z78" s="6">
        <f t="shared" si="35"/>
        <v>-4.7833333333333353E-2</v>
      </c>
    </row>
    <row r="79" spans="1:26" s="28" customFormat="1" outlineLevel="1" collapsed="1" x14ac:dyDescent="0.35">
      <c r="A79" s="27"/>
      <c r="B79" s="14" t="str">
        <f>CONCATENATE("     ","Discounts and Markdowns                           ")</f>
        <v xml:space="preserve">     Discounts and Markdowns                           </v>
      </c>
      <c r="C79" s="14"/>
      <c r="D79" s="1">
        <f>SUM(OSRRefD22_3x_0)</f>
        <v>-42.86</v>
      </c>
      <c r="E79" s="1"/>
      <c r="F79" s="5">
        <f t="shared" si="28"/>
        <v>-4.3338682246211739E-5</v>
      </c>
      <c r="G79" s="1"/>
      <c r="H79" s="1">
        <f>SUM(OSRRefH22_3x_0)</f>
        <v>3500</v>
      </c>
      <c r="I79" s="1"/>
      <c r="J79" s="5">
        <f t="shared" si="29"/>
        <v>2.2891691558656036E-3</v>
      </c>
      <c r="K79" s="1"/>
      <c r="L79" s="1">
        <f t="shared" si="30"/>
        <v>-3542.86</v>
      </c>
      <c r="M79" s="1"/>
      <c r="N79" s="5">
        <f t="shared" si="31"/>
        <v>-1.0122457142857144</v>
      </c>
      <c r="O79" s="14"/>
      <c r="P79" s="1">
        <f>SUM(OSRRefP22_3x_0)</f>
        <v>-42.86</v>
      </c>
      <c r="Q79" s="1"/>
      <c r="R79" s="5">
        <f t="shared" si="32"/>
        <v>-1.6736255804837176E-5</v>
      </c>
      <c r="S79" s="1"/>
      <c r="T79" s="1">
        <f>SUM(OSRRefT22_3x_0)</f>
        <v>13500</v>
      </c>
      <c r="U79" s="1"/>
      <c r="V79" s="5">
        <f t="shared" si="33"/>
        <v>3.2377975206145772E-3</v>
      </c>
      <c r="W79" s="1"/>
      <c r="X79" s="1">
        <f t="shared" si="34"/>
        <v>-13542.86</v>
      </c>
      <c r="Y79" s="1"/>
      <c r="Z79" s="5">
        <f t="shared" si="35"/>
        <v>-1.003174814814815</v>
      </c>
    </row>
    <row r="80" spans="1:26" s="24" customFormat="1" hidden="1" outlineLevel="2" x14ac:dyDescent="0.35">
      <c r="A80" s="29"/>
      <c r="B80" s="11" t="str">
        <f>CONCATENATE("          ", "6382", " - ", "DISCOUNTS/MARK DOWNS")</f>
        <v xml:space="preserve">          6382 - DISCOUNTS/MARK DOWNS</v>
      </c>
      <c r="C80" s="11"/>
      <c r="D80" s="7"/>
      <c r="E80" s="2"/>
      <c r="F80" s="6">
        <f t="shared" si="28"/>
        <v>0</v>
      </c>
      <c r="G80" s="2"/>
      <c r="H80" s="7">
        <v>3500</v>
      </c>
      <c r="I80" s="2"/>
      <c r="J80" s="6">
        <f t="shared" si="29"/>
        <v>2.2891691558656036E-3</v>
      </c>
      <c r="K80" s="2"/>
      <c r="L80" s="7">
        <f t="shared" si="30"/>
        <v>-3500</v>
      </c>
      <c r="M80" s="2"/>
      <c r="N80" s="6">
        <f t="shared" si="31"/>
        <v>-1</v>
      </c>
      <c r="O80" s="11"/>
      <c r="P80" s="7"/>
      <c r="Q80" s="2"/>
      <c r="R80" s="6">
        <f t="shared" si="32"/>
        <v>0</v>
      </c>
      <c r="S80" s="2"/>
      <c r="T80" s="7">
        <v>13500</v>
      </c>
      <c r="U80" s="2"/>
      <c r="V80" s="6">
        <f t="shared" si="33"/>
        <v>3.2377975206145772E-3</v>
      </c>
      <c r="W80" s="2"/>
      <c r="X80" s="7">
        <f t="shared" si="34"/>
        <v>-13500</v>
      </c>
      <c r="Y80" s="2"/>
      <c r="Z80" s="6">
        <f t="shared" si="35"/>
        <v>-1</v>
      </c>
    </row>
    <row r="81" spans="1:26" s="24" customFormat="1" hidden="1" outlineLevel="2" x14ac:dyDescent="0.35">
      <c r="A81" s="29"/>
      <c r="B81" s="11" t="str">
        <f>CONCATENATE("          ", "9175", " - ", "EARNED DISCOUNTS")</f>
        <v xml:space="preserve">          9175 - EARNED DISCOUNTS</v>
      </c>
      <c r="C81" s="11"/>
      <c r="D81" s="7">
        <v>-42.86</v>
      </c>
      <c r="E81" s="2"/>
      <c r="F81" s="6">
        <f t="shared" si="28"/>
        <v>-4.3338682246211739E-5</v>
      </c>
      <c r="G81" s="2"/>
      <c r="H81" s="7"/>
      <c r="I81" s="2"/>
      <c r="J81" s="6">
        <f t="shared" si="29"/>
        <v>0</v>
      </c>
      <c r="K81" s="2"/>
      <c r="L81" s="7">
        <f t="shared" si="30"/>
        <v>-42.86</v>
      </c>
      <c r="M81" s="2"/>
      <c r="N81" s="6">
        <f t="shared" si="31"/>
        <v>0</v>
      </c>
      <c r="O81" s="11"/>
      <c r="P81" s="7">
        <v>-42.86</v>
      </c>
      <c r="Q81" s="2"/>
      <c r="R81" s="6">
        <f t="shared" si="32"/>
        <v>-1.6736255804837176E-5</v>
      </c>
      <c r="S81" s="2"/>
      <c r="T81" s="7"/>
      <c r="U81" s="2"/>
      <c r="V81" s="6">
        <f t="shared" si="33"/>
        <v>0</v>
      </c>
      <c r="W81" s="2"/>
      <c r="X81" s="7">
        <f t="shared" si="34"/>
        <v>-42.86</v>
      </c>
      <c r="Y81" s="2"/>
      <c r="Z81" s="6">
        <f t="shared" si="35"/>
        <v>0</v>
      </c>
    </row>
    <row r="82" spans="1:26" s="28" customFormat="1" outlineLevel="1" collapsed="1" x14ac:dyDescent="0.35">
      <c r="A82" s="27"/>
      <c r="B82" s="14" t="str">
        <f>CONCATENATE("     ","Employees' Appreciation                           ")</f>
        <v xml:space="preserve">     Employees' Appreciation                           </v>
      </c>
      <c r="C82" s="14"/>
      <c r="D82" s="1">
        <f>SUM(OSRRefD22_4x_0)</f>
        <v>0</v>
      </c>
      <c r="E82" s="1"/>
      <c r="F82" s="5">
        <f t="shared" ref="F82:F88" si="36">IF(D$12=0,0,D82/D$12)</f>
        <v>0</v>
      </c>
      <c r="G82" s="1"/>
      <c r="H82" s="1">
        <f>SUM(OSRRefH22_4x_0)</f>
        <v>75</v>
      </c>
      <c r="I82" s="1"/>
      <c r="J82" s="5">
        <f t="shared" ref="J82:J88" si="37">IF(H$12=0,0,H82/H$12)</f>
        <v>4.9053624768548649E-5</v>
      </c>
      <c r="K82" s="1"/>
      <c r="L82" s="1">
        <f t="shared" ref="L82:L88" si="38">+D82-H82</f>
        <v>-75</v>
      </c>
      <c r="M82" s="1"/>
      <c r="N82" s="5">
        <f t="shared" ref="N82:N88" si="39">IF(H82=0,0,L82/H82)</f>
        <v>-1</v>
      </c>
      <c r="O82" s="14"/>
      <c r="P82" s="1">
        <f>SUM(OSRRefP22_4x_0)</f>
        <v>107.7</v>
      </c>
      <c r="Q82" s="1"/>
      <c r="R82" s="5">
        <f t="shared" ref="R82:R88" si="40">IF(P$12=0,0,P82/P$12)</f>
        <v>4.2055407143746238E-5</v>
      </c>
      <c r="S82" s="1"/>
      <c r="T82" s="1">
        <f>SUM(OSRRefT22_4x_0)</f>
        <v>525</v>
      </c>
      <c r="U82" s="1"/>
      <c r="V82" s="5">
        <f t="shared" ref="V82:V88" si="41">IF(T$12=0,0,T82/T$12)</f>
        <v>1.2591434802390023E-4</v>
      </c>
      <c r="W82" s="1"/>
      <c r="X82" s="1">
        <f t="shared" ref="X82:X88" si="42">+P82-T82</f>
        <v>-417.3</v>
      </c>
      <c r="Y82" s="1"/>
      <c r="Z82" s="5">
        <f t="shared" ref="Z82:Z88" si="43">IF(T82=0,0,X82/T82)</f>
        <v>-0.79485714285714293</v>
      </c>
    </row>
    <row r="83" spans="1:26" s="24" customFormat="1" hidden="1" outlineLevel="2" x14ac:dyDescent="0.35">
      <c r="A83" s="29"/>
      <c r="B83" s="11" t="str">
        <f>CONCATENATE("          ", "6277", " - ", "EMPLOYEE APPRECIATION")</f>
        <v xml:space="preserve">          6277 - EMPLOYEE APPRECIATION</v>
      </c>
      <c r="C83" s="11"/>
      <c r="D83" s="7"/>
      <c r="E83" s="2"/>
      <c r="F83" s="6">
        <f t="shared" si="36"/>
        <v>0</v>
      </c>
      <c r="G83" s="2"/>
      <c r="H83" s="7">
        <v>75</v>
      </c>
      <c r="I83" s="2"/>
      <c r="J83" s="6">
        <f t="shared" si="37"/>
        <v>4.9053624768548649E-5</v>
      </c>
      <c r="K83" s="2"/>
      <c r="L83" s="7">
        <f t="shared" si="38"/>
        <v>-75</v>
      </c>
      <c r="M83" s="2"/>
      <c r="N83" s="6">
        <f t="shared" si="39"/>
        <v>-1</v>
      </c>
      <c r="O83" s="11"/>
      <c r="P83" s="7">
        <v>107.7</v>
      </c>
      <c r="Q83" s="2"/>
      <c r="R83" s="6">
        <f t="shared" si="40"/>
        <v>4.2055407143746238E-5</v>
      </c>
      <c r="S83" s="2"/>
      <c r="T83" s="7">
        <v>525</v>
      </c>
      <c r="U83" s="2"/>
      <c r="V83" s="6">
        <f t="shared" si="41"/>
        <v>1.2591434802390023E-4</v>
      </c>
      <c r="W83" s="2"/>
      <c r="X83" s="7">
        <f t="shared" si="42"/>
        <v>-417.3</v>
      </c>
      <c r="Y83" s="2"/>
      <c r="Z83" s="6">
        <f t="shared" si="43"/>
        <v>-0.79485714285714293</v>
      </c>
    </row>
    <row r="84" spans="1:26" s="28" customFormat="1" outlineLevel="1" collapsed="1" x14ac:dyDescent="0.35">
      <c r="A84" s="27"/>
      <c r="B84" s="14" t="str">
        <f>CONCATENATE("     ","Equipment Rental                                  ")</f>
        <v xml:space="preserve">     Equipment Rental                                  </v>
      </c>
      <c r="C84" s="14"/>
      <c r="D84" s="1">
        <f>SUM(OSRRefD22_5x_0)</f>
        <v>91.26</v>
      </c>
      <c r="E84" s="1"/>
      <c r="F84" s="5">
        <f t="shared" si="36"/>
        <v>9.2279238025881559E-5</v>
      </c>
      <c r="G84" s="1"/>
      <c r="H84" s="1">
        <f>SUM(OSRRefH22_5x_0)</f>
        <v>100</v>
      </c>
      <c r="I84" s="1"/>
      <c r="J84" s="5">
        <f t="shared" si="37"/>
        <v>6.5404833024731524E-5</v>
      </c>
      <c r="K84" s="1"/>
      <c r="L84" s="1">
        <f t="shared" si="38"/>
        <v>-8.7399999999999949</v>
      </c>
      <c r="M84" s="1"/>
      <c r="N84" s="5">
        <f t="shared" si="39"/>
        <v>-8.739999999999995E-2</v>
      </c>
      <c r="O84" s="14"/>
      <c r="P84" s="1">
        <f>SUM(OSRRefP22_5x_0)</f>
        <v>638.82000000000005</v>
      </c>
      <c r="Q84" s="1"/>
      <c r="R84" s="5">
        <f t="shared" si="40"/>
        <v>2.4945065173229315E-4</v>
      </c>
      <c r="S84" s="1"/>
      <c r="T84" s="1">
        <f>SUM(OSRRefT22_5x_0)</f>
        <v>700</v>
      </c>
      <c r="U84" s="1"/>
      <c r="V84" s="5">
        <f t="shared" si="41"/>
        <v>1.6788579736520028E-4</v>
      </c>
      <c r="W84" s="1"/>
      <c r="X84" s="1">
        <f t="shared" si="42"/>
        <v>-61.17999999999995</v>
      </c>
      <c r="Y84" s="1"/>
      <c r="Z84" s="5">
        <f t="shared" si="43"/>
        <v>-8.7399999999999922E-2</v>
      </c>
    </row>
    <row r="85" spans="1:26" s="24" customFormat="1" hidden="1" outlineLevel="2" x14ac:dyDescent="0.35">
      <c r="A85" s="29"/>
      <c r="B85" s="11" t="str">
        <f>CONCATENATE("          ", "6351", " - ", "EQUIPMENT RENTAL")</f>
        <v xml:space="preserve">          6351 - EQUIPMENT RENTAL</v>
      </c>
      <c r="C85" s="11"/>
      <c r="D85" s="7">
        <v>91.26</v>
      </c>
      <c r="E85" s="2"/>
      <c r="F85" s="6">
        <f t="shared" si="36"/>
        <v>9.2279238025881559E-5</v>
      </c>
      <c r="G85" s="2"/>
      <c r="H85" s="7">
        <v>100</v>
      </c>
      <c r="I85" s="2"/>
      <c r="J85" s="6">
        <f t="shared" si="37"/>
        <v>6.5404833024731524E-5</v>
      </c>
      <c r="K85" s="2"/>
      <c r="L85" s="7">
        <f t="shared" si="38"/>
        <v>-8.7399999999999949</v>
      </c>
      <c r="M85" s="2"/>
      <c r="N85" s="6">
        <f t="shared" si="39"/>
        <v>-8.739999999999995E-2</v>
      </c>
      <c r="O85" s="11"/>
      <c r="P85" s="7">
        <v>638.82000000000005</v>
      </c>
      <c r="Q85" s="2"/>
      <c r="R85" s="6">
        <f t="shared" si="40"/>
        <v>2.4945065173229315E-4</v>
      </c>
      <c r="S85" s="2"/>
      <c r="T85" s="7">
        <v>700</v>
      </c>
      <c r="U85" s="2"/>
      <c r="V85" s="6">
        <f t="shared" si="41"/>
        <v>1.6788579736520028E-4</v>
      </c>
      <c r="W85" s="2"/>
      <c r="X85" s="7">
        <f t="shared" si="42"/>
        <v>-61.17999999999995</v>
      </c>
      <c r="Y85" s="2"/>
      <c r="Z85" s="6">
        <f t="shared" si="43"/>
        <v>-8.7399999999999922E-2</v>
      </c>
    </row>
    <row r="86" spans="1:26" s="28" customFormat="1" outlineLevel="1" collapsed="1" x14ac:dyDescent="0.35">
      <c r="A86" s="27"/>
      <c r="B86" s="14" t="str">
        <f>CONCATENATE("     ","Freight out/Postage                               ")</f>
        <v xml:space="preserve">     Freight out/Postage                               </v>
      </c>
      <c r="C86" s="14"/>
      <c r="D86" s="1">
        <f>SUM(OSRRefD22_6x_0)</f>
        <v>272.02</v>
      </c>
      <c r="E86" s="1"/>
      <c r="F86" s="5">
        <f t="shared" si="36"/>
        <v>2.750580575038385E-4</v>
      </c>
      <c r="G86" s="1"/>
      <c r="H86" s="1">
        <f>SUM(OSRRefH22_6x_0)</f>
        <v>2000</v>
      </c>
      <c r="I86" s="1"/>
      <c r="J86" s="5">
        <f t="shared" si="37"/>
        <v>1.3080966604946307E-3</v>
      </c>
      <c r="K86" s="1"/>
      <c r="L86" s="1">
        <f t="shared" si="38"/>
        <v>-1727.98</v>
      </c>
      <c r="M86" s="1"/>
      <c r="N86" s="5">
        <f t="shared" si="39"/>
        <v>-0.86399000000000004</v>
      </c>
      <c r="O86" s="14"/>
      <c r="P86" s="1">
        <f>SUM(OSRRefP22_6x_0)</f>
        <v>9170.0499999999993</v>
      </c>
      <c r="Q86" s="1"/>
      <c r="R86" s="5">
        <f t="shared" si="40"/>
        <v>3.5807816738951731E-3</v>
      </c>
      <c r="S86" s="1"/>
      <c r="T86" s="1">
        <f>SUM(OSRRefT22_6x_0)</f>
        <v>13500</v>
      </c>
      <c r="U86" s="1"/>
      <c r="V86" s="5">
        <f t="shared" si="41"/>
        <v>3.2377975206145772E-3</v>
      </c>
      <c r="W86" s="1"/>
      <c r="X86" s="1">
        <f t="shared" si="42"/>
        <v>-4329.9500000000007</v>
      </c>
      <c r="Y86" s="1"/>
      <c r="Z86" s="5">
        <f t="shared" si="43"/>
        <v>-0.3207370370370371</v>
      </c>
    </row>
    <row r="87" spans="1:26" s="24" customFormat="1" hidden="1" outlineLevel="2" x14ac:dyDescent="0.35">
      <c r="A87" s="29"/>
      <c r="B87" s="11" t="str">
        <f>CONCATENATE("          ", "6305", " - ", "FREIGHT OUT")</f>
        <v xml:space="preserve">          6305 - FREIGHT OUT</v>
      </c>
      <c r="C87" s="11"/>
      <c r="D87" s="7">
        <v>571.52</v>
      </c>
      <c r="E87" s="2"/>
      <c r="F87" s="6">
        <f t="shared" si="36"/>
        <v>5.7790302560324159E-4</v>
      </c>
      <c r="G87" s="2"/>
      <c r="H87" s="7">
        <v>2000</v>
      </c>
      <c r="I87" s="2"/>
      <c r="J87" s="6">
        <f t="shared" si="37"/>
        <v>1.3080966604946307E-3</v>
      </c>
      <c r="K87" s="2"/>
      <c r="L87" s="7">
        <f t="shared" si="38"/>
        <v>-1428.48</v>
      </c>
      <c r="M87" s="2"/>
      <c r="N87" s="6">
        <f t="shared" si="39"/>
        <v>-0.71423999999999999</v>
      </c>
      <c r="O87" s="11"/>
      <c r="P87" s="7">
        <v>9169.5499999999993</v>
      </c>
      <c r="Q87" s="2"/>
      <c r="R87" s="6">
        <f t="shared" si="40"/>
        <v>3.5805864305936698E-3</v>
      </c>
      <c r="S87" s="2"/>
      <c r="T87" s="7">
        <v>13500</v>
      </c>
      <c r="U87" s="2"/>
      <c r="V87" s="6">
        <f t="shared" si="41"/>
        <v>3.2377975206145772E-3</v>
      </c>
      <c r="W87" s="2"/>
      <c r="X87" s="7">
        <f t="shared" si="42"/>
        <v>-4330.4500000000007</v>
      </c>
      <c r="Y87" s="2"/>
      <c r="Z87" s="6">
        <f t="shared" si="43"/>
        <v>-0.3207740740740741</v>
      </c>
    </row>
    <row r="88" spans="1:26" s="24" customFormat="1" hidden="1" outlineLevel="2" x14ac:dyDescent="0.35">
      <c r="A88" s="29"/>
      <c r="B88" s="11" t="str">
        <f>CONCATENATE("          ", "6307", " - ", "POSTAGE")</f>
        <v xml:space="preserve">          6307 - POSTAGE</v>
      </c>
      <c r="C88" s="11"/>
      <c r="D88" s="7">
        <v>-299.5</v>
      </c>
      <c r="E88" s="2"/>
      <c r="F88" s="6">
        <f t="shared" si="36"/>
        <v>-3.0284496809940308E-4</v>
      </c>
      <c r="G88" s="2"/>
      <c r="H88" s="7"/>
      <c r="I88" s="2"/>
      <c r="J88" s="6">
        <f t="shared" si="37"/>
        <v>0</v>
      </c>
      <c r="K88" s="2"/>
      <c r="L88" s="7">
        <f t="shared" si="38"/>
        <v>-299.5</v>
      </c>
      <c r="M88" s="2"/>
      <c r="N88" s="6">
        <f t="shared" si="39"/>
        <v>0</v>
      </c>
      <c r="O88" s="11"/>
      <c r="P88" s="7">
        <v>0.5</v>
      </c>
      <c r="Q88" s="2"/>
      <c r="R88" s="6">
        <f t="shared" si="40"/>
        <v>1.9524330150300017E-7</v>
      </c>
      <c r="S88" s="2"/>
      <c r="T88" s="7"/>
      <c r="U88" s="2"/>
      <c r="V88" s="6">
        <f t="shared" si="41"/>
        <v>0</v>
      </c>
      <c r="W88" s="2"/>
      <c r="X88" s="7">
        <f t="shared" si="42"/>
        <v>0.5</v>
      </c>
      <c r="Y88" s="2"/>
      <c r="Z88" s="6">
        <f t="shared" si="43"/>
        <v>0</v>
      </c>
    </row>
    <row r="89" spans="1:26" s="28" customFormat="1" outlineLevel="1" collapsed="1" x14ac:dyDescent="0.35">
      <c r="A89" s="27"/>
      <c r="B89" s="14" t="str">
        <f>CONCATENATE("     ","General                                           ")</f>
        <v xml:space="preserve">     General                                           </v>
      </c>
      <c r="C89" s="14"/>
      <c r="D89" s="1">
        <f>SUM(OSRRefD22_7x_0)</f>
        <v>4.63</v>
      </c>
      <c r="E89" s="1"/>
      <c r="F89" s="5">
        <f t="shared" ref="F89:F91" si="44">IF(D$12=0,0,D89/D$12)</f>
        <v>4.6817101913196539E-6</v>
      </c>
      <c r="G89" s="1"/>
      <c r="H89" s="1">
        <f>SUM(OSRRefH22_7x_0)</f>
        <v>0</v>
      </c>
      <c r="I89" s="1"/>
      <c r="J89" s="5">
        <f t="shared" ref="J89:J91" si="45">IF(H$12=0,0,H89/H$12)</f>
        <v>0</v>
      </c>
      <c r="K89" s="1"/>
      <c r="L89" s="1">
        <f t="shared" ref="L89:L91" si="46">+D89-H89</f>
        <v>4.63</v>
      </c>
      <c r="M89" s="1"/>
      <c r="N89" s="5">
        <f t="shared" ref="N89:N91" si="47">IF(H89=0,0,L89/H89)</f>
        <v>0</v>
      </c>
      <c r="O89" s="14"/>
      <c r="P89" s="1">
        <f>SUM(OSRRefP22_7x_0)</f>
        <v>-1037.82</v>
      </c>
      <c r="Q89" s="1"/>
      <c r="R89" s="5">
        <f t="shared" ref="R89:R91" si="48">IF(P$12=0,0,P89/P$12)</f>
        <v>-4.0525480633168726E-4</v>
      </c>
      <c r="S89" s="1"/>
      <c r="T89" s="1">
        <f>SUM(OSRRefT22_7x_0)</f>
        <v>1375</v>
      </c>
      <c r="U89" s="1"/>
      <c r="V89" s="5">
        <f t="shared" ref="V89:V91" si="49">IF(T$12=0,0,T89/T$12)</f>
        <v>3.2977567339592917E-4</v>
      </c>
      <c r="W89" s="1"/>
      <c r="X89" s="1">
        <f t="shared" ref="X89:X91" si="50">+P89-T89</f>
        <v>-2412.8199999999997</v>
      </c>
      <c r="Y89" s="1"/>
      <c r="Z89" s="5">
        <f t="shared" ref="Z89:Z91" si="51">IF(T89=0,0,X89/T89)</f>
        <v>-1.7547781818181816</v>
      </c>
    </row>
    <row r="90" spans="1:26" s="24" customFormat="1" hidden="1" outlineLevel="2" x14ac:dyDescent="0.35">
      <c r="A90" s="29"/>
      <c r="B90" s="11" t="str">
        <f>CONCATENATE("          ", "6269", " - ", "ENTERTAINMENT")</f>
        <v xml:space="preserve">          6269 - ENTERTAINMENT</v>
      </c>
      <c r="C90" s="11"/>
      <c r="D90" s="7"/>
      <c r="E90" s="2"/>
      <c r="F90" s="6">
        <f t="shared" si="44"/>
        <v>0</v>
      </c>
      <c r="G90" s="2"/>
      <c r="H90" s="7"/>
      <c r="I90" s="2"/>
      <c r="J90" s="6">
        <f t="shared" si="45"/>
        <v>0</v>
      </c>
      <c r="K90" s="2"/>
      <c r="L90" s="7">
        <f t="shared" si="46"/>
        <v>0</v>
      </c>
      <c r="M90" s="2"/>
      <c r="N90" s="6">
        <f t="shared" si="47"/>
        <v>0</v>
      </c>
      <c r="O90" s="11"/>
      <c r="P90" s="7"/>
      <c r="Q90" s="2"/>
      <c r="R90" s="6">
        <f t="shared" si="48"/>
        <v>0</v>
      </c>
      <c r="S90" s="2"/>
      <c r="T90" s="7">
        <v>1375</v>
      </c>
      <c r="U90" s="2"/>
      <c r="V90" s="6">
        <f t="shared" si="49"/>
        <v>3.2977567339592917E-4</v>
      </c>
      <c r="W90" s="2"/>
      <c r="X90" s="7">
        <f t="shared" si="50"/>
        <v>-1375</v>
      </c>
      <c r="Y90" s="2"/>
      <c r="Z90" s="6">
        <f t="shared" si="51"/>
        <v>-1</v>
      </c>
    </row>
    <row r="91" spans="1:26" s="24" customFormat="1" hidden="1" outlineLevel="2" x14ac:dyDescent="0.35">
      <c r="A91" s="29"/>
      <c r="B91" s="11" t="str">
        <f>CONCATENATE("          ", "6279", " - ", "GENERAL EXPENSE")</f>
        <v xml:space="preserve">          6279 - GENERAL EXPENSE</v>
      </c>
      <c r="C91" s="11"/>
      <c r="D91" s="7">
        <v>4.63</v>
      </c>
      <c r="E91" s="2"/>
      <c r="F91" s="6">
        <f t="shared" si="44"/>
        <v>4.6817101913196539E-6</v>
      </c>
      <c r="G91" s="2"/>
      <c r="H91" s="7"/>
      <c r="I91" s="2"/>
      <c r="J91" s="6">
        <f t="shared" si="45"/>
        <v>0</v>
      </c>
      <c r="K91" s="2"/>
      <c r="L91" s="7">
        <f t="shared" si="46"/>
        <v>4.63</v>
      </c>
      <c r="M91" s="2"/>
      <c r="N91" s="6">
        <f t="shared" si="47"/>
        <v>0</v>
      </c>
      <c r="O91" s="11"/>
      <c r="P91" s="7">
        <v>-1037.82</v>
      </c>
      <c r="Q91" s="2"/>
      <c r="R91" s="6">
        <f t="shared" si="48"/>
        <v>-4.0525480633168726E-4</v>
      </c>
      <c r="S91" s="2"/>
      <c r="T91" s="7"/>
      <c r="U91" s="2"/>
      <c r="V91" s="6">
        <f t="shared" si="49"/>
        <v>0</v>
      </c>
      <c r="W91" s="2"/>
      <c r="X91" s="7">
        <f t="shared" si="50"/>
        <v>-1037.82</v>
      </c>
      <c r="Y91" s="2"/>
      <c r="Z91" s="6">
        <f t="shared" si="51"/>
        <v>0</v>
      </c>
    </row>
    <row r="92" spans="1:26" s="28" customFormat="1" outlineLevel="1" collapsed="1" x14ac:dyDescent="0.35">
      <c r="A92" s="27"/>
      <c r="B92" s="14" t="str">
        <f>CONCATENATE("     ","Inventory Adjustment                              ")</f>
        <v xml:space="preserve">     Inventory Adjustment                              </v>
      </c>
      <c r="C92" s="14"/>
      <c r="D92" s="1">
        <f>SUM(OSRRefD22_8x_0)</f>
        <v>1000</v>
      </c>
      <c r="E92" s="1"/>
      <c r="F92" s="5">
        <f t="shared" ref="F92:F96" si="52">IF(D$12=0,0,D92/D$12)</f>
        <v>1.0111685078444178E-3</v>
      </c>
      <c r="G92" s="1"/>
      <c r="H92" s="1">
        <f>SUM(OSRRefH22_8x_0)</f>
        <v>1000</v>
      </c>
      <c r="I92" s="1"/>
      <c r="J92" s="5">
        <f t="shared" ref="J92:J96" si="53">IF(H$12=0,0,H92/H$12)</f>
        <v>6.5404833024731534E-4</v>
      </c>
      <c r="K92" s="1"/>
      <c r="L92" s="1">
        <f t="shared" ref="L92:L96" si="54">+D92-H92</f>
        <v>0</v>
      </c>
      <c r="M92" s="1"/>
      <c r="N92" s="5">
        <f t="shared" ref="N92:N96" si="55">IF(H92=0,0,L92/H92)</f>
        <v>0</v>
      </c>
      <c r="O92" s="14"/>
      <c r="P92" s="1">
        <f>SUM(OSRRefP22_8x_0)</f>
        <v>12000</v>
      </c>
      <c r="Q92" s="1"/>
      <c r="R92" s="5">
        <f t="shared" ref="R92:R96" si="56">IF(P$12=0,0,P92/P$12)</f>
        <v>4.6858392360720038E-3</v>
      </c>
      <c r="S92" s="1"/>
      <c r="T92" s="1">
        <f>SUM(OSRRefT22_8x_0)</f>
        <v>12000</v>
      </c>
      <c r="U92" s="1"/>
      <c r="V92" s="5">
        <f t="shared" ref="V92:V96" si="57">IF(T$12=0,0,T92/T$12)</f>
        <v>2.8780422405462907E-3</v>
      </c>
      <c r="W92" s="1"/>
      <c r="X92" s="1">
        <f t="shared" ref="X92:X96" si="58">+P92-T92</f>
        <v>0</v>
      </c>
      <c r="Y92" s="1"/>
      <c r="Z92" s="5">
        <f t="shared" ref="Z92:Z96" si="59">IF(T92=0,0,X92/T92)</f>
        <v>0</v>
      </c>
    </row>
    <row r="93" spans="1:26" s="24" customFormat="1" hidden="1" outlineLevel="2" x14ac:dyDescent="0.35">
      <c r="A93" s="29"/>
      <c r="B93" s="11" t="str">
        <f>CONCATENATE("          ", "6408", " - ", "INVENTORY ADJUSTMENT")</f>
        <v xml:space="preserve">          6408 - INVENTORY ADJUSTMENT</v>
      </c>
      <c r="C93" s="11"/>
      <c r="D93" s="7">
        <v>1000</v>
      </c>
      <c r="E93" s="2"/>
      <c r="F93" s="6">
        <f t="shared" si="52"/>
        <v>1.0111685078444178E-3</v>
      </c>
      <c r="G93" s="2"/>
      <c r="H93" s="7">
        <v>1000</v>
      </c>
      <c r="I93" s="2"/>
      <c r="J93" s="6">
        <f t="shared" si="53"/>
        <v>6.5404833024731534E-4</v>
      </c>
      <c r="K93" s="2"/>
      <c r="L93" s="7">
        <f t="shared" si="54"/>
        <v>0</v>
      </c>
      <c r="M93" s="2"/>
      <c r="N93" s="6">
        <f t="shared" si="55"/>
        <v>0</v>
      </c>
      <c r="O93" s="11"/>
      <c r="P93" s="7">
        <v>12000</v>
      </c>
      <c r="Q93" s="2"/>
      <c r="R93" s="6">
        <f t="shared" si="56"/>
        <v>4.6858392360720038E-3</v>
      </c>
      <c r="S93" s="2"/>
      <c r="T93" s="7">
        <v>12000</v>
      </c>
      <c r="U93" s="2"/>
      <c r="V93" s="6">
        <f t="shared" si="57"/>
        <v>2.8780422405462907E-3</v>
      </c>
      <c r="W93" s="2"/>
      <c r="X93" s="7">
        <f t="shared" si="58"/>
        <v>0</v>
      </c>
      <c r="Y93" s="2"/>
      <c r="Z93" s="6">
        <f t="shared" si="59"/>
        <v>0</v>
      </c>
    </row>
    <row r="94" spans="1:26" s="28" customFormat="1" outlineLevel="1" collapsed="1" x14ac:dyDescent="0.35">
      <c r="A94" s="27"/>
      <c r="B94" s="14" t="str">
        <f>CONCATENATE("     ","Repair and Maintenance                            ")</f>
        <v xml:space="preserve">     Repair and Maintenance                            </v>
      </c>
      <c r="C94" s="14"/>
      <c r="D94" s="1">
        <f>SUM(OSRRefD22_9x_0)</f>
        <v>17.91</v>
      </c>
      <c r="E94" s="1"/>
      <c r="F94" s="5">
        <f t="shared" si="52"/>
        <v>1.8110027975493522E-5</v>
      </c>
      <c r="G94" s="1"/>
      <c r="H94" s="1">
        <f>SUM(OSRRefH22_9x_0)</f>
        <v>140</v>
      </c>
      <c r="I94" s="1"/>
      <c r="J94" s="5">
        <f t="shared" si="53"/>
        <v>9.1566766234624141E-5</v>
      </c>
      <c r="K94" s="1"/>
      <c r="L94" s="1">
        <f t="shared" si="54"/>
        <v>-122.09</v>
      </c>
      <c r="M94" s="1"/>
      <c r="N94" s="5">
        <f t="shared" si="55"/>
        <v>-0.87207142857142861</v>
      </c>
      <c r="O94" s="14"/>
      <c r="P94" s="1">
        <f>SUM(OSRRefP22_9x_0)</f>
        <v>167.38</v>
      </c>
      <c r="Q94" s="1"/>
      <c r="R94" s="5">
        <f t="shared" si="56"/>
        <v>6.535964761114434E-5</v>
      </c>
      <c r="S94" s="1"/>
      <c r="T94" s="1">
        <f>SUM(OSRRefT22_9x_0)</f>
        <v>980</v>
      </c>
      <c r="U94" s="1"/>
      <c r="V94" s="5">
        <f t="shared" si="57"/>
        <v>2.350401163112804E-4</v>
      </c>
      <c r="W94" s="1"/>
      <c r="X94" s="1">
        <f t="shared" si="58"/>
        <v>-812.62</v>
      </c>
      <c r="Y94" s="1"/>
      <c r="Z94" s="5">
        <f t="shared" si="59"/>
        <v>-0.82920408163265302</v>
      </c>
    </row>
    <row r="95" spans="1:26" s="24" customFormat="1" hidden="1" outlineLevel="2" x14ac:dyDescent="0.35">
      <c r="A95" s="29"/>
      <c r="B95" s="11" t="str">
        <f>CONCATENATE("          ", "6373", " - ", "MAINTENANCE CONTRACTS")</f>
        <v xml:space="preserve">          6373 - MAINTENANCE CONTRACTS</v>
      </c>
      <c r="C95" s="11"/>
      <c r="D95" s="7">
        <v>17.91</v>
      </c>
      <c r="E95" s="2"/>
      <c r="F95" s="6">
        <f t="shared" si="52"/>
        <v>1.8110027975493522E-5</v>
      </c>
      <c r="G95" s="2"/>
      <c r="H95" s="7">
        <v>40</v>
      </c>
      <c r="I95" s="2"/>
      <c r="J95" s="6">
        <f t="shared" si="53"/>
        <v>2.6161933209892611E-5</v>
      </c>
      <c r="K95" s="2"/>
      <c r="L95" s="7">
        <f t="shared" si="54"/>
        <v>-22.09</v>
      </c>
      <c r="M95" s="2"/>
      <c r="N95" s="6">
        <f t="shared" si="55"/>
        <v>-0.55225000000000002</v>
      </c>
      <c r="O95" s="11"/>
      <c r="P95" s="7">
        <v>142.27000000000001</v>
      </c>
      <c r="Q95" s="2"/>
      <c r="R95" s="6">
        <f t="shared" si="56"/>
        <v>5.5554529009663668E-5</v>
      </c>
      <c r="S95" s="2"/>
      <c r="T95" s="7">
        <v>280</v>
      </c>
      <c r="U95" s="2"/>
      <c r="V95" s="6">
        <f t="shared" si="57"/>
        <v>6.7154318946080119E-5</v>
      </c>
      <c r="W95" s="2"/>
      <c r="X95" s="7">
        <f t="shared" si="58"/>
        <v>-137.72999999999999</v>
      </c>
      <c r="Y95" s="2"/>
      <c r="Z95" s="6">
        <f t="shared" si="59"/>
        <v>-0.49189285714285713</v>
      </c>
    </row>
    <row r="96" spans="1:26" s="24" customFormat="1" hidden="1" outlineLevel="2" x14ac:dyDescent="0.35">
      <c r="A96" s="29"/>
      <c r="B96" s="11" t="str">
        <f>CONCATENATE("          ", "6375", " - ", "OUTSIDE REPAIRS &amp; MAINTENANCE")</f>
        <v xml:space="preserve">          6375 - OUTSIDE REPAIRS &amp; MAINTENANCE</v>
      </c>
      <c r="C96" s="11"/>
      <c r="D96" s="7"/>
      <c r="E96" s="2"/>
      <c r="F96" s="6">
        <f t="shared" si="52"/>
        <v>0</v>
      </c>
      <c r="G96" s="2"/>
      <c r="H96" s="7">
        <v>100</v>
      </c>
      <c r="I96" s="2"/>
      <c r="J96" s="6">
        <f t="shared" si="53"/>
        <v>6.5404833024731524E-5</v>
      </c>
      <c r="K96" s="2"/>
      <c r="L96" s="7">
        <f t="shared" si="54"/>
        <v>-100</v>
      </c>
      <c r="M96" s="2"/>
      <c r="N96" s="6">
        <f t="shared" si="55"/>
        <v>-1</v>
      </c>
      <c r="O96" s="11"/>
      <c r="P96" s="7">
        <v>25.11</v>
      </c>
      <c r="Q96" s="2"/>
      <c r="R96" s="6">
        <f t="shared" si="56"/>
        <v>9.8051186014806687E-6</v>
      </c>
      <c r="S96" s="2"/>
      <c r="T96" s="7">
        <v>700</v>
      </c>
      <c r="U96" s="2"/>
      <c r="V96" s="6">
        <f t="shared" si="57"/>
        <v>1.6788579736520028E-4</v>
      </c>
      <c r="W96" s="2"/>
      <c r="X96" s="7">
        <f t="shared" si="58"/>
        <v>-674.89</v>
      </c>
      <c r="Y96" s="2"/>
      <c r="Z96" s="6">
        <f t="shared" si="59"/>
        <v>-0.96412857142857145</v>
      </c>
    </row>
    <row r="97" spans="1:26" s="28" customFormat="1" outlineLevel="1" collapsed="1" x14ac:dyDescent="0.35">
      <c r="A97" s="27"/>
      <c r="B97" s="14" t="str">
        <f>CONCATENATE("     ","Subscriptions &amp; Dues                              ")</f>
        <v xml:space="preserve">     Subscriptions &amp; Dues                              </v>
      </c>
      <c r="C97" s="14"/>
      <c r="D97" s="1">
        <f>SUM(OSRRefD22_10x_0)</f>
        <v>2180.9899999999998</v>
      </c>
      <c r="E97" s="1"/>
      <c r="F97" s="5">
        <f t="shared" ref="F97:F99" si="60">IF(D$12=0,0,D97/D$12)</f>
        <v>2.2053484039235962E-3</v>
      </c>
      <c r="G97" s="1"/>
      <c r="H97" s="1">
        <f>SUM(OSRRefH22_10x_0)</f>
        <v>300</v>
      </c>
      <c r="I97" s="1"/>
      <c r="J97" s="5">
        <f t="shared" ref="J97:J99" si="61">IF(H$12=0,0,H97/H$12)</f>
        <v>1.962144990741946E-4</v>
      </c>
      <c r="K97" s="1"/>
      <c r="L97" s="1">
        <f t="shared" ref="L97:L99" si="62">+D97-H97</f>
        <v>1880.9899999999998</v>
      </c>
      <c r="M97" s="1"/>
      <c r="N97" s="5">
        <f t="shared" ref="N97:N99" si="63">IF(H97=0,0,L97/H97)</f>
        <v>6.269966666666666</v>
      </c>
      <c r="O97" s="14"/>
      <c r="P97" s="1">
        <f>SUM(OSRRefP22_10x_0)</f>
        <v>3912.43</v>
      </c>
      <c r="Q97" s="1"/>
      <c r="R97" s="5">
        <f t="shared" ref="R97:R99" si="64">IF(P$12=0,0,P97/P$12)</f>
        <v>1.5277515001987658E-3</v>
      </c>
      <c r="S97" s="1"/>
      <c r="T97" s="1">
        <f>SUM(OSRRefT22_10x_0)</f>
        <v>2100</v>
      </c>
      <c r="U97" s="1"/>
      <c r="V97" s="5">
        <f t="shared" ref="V97:V99" si="65">IF(T$12=0,0,T97/T$12)</f>
        <v>5.0365739209560091E-4</v>
      </c>
      <c r="W97" s="1"/>
      <c r="X97" s="1">
        <f t="shared" ref="X97:X99" si="66">+P97-T97</f>
        <v>1812.4299999999998</v>
      </c>
      <c r="Y97" s="1"/>
      <c r="Z97" s="5">
        <f t="shared" ref="Z97:Z99" si="67">IF(T97=0,0,X97/T97)</f>
        <v>0.8630619047619047</v>
      </c>
    </row>
    <row r="98" spans="1:26" s="24" customFormat="1" hidden="1" outlineLevel="2" x14ac:dyDescent="0.35">
      <c r="A98" s="29"/>
      <c r="B98" s="11" t="str">
        <f>CONCATENATE("          ", "6258", " - ", "MEMBERSHIP DUES")</f>
        <v xml:space="preserve">          6258 - MEMBERSHIP DUES</v>
      </c>
      <c r="C98" s="11"/>
      <c r="D98" s="7">
        <v>328.91</v>
      </c>
      <c r="E98" s="2"/>
      <c r="F98" s="6">
        <f t="shared" si="60"/>
        <v>3.3258343391510747E-4</v>
      </c>
      <c r="G98" s="2"/>
      <c r="H98" s="7">
        <v>300</v>
      </c>
      <c r="I98" s="2"/>
      <c r="J98" s="6">
        <f t="shared" si="61"/>
        <v>1.962144990741946E-4</v>
      </c>
      <c r="K98" s="2"/>
      <c r="L98" s="7">
        <f t="shared" si="62"/>
        <v>28.910000000000025</v>
      </c>
      <c r="M98" s="2"/>
      <c r="N98" s="6">
        <f t="shared" si="63"/>
        <v>9.6366666666666753E-2</v>
      </c>
      <c r="O98" s="11"/>
      <c r="P98" s="7">
        <v>2060.35</v>
      </c>
      <c r="Q98" s="2"/>
      <c r="R98" s="6">
        <f t="shared" si="64"/>
        <v>8.0453907250341273E-4</v>
      </c>
      <c r="S98" s="2"/>
      <c r="T98" s="7">
        <v>2100</v>
      </c>
      <c r="U98" s="2"/>
      <c r="V98" s="6">
        <f t="shared" si="65"/>
        <v>5.0365739209560091E-4</v>
      </c>
      <c r="W98" s="2"/>
      <c r="X98" s="7">
        <f t="shared" si="66"/>
        <v>-39.650000000000091</v>
      </c>
      <c r="Y98" s="2"/>
      <c r="Z98" s="6">
        <f t="shared" si="67"/>
        <v>-1.8880952380952425E-2</v>
      </c>
    </row>
    <row r="99" spans="1:26" s="24" customFormat="1" hidden="1" outlineLevel="2" x14ac:dyDescent="0.35">
      <c r="A99" s="29"/>
      <c r="B99" s="11" t="str">
        <f>CONCATENATE("          ", "6275", " - ", "SUBSCRIPTIONS")</f>
        <v xml:space="preserve">          6275 - SUBSCRIPTIONS</v>
      </c>
      <c r="C99" s="11"/>
      <c r="D99" s="7">
        <v>1852.08</v>
      </c>
      <c r="E99" s="2"/>
      <c r="F99" s="6">
        <f t="shared" si="60"/>
        <v>1.872764970008489E-3</v>
      </c>
      <c r="G99" s="2"/>
      <c r="H99" s="7"/>
      <c r="I99" s="2"/>
      <c r="J99" s="6">
        <f t="shared" si="61"/>
        <v>0</v>
      </c>
      <c r="K99" s="2"/>
      <c r="L99" s="7">
        <f t="shared" si="62"/>
        <v>1852.08</v>
      </c>
      <c r="M99" s="2"/>
      <c r="N99" s="6">
        <f t="shared" si="63"/>
        <v>0</v>
      </c>
      <c r="O99" s="11"/>
      <c r="P99" s="7">
        <v>1852.08</v>
      </c>
      <c r="Q99" s="2"/>
      <c r="R99" s="6">
        <f t="shared" si="64"/>
        <v>7.2321242769535308E-4</v>
      </c>
      <c r="S99" s="2"/>
      <c r="T99" s="7"/>
      <c r="U99" s="2"/>
      <c r="V99" s="6">
        <f t="shared" si="65"/>
        <v>0</v>
      </c>
      <c r="W99" s="2"/>
      <c r="X99" s="7">
        <f t="shared" si="66"/>
        <v>1852.08</v>
      </c>
      <c r="Y99" s="2"/>
      <c r="Z99" s="6">
        <f t="shared" si="67"/>
        <v>0</v>
      </c>
    </row>
    <row r="100" spans="1:26" s="28" customFormat="1" outlineLevel="1" collapsed="1" x14ac:dyDescent="0.35">
      <c r="A100" s="27"/>
      <c r="B100" s="14" t="str">
        <f>CONCATENATE("     ","Supplies                                          ")</f>
        <v xml:space="preserve">     Supplies                                          </v>
      </c>
      <c r="C100" s="14"/>
      <c r="D100" s="1">
        <f>SUM(OSRRefD22_11x_0)</f>
        <v>2182.2599999999998</v>
      </c>
      <c r="E100" s="1"/>
      <c r="F100" s="5">
        <f t="shared" ref="F100:F103" si="68">IF(D$12=0,0,D100/D$12)</f>
        <v>2.2066325879285587E-3</v>
      </c>
      <c r="G100" s="1"/>
      <c r="H100" s="1">
        <f>SUM(OSRRefH22_11x_0)</f>
        <v>1800</v>
      </c>
      <c r="I100" s="1"/>
      <c r="J100" s="5">
        <f t="shared" ref="J100:J103" si="69">IF(H$12=0,0,H100/H$12)</f>
        <v>1.1772869944451675E-3</v>
      </c>
      <c r="K100" s="1"/>
      <c r="L100" s="1">
        <f t="shared" ref="L100:L103" si="70">+D100-H100</f>
        <v>382.25999999999976</v>
      </c>
      <c r="M100" s="1"/>
      <c r="N100" s="5">
        <f t="shared" ref="N100:N103" si="71">IF(H100=0,0,L100/H100)</f>
        <v>0.21236666666666654</v>
      </c>
      <c r="O100" s="14"/>
      <c r="P100" s="1">
        <f>SUM(OSRRefP22_11x_0)</f>
        <v>4251.8999999999996</v>
      </c>
      <c r="Q100" s="1"/>
      <c r="R100" s="5">
        <f t="shared" ref="R100:R103" si="72">IF(P$12=0,0,P100/P$12)</f>
        <v>1.6603099873212126E-3</v>
      </c>
      <c r="S100" s="1"/>
      <c r="T100" s="1">
        <f>SUM(OSRRefT22_11x_0)</f>
        <v>8400</v>
      </c>
      <c r="U100" s="1"/>
      <c r="V100" s="5">
        <f t="shared" ref="V100:V103" si="73">IF(T$12=0,0,T100/T$12)</f>
        <v>2.0146295683824036E-3</v>
      </c>
      <c r="W100" s="1"/>
      <c r="X100" s="1">
        <f t="shared" ref="X100:X103" si="74">+P100-T100</f>
        <v>-4148.1000000000004</v>
      </c>
      <c r="Y100" s="1"/>
      <c r="Z100" s="5">
        <f t="shared" ref="Z100:Z103" si="75">IF(T100=0,0,X100/T100)</f>
        <v>-0.49382142857142863</v>
      </c>
    </row>
    <row r="101" spans="1:26" s="24" customFormat="1" hidden="1" outlineLevel="2" x14ac:dyDescent="0.35">
      <c r="A101" s="29"/>
      <c r="B101" s="11" t="str">
        <f>CONCATENATE("          ", "6241", " - ", "OFFICE EXPENSE")</f>
        <v xml:space="preserve">          6241 - OFFICE EXPENSE</v>
      </c>
      <c r="C101" s="11"/>
      <c r="D101" s="7">
        <v>85.24</v>
      </c>
      <c r="E101" s="2"/>
      <c r="F101" s="6">
        <f t="shared" si="68"/>
        <v>8.6192003608658163E-5</v>
      </c>
      <c r="G101" s="2"/>
      <c r="H101" s="7">
        <v>500</v>
      </c>
      <c r="I101" s="2"/>
      <c r="J101" s="6">
        <f t="shared" si="69"/>
        <v>3.2702416512365767E-4</v>
      </c>
      <c r="K101" s="2"/>
      <c r="L101" s="7">
        <f t="shared" si="70"/>
        <v>-414.76</v>
      </c>
      <c r="M101" s="2"/>
      <c r="N101" s="6">
        <f t="shared" si="71"/>
        <v>-0.82952000000000004</v>
      </c>
      <c r="O101" s="11"/>
      <c r="P101" s="7">
        <v>1209.5999999999999</v>
      </c>
      <c r="Q101" s="2"/>
      <c r="R101" s="6">
        <f t="shared" si="72"/>
        <v>4.7233259499605796E-4</v>
      </c>
      <c r="S101" s="2"/>
      <c r="T101" s="7">
        <v>3100</v>
      </c>
      <c r="U101" s="2"/>
      <c r="V101" s="6">
        <f t="shared" si="73"/>
        <v>7.434942454744585E-4</v>
      </c>
      <c r="W101" s="2"/>
      <c r="X101" s="7">
        <f t="shared" si="74"/>
        <v>-1890.4</v>
      </c>
      <c r="Y101" s="2"/>
      <c r="Z101" s="6">
        <f t="shared" si="75"/>
        <v>-0.60980645161290326</v>
      </c>
    </row>
    <row r="102" spans="1:26" s="24" customFormat="1" hidden="1" outlineLevel="2" x14ac:dyDescent="0.35">
      <c r="A102" s="29"/>
      <c r="B102" s="11" t="str">
        <f>CONCATENATE("          ", "6245", " - ", "PRINTING")</f>
        <v xml:space="preserve">          6245 - PRINTING</v>
      </c>
      <c r="C102" s="11"/>
      <c r="D102" s="7"/>
      <c r="E102" s="2"/>
      <c r="F102" s="6">
        <f t="shared" si="68"/>
        <v>0</v>
      </c>
      <c r="G102" s="2"/>
      <c r="H102" s="7">
        <v>500</v>
      </c>
      <c r="I102" s="2"/>
      <c r="J102" s="6">
        <f t="shared" si="69"/>
        <v>3.2702416512365767E-4</v>
      </c>
      <c r="K102" s="2"/>
      <c r="L102" s="7">
        <f t="shared" si="70"/>
        <v>-500</v>
      </c>
      <c r="M102" s="2"/>
      <c r="N102" s="6">
        <f t="shared" si="71"/>
        <v>-1</v>
      </c>
      <c r="O102" s="11"/>
      <c r="P102" s="7"/>
      <c r="Q102" s="2"/>
      <c r="R102" s="6">
        <f t="shared" si="72"/>
        <v>0</v>
      </c>
      <c r="S102" s="2"/>
      <c r="T102" s="7">
        <v>1700</v>
      </c>
      <c r="U102" s="2"/>
      <c r="V102" s="6">
        <f t="shared" si="73"/>
        <v>4.0772265074405788E-4</v>
      </c>
      <c r="W102" s="2"/>
      <c r="X102" s="7">
        <f t="shared" si="74"/>
        <v>-1700</v>
      </c>
      <c r="Y102" s="2"/>
      <c r="Z102" s="6">
        <f t="shared" si="75"/>
        <v>-1</v>
      </c>
    </row>
    <row r="103" spans="1:26" s="24" customFormat="1" hidden="1" outlineLevel="2" x14ac:dyDescent="0.35">
      <c r="A103" s="29"/>
      <c r="B103" s="11" t="str">
        <f>CONCATENATE("          ", "6247", " - ", "STORE SUPPLIES")</f>
        <v xml:space="preserve">          6247 - STORE SUPPLIES</v>
      </c>
      <c r="C103" s="11"/>
      <c r="D103" s="7">
        <v>2097.02</v>
      </c>
      <c r="E103" s="2"/>
      <c r="F103" s="6">
        <f t="shared" si="68"/>
        <v>2.1204405843199005E-3</v>
      </c>
      <c r="G103" s="2"/>
      <c r="H103" s="7">
        <v>800</v>
      </c>
      <c r="I103" s="2"/>
      <c r="J103" s="6">
        <f t="shared" si="69"/>
        <v>5.2323866419785219E-4</v>
      </c>
      <c r="K103" s="2"/>
      <c r="L103" s="7">
        <f t="shared" si="70"/>
        <v>1297.02</v>
      </c>
      <c r="M103" s="2"/>
      <c r="N103" s="6">
        <f t="shared" si="71"/>
        <v>1.621275</v>
      </c>
      <c r="O103" s="11"/>
      <c r="P103" s="7">
        <v>3042.3</v>
      </c>
      <c r="Q103" s="2"/>
      <c r="R103" s="6">
        <f t="shared" si="72"/>
        <v>1.1879773923251548E-3</v>
      </c>
      <c r="S103" s="2"/>
      <c r="T103" s="7">
        <v>3600</v>
      </c>
      <c r="U103" s="2"/>
      <c r="V103" s="6">
        <f t="shared" si="73"/>
        <v>8.6341267216388719E-4</v>
      </c>
      <c r="W103" s="2"/>
      <c r="X103" s="7">
        <f t="shared" si="74"/>
        <v>-557.69999999999982</v>
      </c>
      <c r="Y103" s="2"/>
      <c r="Z103" s="6">
        <f t="shared" si="75"/>
        <v>-0.15491666666666662</v>
      </c>
    </row>
    <row r="104" spans="1:26" s="28" customFormat="1" outlineLevel="1" collapsed="1" x14ac:dyDescent="0.35">
      <c r="A104" s="27"/>
      <c r="B104" s="14" t="str">
        <f>CONCATENATE("     ","Telephone/Data Lines                              ")</f>
        <v xml:space="preserve">     Telephone/Data Lines                              </v>
      </c>
      <c r="C104" s="14"/>
      <c r="D104" s="1">
        <f>SUM(OSRRefD22_12x_0)</f>
        <v>1215.2</v>
      </c>
      <c r="E104" s="1"/>
      <c r="F104" s="5">
        <f t="shared" ref="F104:F106" si="76">IF(D$12=0,0,D104/D$12)</f>
        <v>1.2287719707325365E-3</v>
      </c>
      <c r="G104" s="1"/>
      <c r="H104" s="1">
        <f>SUM(OSRRefH22_12x_0)</f>
        <v>1100</v>
      </c>
      <c r="I104" s="1"/>
      <c r="J104" s="5">
        <f t="shared" ref="J104:J106" si="77">IF(H$12=0,0,H104/H$12)</f>
        <v>7.1945316327204681E-4</v>
      </c>
      <c r="K104" s="1"/>
      <c r="L104" s="1">
        <f t="shared" ref="L104:L106" si="78">+D104-H104</f>
        <v>115.20000000000005</v>
      </c>
      <c r="M104" s="1"/>
      <c r="N104" s="5">
        <f t="shared" ref="N104:N106" si="79">IF(H104=0,0,L104/H104)</f>
        <v>0.10472727272727277</v>
      </c>
      <c r="O104" s="14"/>
      <c r="P104" s="1">
        <f>SUM(OSRRefP22_12x_0)</f>
        <v>6257.7</v>
      </c>
      <c r="Q104" s="1"/>
      <c r="R104" s="5">
        <f t="shared" ref="R104:R106" si="80">IF(P$12=0,0,P104/P$12)</f>
        <v>2.4435480156306481E-3</v>
      </c>
      <c r="S104" s="1"/>
      <c r="T104" s="1">
        <f>SUM(OSRRefT22_12x_0)</f>
        <v>6500</v>
      </c>
      <c r="U104" s="1"/>
      <c r="V104" s="5">
        <f t="shared" ref="V104:V106" si="81">IF(T$12=0,0,T104/T$12)</f>
        <v>1.5589395469625743E-3</v>
      </c>
      <c r="W104" s="1"/>
      <c r="X104" s="1">
        <f t="shared" ref="X104:X106" si="82">+P104-T104</f>
        <v>-242.30000000000018</v>
      </c>
      <c r="Y104" s="1"/>
      <c r="Z104" s="5">
        <f t="shared" ref="Z104:Z106" si="83">IF(T104=0,0,X104/T104)</f>
        <v>-3.7276923076923103E-2</v>
      </c>
    </row>
    <row r="105" spans="1:26" s="24" customFormat="1" hidden="1" outlineLevel="2" x14ac:dyDescent="0.35">
      <c r="A105" s="29"/>
      <c r="B105" s="11" t="str">
        <f>CONCATENATE("          ", "6303", " - ", "DATA PHONE LINES")</f>
        <v xml:space="preserve">          6303 - DATA PHONE LINES</v>
      </c>
      <c r="C105" s="11"/>
      <c r="D105" s="7">
        <v>295</v>
      </c>
      <c r="E105" s="2"/>
      <c r="F105" s="6">
        <f t="shared" si="76"/>
        <v>2.9829470981410322E-4</v>
      </c>
      <c r="G105" s="2"/>
      <c r="H105" s="7">
        <v>300</v>
      </c>
      <c r="I105" s="2"/>
      <c r="J105" s="6">
        <f t="shared" si="77"/>
        <v>1.962144990741946E-4</v>
      </c>
      <c r="K105" s="2"/>
      <c r="L105" s="7">
        <f t="shared" si="78"/>
        <v>-5</v>
      </c>
      <c r="M105" s="2"/>
      <c r="N105" s="6">
        <f t="shared" si="79"/>
        <v>-1.6666666666666666E-2</v>
      </c>
      <c r="O105" s="11"/>
      <c r="P105" s="7">
        <v>2360</v>
      </c>
      <c r="Q105" s="2"/>
      <c r="R105" s="6">
        <f t="shared" si="80"/>
        <v>9.2154838309416078E-4</v>
      </c>
      <c r="S105" s="2"/>
      <c r="T105" s="7">
        <v>2100</v>
      </c>
      <c r="U105" s="2"/>
      <c r="V105" s="6">
        <f t="shared" si="81"/>
        <v>5.0365739209560091E-4</v>
      </c>
      <c r="W105" s="2"/>
      <c r="X105" s="7">
        <f t="shared" si="82"/>
        <v>260</v>
      </c>
      <c r="Y105" s="2"/>
      <c r="Z105" s="6">
        <f t="shared" si="83"/>
        <v>0.12380952380952381</v>
      </c>
    </row>
    <row r="106" spans="1:26" s="24" customFormat="1" hidden="1" outlineLevel="2" x14ac:dyDescent="0.35">
      <c r="A106" s="29"/>
      <c r="B106" s="11" t="str">
        <f>CONCATENATE("          ", "6309", " - ", "TELEPHONE")</f>
        <v xml:space="preserve">          6309 - TELEPHONE</v>
      </c>
      <c r="C106" s="11"/>
      <c r="D106" s="7">
        <v>920.2</v>
      </c>
      <c r="E106" s="2"/>
      <c r="F106" s="6">
        <f t="shared" si="76"/>
        <v>9.3047726091843321E-4</v>
      </c>
      <c r="G106" s="2"/>
      <c r="H106" s="7">
        <v>800</v>
      </c>
      <c r="I106" s="2"/>
      <c r="J106" s="6">
        <f t="shared" si="77"/>
        <v>5.2323866419785219E-4</v>
      </c>
      <c r="K106" s="2"/>
      <c r="L106" s="7">
        <f t="shared" si="78"/>
        <v>120.20000000000005</v>
      </c>
      <c r="M106" s="2"/>
      <c r="N106" s="6">
        <f t="shared" si="79"/>
        <v>0.15025000000000005</v>
      </c>
      <c r="O106" s="11"/>
      <c r="P106" s="7">
        <v>3897.7</v>
      </c>
      <c r="Q106" s="2"/>
      <c r="R106" s="6">
        <f t="shared" si="80"/>
        <v>1.5219996325364874E-3</v>
      </c>
      <c r="S106" s="2"/>
      <c r="T106" s="7">
        <v>4400</v>
      </c>
      <c r="U106" s="2"/>
      <c r="V106" s="6">
        <f t="shared" si="81"/>
        <v>1.0552821548669732E-3</v>
      </c>
      <c r="W106" s="2"/>
      <c r="X106" s="7">
        <f t="shared" si="82"/>
        <v>-502.30000000000018</v>
      </c>
      <c r="Y106" s="2"/>
      <c r="Z106" s="6">
        <f t="shared" si="83"/>
        <v>-0.11415909090909095</v>
      </c>
    </row>
    <row r="107" spans="1:26" s="28" customFormat="1" outlineLevel="1" collapsed="1" x14ac:dyDescent="0.35">
      <c r="A107" s="27"/>
      <c r="B107" s="14" t="str">
        <f>CONCATENATE("     ","Travel                                            ")</f>
        <v xml:space="preserve">     Travel                                            </v>
      </c>
      <c r="C107" s="14"/>
      <c r="D107" s="1">
        <f>SUM(OSRRefD22_13x_0)</f>
        <v>0</v>
      </c>
      <c r="E107" s="1"/>
      <c r="F107" s="5">
        <f t="shared" ref="F107:F108" si="84">IF(D$12=0,0,D107/D$12)</f>
        <v>0</v>
      </c>
      <c r="G107" s="1"/>
      <c r="H107" s="1">
        <f>SUM(OSRRefH22_13x_0)</f>
        <v>0</v>
      </c>
      <c r="I107" s="1"/>
      <c r="J107" s="5">
        <f t="shared" ref="J107:J108" si="85">IF(H$12=0,0,H107/H$12)</f>
        <v>0</v>
      </c>
      <c r="K107" s="1"/>
      <c r="L107" s="1">
        <f t="shared" ref="L107:L108" si="86">+D107-H107</f>
        <v>0</v>
      </c>
      <c r="M107" s="1"/>
      <c r="N107" s="5">
        <f t="shared" ref="N107:N108" si="87">IF(H107=0,0,L107/H107)</f>
        <v>0</v>
      </c>
      <c r="O107" s="14"/>
      <c r="P107" s="1">
        <f>SUM(OSRRefP22_13x_0)</f>
        <v>0.16</v>
      </c>
      <c r="Q107" s="1"/>
      <c r="R107" s="5">
        <f t="shared" ref="R107:R108" si="88">IF(P$12=0,0,P107/P$12)</f>
        <v>6.2477856480960057E-8</v>
      </c>
      <c r="S107" s="1"/>
      <c r="T107" s="1">
        <f>SUM(OSRRefT22_13x_0)</f>
        <v>0</v>
      </c>
      <c r="U107" s="1"/>
      <c r="V107" s="5">
        <f t="shared" ref="V107:V108" si="89">IF(T$12=0,0,T107/T$12)</f>
        <v>0</v>
      </c>
      <c r="W107" s="1"/>
      <c r="X107" s="1">
        <f t="shared" ref="X107:X108" si="90">+P107-T107</f>
        <v>0.16</v>
      </c>
      <c r="Y107" s="1"/>
      <c r="Z107" s="5">
        <f t="shared" ref="Z107:Z108" si="91">IF(T107=0,0,X107/T107)</f>
        <v>0</v>
      </c>
    </row>
    <row r="108" spans="1:26" s="24" customFormat="1" hidden="1" outlineLevel="2" x14ac:dyDescent="0.35">
      <c r="A108" s="29"/>
      <c r="B108" s="11" t="str">
        <f>CONCATENATE("          ", "6292", " - ", "TRAVEL/CONFERENCE")</f>
        <v xml:space="preserve">          6292 - TRAVEL/CONFERENCE</v>
      </c>
      <c r="C108" s="11"/>
      <c r="D108" s="7"/>
      <c r="E108" s="2"/>
      <c r="F108" s="6">
        <f t="shared" si="84"/>
        <v>0</v>
      </c>
      <c r="G108" s="2"/>
      <c r="H108" s="7"/>
      <c r="I108" s="2"/>
      <c r="J108" s="6">
        <f t="shared" si="85"/>
        <v>0</v>
      </c>
      <c r="K108" s="2"/>
      <c r="L108" s="7">
        <f t="shared" si="86"/>
        <v>0</v>
      </c>
      <c r="M108" s="2"/>
      <c r="N108" s="6">
        <f t="shared" si="87"/>
        <v>0</v>
      </c>
      <c r="O108" s="11"/>
      <c r="P108" s="7">
        <v>0.16</v>
      </c>
      <c r="Q108" s="2"/>
      <c r="R108" s="6">
        <f t="shared" si="88"/>
        <v>6.2477856480960057E-8</v>
      </c>
      <c r="S108" s="2"/>
      <c r="T108" s="7"/>
      <c r="U108" s="2"/>
      <c r="V108" s="6">
        <f t="shared" si="89"/>
        <v>0</v>
      </c>
      <c r="W108" s="2"/>
      <c r="X108" s="7">
        <f t="shared" si="90"/>
        <v>0.16</v>
      </c>
      <c r="Y108" s="2"/>
      <c r="Z108" s="6">
        <f t="shared" si="91"/>
        <v>0</v>
      </c>
    </row>
    <row r="109" spans="1:26" s="55" customFormat="1" x14ac:dyDescent="0.35">
      <c r="A109" s="36"/>
      <c r="B109" s="36"/>
      <c r="C109" s="36"/>
      <c r="D109" s="1"/>
      <c r="E109" s="1"/>
      <c r="F109" s="5"/>
      <c r="G109" s="1"/>
      <c r="H109" s="1"/>
      <c r="I109" s="1"/>
      <c r="J109" s="5"/>
      <c r="K109" s="1"/>
      <c r="L109" s="1"/>
      <c r="M109" s="1"/>
      <c r="N109" s="5"/>
      <c r="O109" s="36"/>
      <c r="P109" s="1"/>
      <c r="Q109" s="1"/>
      <c r="R109" s="5"/>
      <c r="S109" s="1"/>
      <c r="T109" s="1"/>
      <c r="U109" s="1"/>
      <c r="V109" s="5"/>
      <c r="W109" s="1"/>
      <c r="X109" s="1"/>
      <c r="Y109" s="1"/>
      <c r="Z109" s="5"/>
    </row>
    <row r="110" spans="1:26" s="23" customFormat="1" collapsed="1" x14ac:dyDescent="0.35">
      <c r="A110" s="10"/>
      <c r="B110" s="25" t="s">
        <v>0</v>
      </c>
      <c r="C110" s="10"/>
      <c r="D110" s="4">
        <f>SUM(OSRRefD25x_0)</f>
        <v>7055.88</v>
      </c>
      <c r="E110" s="4"/>
      <c r="F110" s="12">
        <f t="shared" ref="F110:F113" si="92">IF(D$12=0,0,D110/D$12)</f>
        <v>7.1346836511292696E-3</v>
      </c>
      <c r="G110" s="4"/>
      <c r="H110" s="4">
        <f>SUM(OSRRefH25x_0)</f>
        <v>6500</v>
      </c>
      <c r="I110" s="4"/>
      <c r="J110" s="12">
        <f t="shared" ref="J110:J113" si="93">IF(H$12=0,0,H110/H$12)</f>
        <v>4.2513141466075498E-3</v>
      </c>
      <c r="K110" s="4"/>
      <c r="L110" s="4">
        <f t="shared" ref="L110:L113" si="94">+D110-H110</f>
        <v>555.88000000000011</v>
      </c>
      <c r="M110" s="4"/>
      <c r="N110" s="12">
        <f t="shared" ref="N110:N113" si="95">IF(H110=0,0,L110/H110)</f>
        <v>8.5520000000000013E-2</v>
      </c>
      <c r="O110" s="10"/>
      <c r="P110" s="4">
        <f>SUM(OSRRefP25x_0)</f>
        <v>180821.69000000003</v>
      </c>
      <c r="Q110" s="4"/>
      <c r="R110" s="12">
        <f t="shared" ref="R110:R113" si="96">IF(P$12=0,0,P110/P$12)</f>
        <v>7.0608447477904068E-2</v>
      </c>
      <c r="S110" s="4"/>
      <c r="T110" s="4">
        <f>SUM(OSRRefT25x_0)</f>
        <v>114759</v>
      </c>
      <c r="U110" s="4"/>
      <c r="V110" s="12">
        <f t="shared" ref="V110:V113" si="97">IF(T$12=0,0,T110/T$12)</f>
        <v>2.7523437456904314E-2</v>
      </c>
      <c r="W110" s="4"/>
      <c r="X110" s="4">
        <f t="shared" ref="X110:X113" si="98">+P110-T110</f>
        <v>66062.690000000031</v>
      </c>
      <c r="Y110" s="4"/>
      <c r="Z110" s="12">
        <f t="shared" ref="Z110:Z113" si="99">IF(T110=0,0,X110/T110)</f>
        <v>0.57566456661351206</v>
      </c>
    </row>
    <row r="111" spans="1:26" s="24" customFormat="1" hidden="1" outlineLevel="1" x14ac:dyDescent="0.35">
      <c r="A111" s="51"/>
      <c r="B111" s="11" t="str">
        <f>CONCATENATE("          ", "9150", " - ", "MISC. INCOME")</f>
        <v xml:space="preserve">          9150 - MISC. INCOME</v>
      </c>
      <c r="C111" s="11"/>
      <c r="D111" s="2">
        <f>--4937.55</f>
        <v>4937.55</v>
      </c>
      <c r="E111" s="2"/>
      <c r="F111" s="22">
        <f t="shared" si="92"/>
        <v>4.9926950659072043E-3</v>
      </c>
      <c r="G111" s="2"/>
      <c r="H111" s="2">
        <v>6500</v>
      </c>
      <c r="I111" s="2"/>
      <c r="J111" s="22">
        <f t="shared" si="93"/>
        <v>4.2513141466075498E-3</v>
      </c>
      <c r="K111" s="2"/>
      <c r="L111" s="2">
        <f t="shared" si="94"/>
        <v>-1562.4499999999998</v>
      </c>
      <c r="M111" s="2"/>
      <c r="N111" s="22">
        <f t="shared" si="95"/>
        <v>-0.24037692307692304</v>
      </c>
      <c r="O111" s="11"/>
      <c r="P111" s="2">
        <f>--28332.04</f>
        <v>28332.04</v>
      </c>
      <c r="Q111" s="2"/>
      <c r="R111" s="22">
        <f t="shared" si="96"/>
        <v>1.1063282055830122E-2</v>
      </c>
      <c r="S111" s="2"/>
      <c r="T111" s="2">
        <v>22500</v>
      </c>
      <c r="U111" s="2"/>
      <c r="V111" s="22">
        <f t="shared" si="97"/>
        <v>5.3963292010242954E-3</v>
      </c>
      <c r="W111" s="2"/>
      <c r="X111" s="2">
        <f t="shared" si="98"/>
        <v>5832.0400000000009</v>
      </c>
      <c r="Y111" s="2"/>
      <c r="Z111" s="22">
        <f t="shared" si="99"/>
        <v>0.25920177777777781</v>
      </c>
    </row>
    <row r="112" spans="1:26" s="24" customFormat="1" hidden="1" outlineLevel="1" x14ac:dyDescent="0.35">
      <c r="A112" s="51"/>
      <c r="B112" s="11" t="str">
        <f>CONCATENATE("          ", "9151", " - ", "MISC. INCOME")</f>
        <v xml:space="preserve">          9151 - MISC. INCOME</v>
      </c>
      <c r="C112" s="11"/>
      <c r="D112" s="2">
        <f>--1972</f>
        <v>1972</v>
      </c>
      <c r="E112" s="2"/>
      <c r="F112" s="22">
        <f t="shared" si="92"/>
        <v>1.9940242974691917E-3</v>
      </c>
      <c r="G112" s="2"/>
      <c r="H112" s="2"/>
      <c r="I112" s="2"/>
      <c r="J112" s="22">
        <f t="shared" si="93"/>
        <v>0</v>
      </c>
      <c r="K112" s="2"/>
      <c r="L112" s="2">
        <f t="shared" si="94"/>
        <v>1972</v>
      </c>
      <c r="M112" s="2"/>
      <c r="N112" s="22">
        <f t="shared" si="95"/>
        <v>0</v>
      </c>
      <c r="O112" s="11"/>
      <c r="P112" s="2">
        <f>--149257.39</f>
        <v>149257.39000000001</v>
      </c>
      <c r="Q112" s="2"/>
      <c r="R112" s="22">
        <f t="shared" si="96"/>
        <v>5.8283011194641771E-2</v>
      </c>
      <c r="S112" s="2"/>
      <c r="T112" s="2">
        <v>92259</v>
      </c>
      <c r="U112" s="2"/>
      <c r="V112" s="22">
        <f t="shared" si="97"/>
        <v>2.2127108255880022E-2</v>
      </c>
      <c r="W112" s="2"/>
      <c r="X112" s="2">
        <f t="shared" si="98"/>
        <v>56998.390000000014</v>
      </c>
      <c r="Y112" s="2"/>
      <c r="Z112" s="22">
        <f t="shared" si="99"/>
        <v>0.6178084522919175</v>
      </c>
    </row>
    <row r="113" spans="1:26" s="24" customFormat="1" hidden="1" outlineLevel="1" x14ac:dyDescent="0.35">
      <c r="A113" s="51"/>
      <c r="B113" s="11" t="str">
        <f>CONCATENATE("          ", "9152", " - ", "MISC. INCOME")</f>
        <v xml:space="preserve">          9152 - MISC. INCOME</v>
      </c>
      <c r="C113" s="11"/>
      <c r="D113" s="2">
        <f>--146.33</f>
        <v>146.33000000000001</v>
      </c>
      <c r="E113" s="2"/>
      <c r="F113" s="22">
        <f t="shared" si="92"/>
        <v>1.4796428775287366E-4</v>
      </c>
      <c r="G113" s="2"/>
      <c r="H113" s="2"/>
      <c r="I113" s="2"/>
      <c r="J113" s="22">
        <f t="shared" si="93"/>
        <v>0</v>
      </c>
      <c r="K113" s="2"/>
      <c r="L113" s="2">
        <f t="shared" si="94"/>
        <v>146.33000000000001</v>
      </c>
      <c r="M113" s="2"/>
      <c r="N113" s="22">
        <f t="shared" si="95"/>
        <v>0</v>
      </c>
      <c r="O113" s="11"/>
      <c r="P113" s="2">
        <f>--3232.26</f>
        <v>3232.26</v>
      </c>
      <c r="Q113" s="2"/>
      <c r="R113" s="22">
        <f t="shared" si="96"/>
        <v>1.2621542274321748E-3</v>
      </c>
      <c r="S113" s="2"/>
      <c r="T113" s="2"/>
      <c r="U113" s="2"/>
      <c r="V113" s="22">
        <f t="shared" si="97"/>
        <v>0</v>
      </c>
      <c r="W113" s="2"/>
      <c r="X113" s="2">
        <f t="shared" si="98"/>
        <v>3232.26</v>
      </c>
      <c r="Y113" s="2"/>
      <c r="Z113" s="22">
        <f t="shared" si="99"/>
        <v>0</v>
      </c>
    </row>
    <row r="114" spans="1:26" x14ac:dyDescent="0.3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35">
      <c r="A115" s="10"/>
      <c r="B115" s="26" t="s">
        <v>3</v>
      </c>
      <c r="C115" s="26"/>
      <c r="D115" s="19">
        <f>+D52-D54+D110</f>
        <v>250252.83000000005</v>
      </c>
      <c r="E115" s="13"/>
      <c r="F115" s="21">
        <f>IF(D$12=0,0,D115/D$12)</f>
        <v>0.25304778069494277</v>
      </c>
      <c r="G115" s="13"/>
      <c r="H115" s="19">
        <f>+H52-H54+H110</f>
        <v>331940.88033317309</v>
      </c>
      <c r="I115" s="13"/>
      <c r="J115" s="21">
        <f>IF(H$12=0,0,H115/H$12)</f>
        <v>0.21710537852273576</v>
      </c>
      <c r="K115" s="16"/>
      <c r="L115" s="19">
        <f>+D115-H115</f>
        <v>-81688.050333173043</v>
      </c>
      <c r="M115" s="16"/>
      <c r="N115" s="21">
        <f>IF(H115=0,0,L115/H115)</f>
        <v>-0.24609216632546663</v>
      </c>
      <c r="O115" s="25"/>
      <c r="P115" s="19">
        <f>+P52-P54+P110</f>
        <v>609162.44999999949</v>
      </c>
      <c r="Q115" s="13"/>
      <c r="R115" s="21">
        <f>IF(P$12=0,0,P115/P$12)</f>
        <v>0.23786977577931231</v>
      </c>
      <c r="S115" s="13"/>
      <c r="T115" s="19">
        <f>+T52-T54+T110</f>
        <v>847243.87010307307</v>
      </c>
      <c r="U115" s="13"/>
      <c r="V115" s="21">
        <f>IF(T$12=0,0,T115/T$12)</f>
        <v>0.20320030385004659</v>
      </c>
      <c r="W115" s="16"/>
      <c r="X115" s="19">
        <f>+P115-T115</f>
        <v>-238081.42010307359</v>
      </c>
      <c r="Y115" s="16"/>
      <c r="Z115" s="21">
        <f>IF(T115=0,0,X115/T115)</f>
        <v>-0.28100695502713918</v>
      </c>
    </row>
    <row r="116" spans="1:26" x14ac:dyDescent="0.35">
      <c r="A116" s="9"/>
      <c r="B116" s="10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35">
      <c r="A117" s="52"/>
      <c r="B117" s="10" t="s">
        <v>14</v>
      </c>
      <c r="C117" s="10"/>
      <c r="D117" s="4">
        <v>179764.56</v>
      </c>
      <c r="E117" s="4"/>
      <c r="F117" s="12">
        <f>IF(D$12=0,0,D117/D$12)</f>
        <v>0.18177226189850829</v>
      </c>
      <c r="G117" s="4"/>
      <c r="H117" s="4">
        <v>222692</v>
      </c>
      <c r="I117" s="4"/>
      <c r="J117" s="12">
        <f>IF(H$12=0,0,H117/H$12)</f>
        <v>0.14565133075943515</v>
      </c>
      <c r="K117" s="4"/>
      <c r="L117" s="4">
        <f>+D117-H117</f>
        <v>-42927.44</v>
      </c>
      <c r="M117" s="4"/>
      <c r="N117" s="12">
        <f>IF(H117=0,0,L117/H117)</f>
        <v>-0.1927659727336411</v>
      </c>
      <c r="O117" s="10"/>
      <c r="P117" s="4">
        <v>464872.43</v>
      </c>
      <c r="Q117" s="4"/>
      <c r="R117" s="12">
        <f>IF(P$12=0,0,P117/P$12)</f>
        <v>0.18152645602184467</v>
      </c>
      <c r="S117" s="4"/>
      <c r="T117" s="4">
        <v>723583</v>
      </c>
      <c r="U117" s="4"/>
      <c r="V117" s="12">
        <f>IF(T$12=0,0,T117/T$12)</f>
        <v>0.1735418698784339</v>
      </c>
      <c r="W117" s="4"/>
      <c r="X117" s="4">
        <f>+P117-T117</f>
        <v>-258710.57</v>
      </c>
      <c r="Y117" s="4"/>
      <c r="Z117" s="12">
        <f>IF(T117=0,0,X117/T117)</f>
        <v>-0.35754097318483158</v>
      </c>
    </row>
    <row r="118" spans="1:26" x14ac:dyDescent="0.3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" thickBot="1" x14ac:dyDescent="0.4">
      <c r="A119" s="10"/>
      <c r="B119" s="26" t="s">
        <v>4</v>
      </c>
      <c r="C119" s="26"/>
      <c r="D119" s="33">
        <f>+D115-D117</f>
        <v>70488.270000000048</v>
      </c>
      <c r="E119" s="13"/>
      <c r="F119" s="31">
        <f>IF(D$12=0,0,D119/D$12)</f>
        <v>7.1275518796434484E-2</v>
      </c>
      <c r="G119" s="13"/>
      <c r="H119" s="33">
        <f>+H115-H117</f>
        <v>109248.88033317309</v>
      </c>
      <c r="I119" s="13"/>
      <c r="J119" s="31">
        <f>IF(H$12=0,0,H119/H$12)</f>
        <v>7.1454047763300624E-2</v>
      </c>
      <c r="K119" s="16"/>
      <c r="L119" s="33">
        <f>D119-H119</f>
        <v>-38760.610333173041</v>
      </c>
      <c r="M119" s="16"/>
      <c r="N119" s="31">
        <f>IF(H119=0,0,L119/H119)</f>
        <v>-0.3547918314125138</v>
      </c>
      <c r="O119" s="25"/>
      <c r="P119" s="33">
        <f>+P115-P117</f>
        <v>144290.01999999949</v>
      </c>
      <c r="Q119" s="13"/>
      <c r="R119" s="31">
        <f>IF(P$12=0,0,P119/P$12)</f>
        <v>5.6343319757467647E-2</v>
      </c>
      <c r="S119" s="13"/>
      <c r="T119" s="33">
        <f>+T115-T117</f>
        <v>123660.87010307307</v>
      </c>
      <c r="U119" s="13"/>
      <c r="V119" s="31">
        <f>IF(T$12=0,0,T119/T$12)</f>
        <v>2.9658433971612688E-2</v>
      </c>
      <c r="W119" s="16"/>
      <c r="X119" s="33">
        <f>P119-T119</f>
        <v>20629.149896926421</v>
      </c>
      <c r="Y119" s="16"/>
      <c r="Z119" s="31">
        <f>IF(T119=0,0,X119/T119)</f>
        <v>0.16682035214317784</v>
      </c>
    </row>
    <row r="120" spans="1:26" ht="15" thickTop="1" x14ac:dyDescent="0.3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x14ac:dyDescent="0.35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" thickBot="1" x14ac:dyDescent="0.4">
      <c r="A122" s="10"/>
      <c r="B122" s="26" t="s">
        <v>5</v>
      </c>
      <c r="C122" s="26"/>
      <c r="D122" s="34">
        <f>SUM(D119:D121)</f>
        <v>70488.270000000048</v>
      </c>
      <c r="E122" s="13"/>
      <c r="F122" s="32">
        <f>IF(D$12=0,0,D122/D$12)</f>
        <v>7.1275518796434484E-2</v>
      </c>
      <c r="G122" s="13"/>
      <c r="H122" s="34">
        <f>SUM(H119:H121)</f>
        <v>109248.88033317309</v>
      </c>
      <c r="I122" s="13"/>
      <c r="J122" s="32">
        <f>IF(H$12=0,0,H122/H$12)</f>
        <v>7.1454047763300624E-2</v>
      </c>
      <c r="K122" s="16"/>
      <c r="L122" s="34">
        <f>+D122-H122</f>
        <v>-38760.610333173041</v>
      </c>
      <c r="M122" s="16"/>
      <c r="N122" s="32">
        <f>IF(H122=0,0,L122/H122)</f>
        <v>-0.3547918314125138</v>
      </c>
      <c r="O122" s="25"/>
      <c r="P122" s="34">
        <f>SUM(P119:P121)</f>
        <v>144290.01999999949</v>
      </c>
      <c r="Q122" s="13"/>
      <c r="R122" s="32">
        <f>IF(P$12=0,0,P122/P$12)</f>
        <v>5.6343319757467647E-2</v>
      </c>
      <c r="S122" s="13"/>
      <c r="T122" s="34">
        <f>SUM(T119:T121)</f>
        <v>123660.87010307307</v>
      </c>
      <c r="U122" s="13"/>
      <c r="V122" s="32">
        <f>IF(T$12=0,0,T122/T$12)</f>
        <v>2.9658433971612688E-2</v>
      </c>
      <c r="W122" s="16"/>
      <c r="X122" s="34">
        <f>+P122-T122</f>
        <v>20629.149896926421</v>
      </c>
      <c r="Y122" s="16"/>
      <c r="Z122" s="32">
        <f>IF(T122=0,0,X122/T122)</f>
        <v>0.16682035214317784</v>
      </c>
    </row>
    <row r="123" spans="1:26" ht="15" thickTop="1" x14ac:dyDescent="0.35">
      <c r="A123" s="9"/>
      <c r="C123" s="9"/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  <row r="124" spans="1:26" x14ac:dyDescent="0.35">
      <c r="A124" s="9"/>
      <c r="B124" s="60">
        <v>44238.490127928242</v>
      </c>
      <c r="D124" s="18"/>
      <c r="E124" s="18"/>
      <c r="G124" s="18"/>
      <c r="H124" s="18"/>
      <c r="I124" s="18"/>
      <c r="J124" s="43"/>
      <c r="K124" s="18"/>
      <c r="L124" s="18"/>
      <c r="M124" s="18"/>
      <c r="P124" s="18"/>
      <c r="Q124" s="18"/>
      <c r="R124" s="43"/>
      <c r="S124" s="18"/>
      <c r="T124" s="18"/>
      <c r="U124" s="18"/>
      <c r="V124" s="43"/>
      <c r="W124" s="18"/>
      <c r="X124" s="18"/>
    </row>
    <row r="125" spans="1:26" x14ac:dyDescent="0.35">
      <c r="A125" s="9"/>
      <c r="B125" s="59" t="s">
        <v>314</v>
      </c>
      <c r="D125" s="18"/>
      <c r="E125" s="18"/>
      <c r="G125" s="18"/>
      <c r="H125" s="18"/>
      <c r="I125" s="18"/>
      <c r="J125" s="43"/>
      <c r="K125" s="18"/>
      <c r="L125" s="18"/>
      <c r="M125" s="18"/>
      <c r="P125" s="18"/>
      <c r="Q125" s="18"/>
      <c r="R125" s="43"/>
      <c r="S125" s="18"/>
      <c r="T125" s="18"/>
      <c r="U125" s="18"/>
      <c r="V125" s="43"/>
      <c r="W125" s="18"/>
      <c r="X125" s="18"/>
    </row>
    <row r="126" spans="1:26" x14ac:dyDescent="0.35">
      <c r="A126" s="9"/>
      <c r="B126" s="58"/>
      <c r="D126" s="18"/>
      <c r="E126" s="18"/>
      <c r="G126" s="18"/>
      <c r="H126" s="18"/>
      <c r="I126" s="18"/>
      <c r="J126" s="43"/>
      <c r="K126" s="18"/>
      <c r="L126" s="18"/>
      <c r="M126" s="18"/>
      <c r="P126" s="18"/>
      <c r="Q126" s="18"/>
      <c r="R126" s="43"/>
      <c r="S126" s="18"/>
      <c r="T126" s="18"/>
      <c r="U126" s="18"/>
      <c r="V126" s="43"/>
      <c r="W126" s="18"/>
      <c r="X126" s="18"/>
    </row>
    <row r="127" spans="1:26" x14ac:dyDescent="0.35">
      <c r="D127" s="18"/>
      <c r="E127" s="18"/>
      <c r="G127" s="18"/>
      <c r="H127" s="18"/>
      <c r="I127" s="18"/>
      <c r="J127" s="43"/>
      <c r="K127" s="18"/>
      <c r="L127" s="18"/>
      <c r="M127" s="18"/>
      <c r="P127" s="18"/>
      <c r="Q127" s="18"/>
      <c r="R127" s="43"/>
      <c r="S127" s="18"/>
      <c r="T127" s="18"/>
      <c r="U127" s="18"/>
      <c r="V127" s="43"/>
      <c r="W127" s="18"/>
      <c r="X127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","311", " - ", "Textbooks")</f>
        <v>Department 311 - Textbooks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707881.4800000001</v>
      </c>
      <c r="E12" s="4"/>
      <c r="F12" s="12"/>
      <c r="G12" s="4"/>
      <c r="H12" s="4">
        <f>SUM(OSRRefH13x_0)</f>
        <v>983617</v>
      </c>
      <c r="I12" s="4"/>
      <c r="J12" s="12"/>
      <c r="K12" s="4"/>
      <c r="L12" s="4">
        <f t="shared" ref="L12:L32" si="0">+D12-H12</f>
        <v>-275735.5199999999</v>
      </c>
      <c r="M12" s="4"/>
      <c r="N12" s="12">
        <f t="shared" ref="N12:N32" si="1">IF(H12=0,0,L12/H12)</f>
        <v>-0.28032813584962429</v>
      </c>
      <c r="O12" s="10"/>
      <c r="P12" s="4">
        <f>SUM(OSRRefP13x_0)</f>
        <v>1803635.5499999996</v>
      </c>
      <c r="Q12" s="4"/>
      <c r="R12" s="12"/>
      <c r="S12" s="4"/>
      <c r="T12" s="4">
        <f>SUM(OSRRefT13x_0)</f>
        <v>2811506</v>
      </c>
      <c r="U12" s="4"/>
      <c r="V12" s="12"/>
      <c r="W12" s="4"/>
      <c r="X12" s="4">
        <f t="shared" ref="X12:X32" si="2">+P12-T12</f>
        <v>-1007870.4500000004</v>
      </c>
      <c r="Y12" s="4"/>
      <c r="Z12" s="12">
        <f t="shared" ref="Z12:Z32" si="3">IF(T12=0,0,X12/T12)</f>
        <v>-0.35848063279964559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>-835.3</f>
        <v>-835.3</v>
      </c>
      <c r="E13" s="2"/>
      <c r="F13" s="22"/>
      <c r="G13" s="2"/>
      <c r="H13" s="2">
        <v>983617</v>
      </c>
      <c r="I13" s="2"/>
      <c r="J13" s="22"/>
      <c r="K13" s="2"/>
      <c r="L13" s="2">
        <f t="shared" si="0"/>
        <v>-984452.3</v>
      </c>
      <c r="M13" s="2"/>
      <c r="N13" s="22">
        <f t="shared" si="1"/>
        <v>-1.000849212650859</v>
      </c>
      <c r="O13" s="11"/>
      <c r="P13" s="2">
        <f>-7761.03</f>
        <v>-7761.03</v>
      </c>
      <c r="Q13" s="2"/>
      <c r="R13" s="22"/>
      <c r="S13" s="2"/>
      <c r="T13" s="2">
        <v>2811506</v>
      </c>
      <c r="U13" s="2"/>
      <c r="V13" s="22"/>
      <c r="W13" s="2"/>
      <c r="X13" s="2">
        <f t="shared" si="2"/>
        <v>-2819267.03</v>
      </c>
      <c r="Y13" s="2"/>
      <c r="Z13" s="22">
        <f t="shared" si="3"/>
        <v>-1.0027604529387453</v>
      </c>
    </row>
    <row r="14" spans="1:26" s="24" customFormat="1" hidden="1" outlineLevel="1" x14ac:dyDescent="0.3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--378754.92</f>
        <v>378754.92</v>
      </c>
      <c r="E14" s="2"/>
      <c r="F14" s="22"/>
      <c r="G14" s="2"/>
      <c r="H14" s="2"/>
      <c r="I14" s="2"/>
      <c r="J14" s="22"/>
      <c r="K14" s="2"/>
      <c r="L14" s="2">
        <f t="shared" si="0"/>
        <v>378754.92</v>
      </c>
      <c r="M14" s="2"/>
      <c r="N14" s="22">
        <f t="shared" si="1"/>
        <v>0</v>
      </c>
      <c r="O14" s="11"/>
      <c r="P14" s="2">
        <f>--933601.72</f>
        <v>933601.72</v>
      </c>
      <c r="Q14" s="2"/>
      <c r="R14" s="22"/>
      <c r="S14" s="2"/>
      <c r="T14" s="2"/>
      <c r="U14" s="2"/>
      <c r="V14" s="22"/>
      <c r="W14" s="2"/>
      <c r="X14" s="2">
        <f t="shared" si="2"/>
        <v>933601.72</v>
      </c>
      <c r="Y14" s="2"/>
      <c r="Z14" s="22">
        <f t="shared" si="3"/>
        <v>0</v>
      </c>
    </row>
    <row r="15" spans="1:26" s="24" customFormat="1" hidden="1" outlineLevel="1" x14ac:dyDescent="0.3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--151517.66</f>
        <v>151517.66</v>
      </c>
      <c r="E15" s="2"/>
      <c r="F15" s="22"/>
      <c r="G15" s="2"/>
      <c r="H15" s="2"/>
      <c r="I15" s="2"/>
      <c r="J15" s="22"/>
      <c r="K15" s="2"/>
      <c r="L15" s="2">
        <f t="shared" si="0"/>
        <v>151517.66</v>
      </c>
      <c r="M15" s="2"/>
      <c r="N15" s="22">
        <f t="shared" si="1"/>
        <v>0</v>
      </c>
      <c r="O15" s="11"/>
      <c r="P15" s="2">
        <f>--340180.21</f>
        <v>340180.21</v>
      </c>
      <c r="Q15" s="2"/>
      <c r="R15" s="22"/>
      <c r="S15" s="2"/>
      <c r="T15" s="2"/>
      <c r="U15" s="2"/>
      <c r="V15" s="22"/>
      <c r="W15" s="2"/>
      <c r="X15" s="2">
        <f t="shared" si="2"/>
        <v>340180.21</v>
      </c>
      <c r="Y15" s="2"/>
      <c r="Z15" s="22">
        <f t="shared" si="3"/>
        <v>0</v>
      </c>
    </row>
    <row r="16" spans="1:26" s="24" customFormat="1" hidden="1" outlineLevel="1" x14ac:dyDescent="0.3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--7222.26</f>
        <v>7222.26</v>
      </c>
      <c r="E16" s="2"/>
      <c r="F16" s="22"/>
      <c r="G16" s="2"/>
      <c r="H16" s="2"/>
      <c r="I16" s="2"/>
      <c r="J16" s="22"/>
      <c r="K16" s="2"/>
      <c r="L16" s="2">
        <f t="shared" si="0"/>
        <v>7222.26</v>
      </c>
      <c r="M16" s="2"/>
      <c r="N16" s="22">
        <f t="shared" si="1"/>
        <v>0</v>
      </c>
      <c r="O16" s="11"/>
      <c r="P16" s="2">
        <f>--17887.89</f>
        <v>17887.89</v>
      </c>
      <c r="Q16" s="2"/>
      <c r="R16" s="22"/>
      <c r="S16" s="2"/>
      <c r="T16" s="2"/>
      <c r="U16" s="2"/>
      <c r="V16" s="22"/>
      <c r="W16" s="2"/>
      <c r="X16" s="2">
        <f t="shared" si="2"/>
        <v>17887.89</v>
      </c>
      <c r="Y16" s="2"/>
      <c r="Z16" s="22">
        <f t="shared" si="3"/>
        <v>0</v>
      </c>
    </row>
    <row r="17" spans="1:26" s="24" customFormat="1" hidden="1" outlineLevel="1" x14ac:dyDescent="0.3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--200.1</f>
        <v>200.1</v>
      </c>
      <c r="E17" s="2"/>
      <c r="F17" s="22"/>
      <c r="G17" s="2"/>
      <c r="H17" s="2"/>
      <c r="I17" s="2"/>
      <c r="J17" s="22"/>
      <c r="K17" s="2"/>
      <c r="L17" s="2">
        <f t="shared" si="0"/>
        <v>200.1</v>
      </c>
      <c r="M17" s="2"/>
      <c r="N17" s="22">
        <f t="shared" si="1"/>
        <v>0</v>
      </c>
      <c r="O17" s="11"/>
      <c r="P17" s="2">
        <f>--2659.66</f>
        <v>2659.66</v>
      </c>
      <c r="Q17" s="2"/>
      <c r="R17" s="22"/>
      <c r="S17" s="2"/>
      <c r="T17" s="2"/>
      <c r="U17" s="2"/>
      <c r="V17" s="22"/>
      <c r="W17" s="2"/>
      <c r="X17" s="2">
        <f t="shared" si="2"/>
        <v>2659.66</v>
      </c>
      <c r="Y17" s="2"/>
      <c r="Z17" s="22">
        <f t="shared" si="3"/>
        <v>0</v>
      </c>
    </row>
    <row r="18" spans="1:26" s="24" customFormat="1" hidden="1" outlineLevel="1" x14ac:dyDescent="0.3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--346.55</f>
        <v>346.55</v>
      </c>
      <c r="E18" s="2"/>
      <c r="F18" s="22"/>
      <c r="G18" s="2"/>
      <c r="H18" s="2"/>
      <c r="I18" s="2"/>
      <c r="J18" s="22"/>
      <c r="K18" s="2"/>
      <c r="L18" s="2">
        <f t="shared" si="0"/>
        <v>346.55</v>
      </c>
      <c r="M18" s="2"/>
      <c r="N18" s="22">
        <f t="shared" si="1"/>
        <v>0</v>
      </c>
      <c r="O18" s="11"/>
      <c r="P18" s="2">
        <f>--930.52</f>
        <v>930.52</v>
      </c>
      <c r="Q18" s="2"/>
      <c r="R18" s="22"/>
      <c r="S18" s="2"/>
      <c r="T18" s="2"/>
      <c r="U18" s="2"/>
      <c r="V18" s="22"/>
      <c r="W18" s="2"/>
      <c r="X18" s="2">
        <f t="shared" si="2"/>
        <v>930.52</v>
      </c>
      <c r="Y18" s="2"/>
      <c r="Z18" s="22">
        <f t="shared" si="3"/>
        <v>0</v>
      </c>
    </row>
    <row r="19" spans="1:26" s="24" customFormat="1" hidden="1" outlineLevel="1" x14ac:dyDescent="0.3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--3.98</f>
        <v>3.98</v>
      </c>
      <c r="E19" s="2"/>
      <c r="F19" s="22"/>
      <c r="G19" s="2"/>
      <c r="H19" s="2"/>
      <c r="I19" s="2"/>
      <c r="J19" s="22"/>
      <c r="K19" s="2"/>
      <c r="L19" s="2">
        <f t="shared" si="0"/>
        <v>3.98</v>
      </c>
      <c r="M19" s="2"/>
      <c r="N19" s="22">
        <f t="shared" si="1"/>
        <v>0</v>
      </c>
      <c r="O19" s="11"/>
      <c r="P19" s="2">
        <f>--380.04</f>
        <v>380.04</v>
      </c>
      <c r="Q19" s="2"/>
      <c r="R19" s="22"/>
      <c r="S19" s="2"/>
      <c r="T19" s="2"/>
      <c r="U19" s="2"/>
      <c r="V19" s="22"/>
      <c r="W19" s="2"/>
      <c r="X19" s="2">
        <f t="shared" si="2"/>
        <v>380.04</v>
      </c>
      <c r="Y19" s="2"/>
      <c r="Z19" s="22">
        <f t="shared" si="3"/>
        <v>0</v>
      </c>
    </row>
    <row r="20" spans="1:26" s="24" customFormat="1" hidden="1" outlineLevel="1" x14ac:dyDescent="0.3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--100.3</f>
        <v>100.3</v>
      </c>
      <c r="E20" s="2"/>
      <c r="F20" s="22"/>
      <c r="G20" s="2"/>
      <c r="H20" s="2"/>
      <c r="I20" s="2"/>
      <c r="J20" s="22"/>
      <c r="K20" s="2"/>
      <c r="L20" s="2">
        <f t="shared" si="0"/>
        <v>100.3</v>
      </c>
      <c r="M20" s="2"/>
      <c r="N20" s="22">
        <f t="shared" si="1"/>
        <v>0</v>
      </c>
      <c r="O20" s="11"/>
      <c r="P20" s="2">
        <f>--291.14</f>
        <v>291.14</v>
      </c>
      <c r="Q20" s="2"/>
      <c r="R20" s="22"/>
      <c r="S20" s="2"/>
      <c r="T20" s="2"/>
      <c r="U20" s="2"/>
      <c r="V20" s="22"/>
      <c r="W20" s="2"/>
      <c r="X20" s="2">
        <f t="shared" si="2"/>
        <v>291.14</v>
      </c>
      <c r="Y20" s="2"/>
      <c r="Z20" s="22">
        <f t="shared" si="3"/>
        <v>0</v>
      </c>
    </row>
    <row r="21" spans="1:26" s="24" customFormat="1" hidden="1" outlineLevel="1" x14ac:dyDescent="0.35">
      <c r="A21" s="51"/>
      <c r="B21" s="11" t="str">
        <f>CONCATENATE("          ", "4101", " - ", "NON-TAXABLE SALES-NEW TEXT")</f>
        <v xml:space="preserve">          4101 - NON-TAXABLE SALES-NEW TEXT</v>
      </c>
      <c r="C21" s="11"/>
      <c r="D21" s="2">
        <f>--22084.7</f>
        <v>22084.7</v>
      </c>
      <c r="E21" s="2"/>
      <c r="F21" s="22"/>
      <c r="G21" s="2"/>
      <c r="H21" s="2"/>
      <c r="I21" s="2"/>
      <c r="J21" s="22"/>
      <c r="K21" s="2"/>
      <c r="L21" s="2">
        <f t="shared" si="0"/>
        <v>22084.7</v>
      </c>
      <c r="M21" s="2"/>
      <c r="N21" s="22">
        <f t="shared" si="1"/>
        <v>0</v>
      </c>
      <c r="O21" s="11"/>
      <c r="P21" s="2">
        <f>--104225.63</f>
        <v>104225.63</v>
      </c>
      <c r="Q21" s="2"/>
      <c r="R21" s="22"/>
      <c r="S21" s="2"/>
      <c r="T21" s="2"/>
      <c r="U21" s="2"/>
      <c r="V21" s="22"/>
      <c r="W21" s="2"/>
      <c r="X21" s="2">
        <f t="shared" si="2"/>
        <v>104225.63</v>
      </c>
      <c r="Y21" s="2"/>
      <c r="Z21" s="22">
        <f t="shared" si="3"/>
        <v>0</v>
      </c>
    </row>
    <row r="22" spans="1:26" s="24" customFormat="1" hidden="1" outlineLevel="1" x14ac:dyDescent="0.35">
      <c r="A22" s="51"/>
      <c r="B22" s="11" t="str">
        <f>CONCATENATE("          ", "4102", " - ", "NON-TAXABLE SALES-USED TEXT")</f>
        <v xml:space="preserve">          4102 - NON-TAXABLE SALES-USED TEXT</v>
      </c>
      <c r="C22" s="11"/>
      <c r="D22" s="2">
        <f>--9330.01</f>
        <v>9330.01</v>
      </c>
      <c r="E22" s="2"/>
      <c r="F22" s="22"/>
      <c r="G22" s="2"/>
      <c r="H22" s="2"/>
      <c r="I22" s="2"/>
      <c r="J22" s="22"/>
      <c r="K22" s="2"/>
      <c r="L22" s="2">
        <f t="shared" si="0"/>
        <v>9330.01</v>
      </c>
      <c r="M22" s="2"/>
      <c r="N22" s="22">
        <f t="shared" si="1"/>
        <v>0</v>
      </c>
      <c r="O22" s="11"/>
      <c r="P22" s="2">
        <f>--42961.32</f>
        <v>42961.32</v>
      </c>
      <c r="Q22" s="2"/>
      <c r="R22" s="22"/>
      <c r="S22" s="2"/>
      <c r="T22" s="2"/>
      <c r="U22" s="2"/>
      <c r="V22" s="22"/>
      <c r="W22" s="2"/>
      <c r="X22" s="2">
        <f t="shared" si="2"/>
        <v>42961.32</v>
      </c>
      <c r="Y22" s="2"/>
      <c r="Z22" s="22">
        <f t="shared" si="3"/>
        <v>0</v>
      </c>
    </row>
    <row r="23" spans="1:26" s="24" customFormat="1" hidden="1" outlineLevel="1" x14ac:dyDescent="0.35">
      <c r="A23" s="51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--853.98</f>
        <v>853.98</v>
      </c>
      <c r="E23" s="2"/>
      <c r="F23" s="22"/>
      <c r="G23" s="2"/>
      <c r="H23" s="2"/>
      <c r="I23" s="2"/>
      <c r="J23" s="22"/>
      <c r="K23" s="2"/>
      <c r="L23" s="2">
        <f t="shared" si="0"/>
        <v>853.98</v>
      </c>
      <c r="M23" s="2"/>
      <c r="N23" s="22">
        <f t="shared" si="1"/>
        <v>0</v>
      </c>
      <c r="O23" s="11"/>
      <c r="P23" s="2">
        <f>--1138.95</f>
        <v>1138.95</v>
      </c>
      <c r="Q23" s="2"/>
      <c r="R23" s="22"/>
      <c r="S23" s="2"/>
      <c r="T23" s="2"/>
      <c r="U23" s="2"/>
      <c r="V23" s="22"/>
      <c r="W23" s="2"/>
      <c r="X23" s="2">
        <f t="shared" si="2"/>
        <v>1138.95</v>
      </c>
      <c r="Y23" s="2"/>
      <c r="Z23" s="22">
        <f t="shared" si="3"/>
        <v>0</v>
      </c>
    </row>
    <row r="24" spans="1:26" s="24" customFormat="1" hidden="1" outlineLevel="1" x14ac:dyDescent="0.35">
      <c r="A24" s="51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--161977.12</f>
        <v>161977.12</v>
      </c>
      <c r="E24" s="2"/>
      <c r="F24" s="22"/>
      <c r="G24" s="2"/>
      <c r="H24" s="2"/>
      <c r="I24" s="2"/>
      <c r="J24" s="22"/>
      <c r="K24" s="2"/>
      <c r="L24" s="2">
        <f t="shared" si="0"/>
        <v>161977.12</v>
      </c>
      <c r="M24" s="2"/>
      <c r="N24" s="22">
        <f t="shared" si="1"/>
        <v>0</v>
      </c>
      <c r="O24" s="11"/>
      <c r="P24" s="2">
        <f>--458168.13</f>
        <v>458168.13</v>
      </c>
      <c r="Q24" s="2"/>
      <c r="R24" s="22"/>
      <c r="S24" s="2"/>
      <c r="T24" s="2"/>
      <c r="U24" s="2"/>
      <c r="V24" s="22"/>
      <c r="W24" s="2"/>
      <c r="X24" s="2">
        <f t="shared" si="2"/>
        <v>458168.13</v>
      </c>
      <c r="Y24" s="2"/>
      <c r="Z24" s="22">
        <f t="shared" si="3"/>
        <v>0</v>
      </c>
    </row>
    <row r="25" spans="1:26" s="24" customFormat="1" hidden="1" outlineLevel="1" x14ac:dyDescent="0.35">
      <c r="A25" s="51"/>
      <c r="B25" s="11" t="str">
        <f>CONCATENATE("          ", "4113", " - ", "NON-TAXABLE SALES-TRADE BOOKS")</f>
        <v xml:space="preserve">          4113 - NON-TAXABLE SALES-TRADE BOOKS</v>
      </c>
      <c r="C25" s="11"/>
      <c r="D25" s="2">
        <f>--4661.75</f>
        <v>4661.75</v>
      </c>
      <c r="E25" s="2"/>
      <c r="F25" s="22"/>
      <c r="G25" s="2"/>
      <c r="H25" s="2"/>
      <c r="I25" s="2"/>
      <c r="J25" s="22"/>
      <c r="K25" s="2"/>
      <c r="L25" s="2">
        <f t="shared" si="0"/>
        <v>4661.75</v>
      </c>
      <c r="M25" s="2"/>
      <c r="N25" s="22">
        <f t="shared" si="1"/>
        <v>0</v>
      </c>
      <c r="O25" s="11"/>
      <c r="P25" s="2">
        <f>--6989.25</f>
        <v>6989.25</v>
      </c>
      <c r="Q25" s="2"/>
      <c r="R25" s="22"/>
      <c r="S25" s="2"/>
      <c r="T25" s="2"/>
      <c r="U25" s="2"/>
      <c r="V25" s="22"/>
      <c r="W25" s="2"/>
      <c r="X25" s="2">
        <f t="shared" si="2"/>
        <v>6989.25</v>
      </c>
      <c r="Y25" s="2"/>
      <c r="Z25" s="22">
        <f t="shared" si="3"/>
        <v>0</v>
      </c>
    </row>
    <row r="26" spans="1:26" s="24" customFormat="1" hidden="1" outlineLevel="1" x14ac:dyDescent="0.35">
      <c r="A26" s="51"/>
      <c r="B26" s="11" t="str">
        <f>CONCATENATE("          ", "4118", " - ", "NON-TAXABLE SALES-STUDY GUIDES")</f>
        <v xml:space="preserve">          4118 - NON-TAXABLE SALES-STUDY GUIDES</v>
      </c>
      <c r="C26" s="11"/>
      <c r="D26" s="2">
        <f>--538.3</f>
        <v>538.29999999999995</v>
      </c>
      <c r="E26" s="2"/>
      <c r="F26" s="22"/>
      <c r="G26" s="2"/>
      <c r="H26" s="2"/>
      <c r="I26" s="2"/>
      <c r="J26" s="22"/>
      <c r="K26" s="2"/>
      <c r="L26" s="2">
        <f t="shared" si="0"/>
        <v>538.29999999999995</v>
      </c>
      <c r="M26" s="2"/>
      <c r="N26" s="22">
        <f t="shared" si="1"/>
        <v>0</v>
      </c>
      <c r="O26" s="11"/>
      <c r="P26" s="2">
        <f>--771.73</f>
        <v>771.73</v>
      </c>
      <c r="Q26" s="2"/>
      <c r="R26" s="22"/>
      <c r="S26" s="2"/>
      <c r="T26" s="2"/>
      <c r="U26" s="2"/>
      <c r="V26" s="22"/>
      <c r="W26" s="2"/>
      <c r="X26" s="2">
        <f t="shared" si="2"/>
        <v>771.73</v>
      </c>
      <c r="Y26" s="2"/>
      <c r="Z26" s="22">
        <f t="shared" si="3"/>
        <v>0</v>
      </c>
    </row>
    <row r="27" spans="1:26" s="24" customFormat="1" hidden="1" outlineLevel="1" x14ac:dyDescent="0.35">
      <c r="A27" s="51"/>
      <c r="B27" s="11" t="str">
        <f>CONCATENATE("          ", "4201", " - ", "SALES RETURN TAXABLE-NEW TEXT")</f>
        <v xml:space="preserve">          4201 - SALES RETURN TAXABLE-NEW TEXT</v>
      </c>
      <c r="C27" s="11"/>
      <c r="D27" s="2">
        <f>-12741.9</f>
        <v>-12741.9</v>
      </c>
      <c r="E27" s="2"/>
      <c r="F27" s="22"/>
      <c r="G27" s="2"/>
      <c r="H27" s="2"/>
      <c r="I27" s="2"/>
      <c r="J27" s="22"/>
      <c r="K27" s="2"/>
      <c r="L27" s="2">
        <f t="shared" si="0"/>
        <v>-12741.9</v>
      </c>
      <c r="M27" s="2"/>
      <c r="N27" s="22">
        <f t="shared" si="1"/>
        <v>0</v>
      </c>
      <c r="O27" s="11"/>
      <c r="P27" s="2">
        <f>-48517.74</f>
        <v>-48517.74</v>
      </c>
      <c r="Q27" s="2"/>
      <c r="R27" s="22"/>
      <c r="S27" s="2"/>
      <c r="T27" s="2"/>
      <c r="U27" s="2"/>
      <c r="V27" s="22"/>
      <c r="W27" s="2"/>
      <c r="X27" s="2">
        <f t="shared" si="2"/>
        <v>-48517.74</v>
      </c>
      <c r="Y27" s="2"/>
      <c r="Z27" s="22">
        <f t="shared" si="3"/>
        <v>0</v>
      </c>
    </row>
    <row r="28" spans="1:26" s="24" customFormat="1" hidden="1" outlineLevel="1" x14ac:dyDescent="0.35">
      <c r="A28" s="51"/>
      <c r="B28" s="11" t="str">
        <f>CONCATENATE("          ", "4202", " - ", "SALES RETURN TAXABLE-USED TEXT")</f>
        <v xml:space="preserve">          4202 - SALES RETURN TAXABLE-USED TEXT</v>
      </c>
      <c r="C28" s="11"/>
      <c r="D28" s="2">
        <f>-4670.3</f>
        <v>-4670.3</v>
      </c>
      <c r="E28" s="2"/>
      <c r="F28" s="22"/>
      <c r="G28" s="2"/>
      <c r="H28" s="2"/>
      <c r="I28" s="2"/>
      <c r="J28" s="22"/>
      <c r="K28" s="2"/>
      <c r="L28" s="2">
        <f t="shared" si="0"/>
        <v>-4670.3</v>
      </c>
      <c r="M28" s="2"/>
      <c r="N28" s="22">
        <f t="shared" si="1"/>
        <v>0</v>
      </c>
      <c r="O28" s="11"/>
      <c r="P28" s="2">
        <f>-18536.3</f>
        <v>-18536.3</v>
      </c>
      <c r="Q28" s="2"/>
      <c r="R28" s="22"/>
      <c r="S28" s="2"/>
      <c r="T28" s="2"/>
      <c r="U28" s="2"/>
      <c r="V28" s="22"/>
      <c r="W28" s="2"/>
      <c r="X28" s="2">
        <f t="shared" si="2"/>
        <v>-18536.3</v>
      </c>
      <c r="Y28" s="2"/>
      <c r="Z28" s="22">
        <f t="shared" si="3"/>
        <v>0</v>
      </c>
    </row>
    <row r="29" spans="1:26" s="24" customFormat="1" hidden="1" outlineLevel="1" x14ac:dyDescent="0.35">
      <c r="A29" s="51"/>
      <c r="B29" s="11" t="str">
        <f>CONCATENATE("          ", "4204", " - ", "SALES RETURN TAXABLE-DIGITAL T")</f>
        <v xml:space="preserve">          4204 - SALES RETURN TAXABLE-DIGITAL T</v>
      </c>
      <c r="C29" s="11"/>
      <c r="D29" s="2">
        <f>0</f>
        <v>0</v>
      </c>
      <c r="E29" s="2"/>
      <c r="F29" s="22"/>
      <c r="G29" s="2"/>
      <c r="H29" s="2"/>
      <c r="I29" s="2"/>
      <c r="J29" s="22"/>
      <c r="K29" s="2"/>
      <c r="L29" s="2">
        <f t="shared" si="0"/>
        <v>0</v>
      </c>
      <c r="M29" s="2"/>
      <c r="N29" s="22">
        <f t="shared" si="1"/>
        <v>0</v>
      </c>
      <c r="O29" s="11"/>
      <c r="P29" s="2">
        <f>-1630.85</f>
        <v>-1630.85</v>
      </c>
      <c r="Q29" s="2"/>
      <c r="R29" s="22"/>
      <c r="S29" s="2"/>
      <c r="T29" s="2"/>
      <c r="U29" s="2"/>
      <c r="V29" s="22"/>
      <c r="W29" s="2"/>
      <c r="X29" s="2">
        <f t="shared" si="2"/>
        <v>-1630.85</v>
      </c>
      <c r="Y29" s="2"/>
      <c r="Z29" s="22">
        <f t="shared" si="3"/>
        <v>0</v>
      </c>
    </row>
    <row r="30" spans="1:26" s="24" customFormat="1" hidden="1" outlineLevel="1" x14ac:dyDescent="0.35">
      <c r="A30" s="51"/>
      <c r="B30" s="11" t="str">
        <f>CONCATENATE("          ", "4301", " - ", "SALES RETURN NON TAXABLE-NEW T")</f>
        <v xml:space="preserve">          4301 - SALES RETURN NON TAXABLE-NEW T</v>
      </c>
      <c r="C30" s="11"/>
      <c r="D30" s="2">
        <f>-256.69</f>
        <v>-256.69</v>
      </c>
      <c r="E30" s="2"/>
      <c r="F30" s="22"/>
      <c r="G30" s="2"/>
      <c r="H30" s="2"/>
      <c r="I30" s="2"/>
      <c r="J30" s="22"/>
      <c r="K30" s="2"/>
      <c r="L30" s="2">
        <f t="shared" si="0"/>
        <v>-256.69</v>
      </c>
      <c r="M30" s="2"/>
      <c r="N30" s="22">
        <f t="shared" si="1"/>
        <v>0</v>
      </c>
      <c r="O30" s="11"/>
      <c r="P30" s="2">
        <f>-3005.79</f>
        <v>-3005.79</v>
      </c>
      <c r="Q30" s="2"/>
      <c r="R30" s="22"/>
      <c r="S30" s="2"/>
      <c r="T30" s="2"/>
      <c r="U30" s="2"/>
      <c r="V30" s="22"/>
      <c r="W30" s="2"/>
      <c r="X30" s="2">
        <f t="shared" si="2"/>
        <v>-3005.79</v>
      </c>
      <c r="Y30" s="2"/>
      <c r="Z30" s="22">
        <f t="shared" si="3"/>
        <v>0</v>
      </c>
    </row>
    <row r="31" spans="1:26" s="24" customFormat="1" hidden="1" outlineLevel="1" x14ac:dyDescent="0.35">
      <c r="A31" s="51"/>
      <c r="B31" s="11" t="str">
        <f>CONCATENATE("          ", "4302", " - ", "SALES RETURN NON TAXABLE-TEXT")</f>
        <v xml:space="preserve">          4302 - SALES RETURN NON TAXABLE-TEXT</v>
      </c>
      <c r="C31" s="11"/>
      <c r="D31" s="2">
        <f>-532.96</f>
        <v>-532.96</v>
      </c>
      <c r="E31" s="2"/>
      <c r="F31" s="22"/>
      <c r="G31" s="2"/>
      <c r="H31" s="2"/>
      <c r="I31" s="2"/>
      <c r="J31" s="22"/>
      <c r="K31" s="2"/>
      <c r="L31" s="2">
        <f t="shared" si="0"/>
        <v>-532.96</v>
      </c>
      <c r="M31" s="2"/>
      <c r="N31" s="22">
        <f t="shared" si="1"/>
        <v>0</v>
      </c>
      <c r="O31" s="11"/>
      <c r="P31" s="2">
        <f>-2003.16</f>
        <v>-2003.16</v>
      </c>
      <c r="Q31" s="2"/>
      <c r="R31" s="22"/>
      <c r="S31" s="2"/>
      <c r="T31" s="2"/>
      <c r="U31" s="2"/>
      <c r="V31" s="22"/>
      <c r="W31" s="2"/>
      <c r="X31" s="2">
        <f t="shared" si="2"/>
        <v>-2003.16</v>
      </c>
      <c r="Y31" s="2"/>
      <c r="Z31" s="22">
        <f t="shared" si="3"/>
        <v>0</v>
      </c>
    </row>
    <row r="32" spans="1:26" s="24" customFormat="1" hidden="1" outlineLevel="1" x14ac:dyDescent="0.35">
      <c r="A32" s="51"/>
      <c r="B32" s="11" t="str">
        <f>CONCATENATE("          ", "4304", " - ", "SALES RETURN NON TAXABLE-DIGIT")</f>
        <v xml:space="preserve">          4304 - SALES RETURN NON TAXABLE-DIGIT</v>
      </c>
      <c r="C32" s="11"/>
      <c r="D32" s="2">
        <f>-10673</f>
        <v>-10673</v>
      </c>
      <c r="E32" s="2"/>
      <c r="F32" s="22"/>
      <c r="G32" s="2"/>
      <c r="H32" s="2"/>
      <c r="I32" s="2"/>
      <c r="J32" s="22"/>
      <c r="K32" s="2"/>
      <c r="L32" s="2">
        <f t="shared" si="0"/>
        <v>-10673</v>
      </c>
      <c r="M32" s="2"/>
      <c r="N32" s="22">
        <f t="shared" si="1"/>
        <v>0</v>
      </c>
      <c r="O32" s="11"/>
      <c r="P32" s="2">
        <f>-25095.77</f>
        <v>-25095.77</v>
      </c>
      <c r="Q32" s="2"/>
      <c r="R32" s="22"/>
      <c r="S32" s="2"/>
      <c r="T32" s="2"/>
      <c r="U32" s="2"/>
      <c r="V32" s="22"/>
      <c r="W32" s="2"/>
      <c r="X32" s="2">
        <f t="shared" si="2"/>
        <v>-25095.77</v>
      </c>
      <c r="Y32" s="2"/>
      <c r="Z32" s="22">
        <f t="shared" si="3"/>
        <v>0</v>
      </c>
    </row>
    <row r="33" spans="1:26" x14ac:dyDescent="0.3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35">
      <c r="A34" s="10"/>
      <c r="B34" s="25" t="s">
        <v>8</v>
      </c>
      <c r="C34" s="10"/>
      <c r="D34" s="4">
        <f>SUM(OSRRefD16x_0)</f>
        <v>499754.00000000006</v>
      </c>
      <c r="E34" s="4"/>
      <c r="F34" s="12">
        <f t="shared" ref="F34:F49" si="4">IF(D$12=0,0,D34/D$12)</f>
        <v>0.70598541439451135</v>
      </c>
      <c r="G34" s="4"/>
      <c r="H34" s="4">
        <f>SUM(OSRRefH16x_0)</f>
        <v>714226</v>
      </c>
      <c r="I34" s="4"/>
      <c r="J34" s="12">
        <f t="shared" ref="J34:J49" si="5">IF(H$12=0,0,H34/H$12)</f>
        <v>0.72612205767082105</v>
      </c>
      <c r="K34" s="4"/>
      <c r="L34" s="4">
        <f t="shared" ref="L34:L49" si="6">+D34-H34</f>
        <v>-214471.99999999994</v>
      </c>
      <c r="M34" s="4"/>
      <c r="N34" s="12">
        <f t="shared" ref="N34:N49" si="7">IF(H34=0,0,L34/H34)</f>
        <v>-0.30028590390156606</v>
      </c>
      <c r="O34" s="10"/>
      <c r="P34" s="4">
        <f>SUM(OSRRefP16x_0)</f>
        <v>1279451.0000000002</v>
      </c>
      <c r="Q34" s="4"/>
      <c r="R34" s="12">
        <f t="shared" ref="R34:R49" si="8">IF(P$12=0,0,P34/P$12)</f>
        <v>0.70937335427880677</v>
      </c>
      <c r="S34" s="4"/>
      <c r="T34" s="4">
        <f>SUM(OSRRefT16x_0)</f>
        <v>2044770.0000000002</v>
      </c>
      <c r="U34" s="4"/>
      <c r="V34" s="12">
        <f t="shared" ref="V34:V49" si="9">IF(T$12=0,0,T34/T$12)</f>
        <v>0.72728637249929406</v>
      </c>
      <c r="W34" s="4"/>
      <c r="X34" s="4">
        <f t="shared" ref="X34:X49" si="10">+P34-T34</f>
        <v>-765319</v>
      </c>
      <c r="Y34" s="4"/>
      <c r="Z34" s="12">
        <f t="shared" ref="Z34:Z49" si="11">IF(T34=0,0,X34/T34)</f>
        <v>-0.37428121500217626</v>
      </c>
    </row>
    <row r="35" spans="1:26" s="24" customFormat="1" hidden="1" outlineLevel="1" x14ac:dyDescent="0.35">
      <c r="A35" s="51"/>
      <c r="B35" s="11" t="str">
        <f>CONCATENATE("          ", "5000", " - ", "PURCHASES @ COST")</f>
        <v xml:space="preserve">          5000 - PURCHASES @ COST</v>
      </c>
      <c r="C35" s="11"/>
      <c r="D35" s="2"/>
      <c r="E35" s="2"/>
      <c r="F35" s="22">
        <f t="shared" si="4"/>
        <v>0</v>
      </c>
      <c r="G35" s="2"/>
      <c r="H35" s="2">
        <v>714226</v>
      </c>
      <c r="I35" s="2"/>
      <c r="J35" s="22">
        <f t="shared" si="5"/>
        <v>0.72612205767082105</v>
      </c>
      <c r="K35" s="2"/>
      <c r="L35" s="2">
        <f t="shared" si="6"/>
        <v>-714226</v>
      </c>
      <c r="M35" s="2"/>
      <c r="N35" s="22">
        <f t="shared" si="7"/>
        <v>-1</v>
      </c>
      <c r="O35" s="11"/>
      <c r="P35" s="2"/>
      <c r="Q35" s="2"/>
      <c r="R35" s="22">
        <f t="shared" si="8"/>
        <v>0</v>
      </c>
      <c r="S35" s="2"/>
      <c r="T35" s="2">
        <v>2044770.0000000002</v>
      </c>
      <c r="U35" s="2"/>
      <c r="V35" s="22">
        <f t="shared" si="9"/>
        <v>0.72728637249929406</v>
      </c>
      <c r="W35" s="2"/>
      <c r="X35" s="2">
        <f t="shared" si="10"/>
        <v>-2044770.0000000002</v>
      </c>
      <c r="Y35" s="2"/>
      <c r="Z35" s="22">
        <f t="shared" si="11"/>
        <v>-1</v>
      </c>
    </row>
    <row r="36" spans="1:26" s="24" customFormat="1" hidden="1" outlineLevel="1" x14ac:dyDescent="0.35">
      <c r="A36" s="51"/>
      <c r="B36" s="11" t="str">
        <f>CONCATENATE("          ", "5001", " - ", "PURCHASES @ COST-NEW TEXT")</f>
        <v xml:space="preserve">          5001 - PURCHASES @ COST-NEW TEXT</v>
      </c>
      <c r="C36" s="11"/>
      <c r="D36" s="2">
        <v>292656.37</v>
      </c>
      <c r="E36" s="2"/>
      <c r="F36" s="22">
        <f t="shared" si="4"/>
        <v>0.4134256627253477</v>
      </c>
      <c r="G36" s="2"/>
      <c r="H36" s="2"/>
      <c r="I36" s="2"/>
      <c r="J36" s="22">
        <f t="shared" si="5"/>
        <v>0</v>
      </c>
      <c r="K36" s="2"/>
      <c r="L36" s="2">
        <f t="shared" si="6"/>
        <v>292656.37</v>
      </c>
      <c r="M36" s="2"/>
      <c r="N36" s="22">
        <f t="shared" si="7"/>
        <v>0</v>
      </c>
      <c r="O36" s="11"/>
      <c r="P36" s="2">
        <v>1366198.05</v>
      </c>
      <c r="Q36" s="2"/>
      <c r="R36" s="22">
        <f t="shared" si="8"/>
        <v>0.75746901861631655</v>
      </c>
      <c r="S36" s="2"/>
      <c r="T36" s="2"/>
      <c r="U36" s="2"/>
      <c r="V36" s="22">
        <f t="shared" si="9"/>
        <v>0</v>
      </c>
      <c r="W36" s="2"/>
      <c r="X36" s="2">
        <f t="shared" si="10"/>
        <v>1366198.05</v>
      </c>
      <c r="Y36" s="2"/>
      <c r="Z36" s="22">
        <f t="shared" si="11"/>
        <v>0</v>
      </c>
    </row>
    <row r="37" spans="1:26" s="24" customFormat="1" hidden="1" outlineLevel="1" x14ac:dyDescent="0.35">
      <c r="A37" s="51"/>
      <c r="B37" s="11" t="str">
        <f>CONCATENATE("          ", "5002", " - ", "PURCHASES @ COST-USED TEXT")</f>
        <v xml:space="preserve">          5002 - PURCHASES @ COST-USED TEXT</v>
      </c>
      <c r="C37" s="11"/>
      <c r="D37" s="2">
        <v>-2814.66</v>
      </c>
      <c r="E37" s="2"/>
      <c r="F37" s="22">
        <f t="shared" si="4"/>
        <v>-3.9761740906118911E-3</v>
      </c>
      <c r="G37" s="2"/>
      <c r="H37" s="2"/>
      <c r="I37" s="2"/>
      <c r="J37" s="22">
        <f t="shared" si="5"/>
        <v>0</v>
      </c>
      <c r="K37" s="2"/>
      <c r="L37" s="2">
        <f t="shared" si="6"/>
        <v>-2814.66</v>
      </c>
      <c r="M37" s="2"/>
      <c r="N37" s="22">
        <f t="shared" si="7"/>
        <v>0</v>
      </c>
      <c r="O37" s="11"/>
      <c r="P37" s="2">
        <v>23022.47</v>
      </c>
      <c r="Q37" s="2"/>
      <c r="R37" s="22">
        <f t="shared" si="8"/>
        <v>1.2764480052525028E-2</v>
      </c>
      <c r="S37" s="2"/>
      <c r="T37" s="2"/>
      <c r="U37" s="2"/>
      <c r="V37" s="22">
        <f t="shared" si="9"/>
        <v>0</v>
      </c>
      <c r="W37" s="2"/>
      <c r="X37" s="2">
        <f t="shared" si="10"/>
        <v>23022.47</v>
      </c>
      <c r="Y37" s="2"/>
      <c r="Z37" s="22">
        <f t="shared" si="11"/>
        <v>0</v>
      </c>
    </row>
    <row r="38" spans="1:26" s="24" customFormat="1" hidden="1" outlineLevel="1" x14ac:dyDescent="0.35">
      <c r="A38" s="51"/>
      <c r="B38" s="11" t="str">
        <f>CONCATENATE("          ", "5003", " - ", "PURCHASES @ COST-RENTAL TEXT")</f>
        <v xml:space="preserve">          5003 - PURCHASES @ COST-RENTAL TEXT</v>
      </c>
      <c r="C38" s="11"/>
      <c r="D38" s="2"/>
      <c r="E38" s="2"/>
      <c r="F38" s="22">
        <f t="shared" si="4"/>
        <v>0</v>
      </c>
      <c r="G38" s="2"/>
      <c r="H38" s="2"/>
      <c r="I38" s="2"/>
      <c r="J38" s="22">
        <f t="shared" si="5"/>
        <v>0</v>
      </c>
      <c r="K38" s="2"/>
      <c r="L38" s="2">
        <f t="shared" si="6"/>
        <v>0</v>
      </c>
      <c r="M38" s="2"/>
      <c r="N38" s="22">
        <f t="shared" si="7"/>
        <v>0</v>
      </c>
      <c r="O38" s="11"/>
      <c r="P38" s="2">
        <v>32.520000000000003</v>
      </c>
      <c r="Q38" s="2"/>
      <c r="R38" s="22">
        <f t="shared" si="8"/>
        <v>1.803025006908963E-5</v>
      </c>
      <c r="S38" s="2"/>
      <c r="T38" s="2"/>
      <c r="U38" s="2"/>
      <c r="V38" s="22">
        <f t="shared" si="9"/>
        <v>0</v>
      </c>
      <c r="W38" s="2"/>
      <c r="X38" s="2">
        <f t="shared" si="10"/>
        <v>32.520000000000003</v>
      </c>
      <c r="Y38" s="2"/>
      <c r="Z38" s="22">
        <f t="shared" si="11"/>
        <v>0</v>
      </c>
    </row>
    <row r="39" spans="1:26" s="24" customFormat="1" hidden="1" outlineLevel="1" x14ac:dyDescent="0.35">
      <c r="A39" s="51"/>
      <c r="B39" s="11" t="str">
        <f>CONCATENATE("          ", "5004", " - ", "PURCHASES @ COST-DIGITAL TEXT")</f>
        <v xml:space="preserve">          5004 - PURCHASES @ COST-DIGITAL TEXT</v>
      </c>
      <c r="C39" s="11"/>
      <c r="D39" s="2">
        <v>18888.449999999997</v>
      </c>
      <c r="E39" s="2"/>
      <c r="F39" s="22">
        <f t="shared" si="4"/>
        <v>2.6683068470727607E-2</v>
      </c>
      <c r="G39" s="2"/>
      <c r="H39" s="2"/>
      <c r="I39" s="2"/>
      <c r="J39" s="22">
        <f t="shared" si="5"/>
        <v>0</v>
      </c>
      <c r="K39" s="2"/>
      <c r="L39" s="2">
        <f t="shared" si="6"/>
        <v>18888.449999999997</v>
      </c>
      <c r="M39" s="2"/>
      <c r="N39" s="22">
        <f t="shared" si="7"/>
        <v>0</v>
      </c>
      <c r="O39" s="11"/>
      <c r="P39" s="2">
        <v>216726.56</v>
      </c>
      <c r="Q39" s="2"/>
      <c r="R39" s="22">
        <f t="shared" si="8"/>
        <v>0.12016094936696055</v>
      </c>
      <c r="S39" s="2"/>
      <c r="T39" s="2"/>
      <c r="U39" s="2"/>
      <c r="V39" s="22">
        <f t="shared" si="9"/>
        <v>0</v>
      </c>
      <c r="W39" s="2"/>
      <c r="X39" s="2">
        <f t="shared" si="10"/>
        <v>216726.56</v>
      </c>
      <c r="Y39" s="2"/>
      <c r="Z39" s="22">
        <f t="shared" si="11"/>
        <v>0</v>
      </c>
    </row>
    <row r="40" spans="1:26" s="24" customFormat="1" hidden="1" outlineLevel="1" x14ac:dyDescent="0.35">
      <c r="A40" s="51"/>
      <c r="B40" s="11" t="str">
        <f>CONCATENATE("          ", "5011", " - ", "PURCHASES @ COST-NO VALUE TEXT")</f>
        <v xml:space="preserve">          5011 - PURCHASES @ COST-NO VALUE TEXT</v>
      </c>
      <c r="C40" s="11"/>
      <c r="D40" s="2"/>
      <c r="E40" s="2"/>
      <c r="F40" s="22">
        <f t="shared" si="4"/>
        <v>0</v>
      </c>
      <c r="G40" s="2"/>
      <c r="H40" s="2"/>
      <c r="I40" s="2"/>
      <c r="J40" s="22">
        <f t="shared" si="5"/>
        <v>0</v>
      </c>
      <c r="K40" s="2"/>
      <c r="L40" s="2">
        <f t="shared" si="6"/>
        <v>0</v>
      </c>
      <c r="M40" s="2"/>
      <c r="N40" s="22">
        <f t="shared" si="7"/>
        <v>0</v>
      </c>
      <c r="O40" s="11"/>
      <c r="P40" s="2">
        <v>67.17</v>
      </c>
      <c r="Q40" s="2"/>
      <c r="R40" s="22">
        <f t="shared" si="8"/>
        <v>3.724144825156059E-5</v>
      </c>
      <c r="S40" s="2"/>
      <c r="T40" s="2"/>
      <c r="U40" s="2"/>
      <c r="V40" s="22">
        <f t="shared" si="9"/>
        <v>0</v>
      </c>
      <c r="W40" s="2"/>
      <c r="X40" s="2">
        <f t="shared" si="10"/>
        <v>67.17</v>
      </c>
      <c r="Y40" s="2"/>
      <c r="Z40" s="22">
        <f t="shared" si="11"/>
        <v>0</v>
      </c>
    </row>
    <row r="41" spans="1:26" s="24" customFormat="1" hidden="1" outlineLevel="1" x14ac:dyDescent="0.35">
      <c r="A41" s="51"/>
      <c r="B41" s="11" t="str">
        <f>CONCATENATE("          ", "5013", " - ", "PURCHASES @ COST-TRADE BOOKS")</f>
        <v xml:space="preserve">          5013 - PURCHASES @ COST-TRADE BOOKS</v>
      </c>
      <c r="C41" s="11"/>
      <c r="D41" s="2">
        <v>3531.13</v>
      </c>
      <c r="E41" s="2"/>
      <c r="F41" s="22">
        <f t="shared" si="4"/>
        <v>4.9883067996071883E-3</v>
      </c>
      <c r="G41" s="2"/>
      <c r="H41" s="2"/>
      <c r="I41" s="2"/>
      <c r="J41" s="22">
        <f t="shared" si="5"/>
        <v>0</v>
      </c>
      <c r="K41" s="2"/>
      <c r="L41" s="2">
        <f t="shared" si="6"/>
        <v>3531.13</v>
      </c>
      <c r="M41" s="2"/>
      <c r="N41" s="22">
        <f t="shared" si="7"/>
        <v>0</v>
      </c>
      <c r="O41" s="11"/>
      <c r="P41" s="2">
        <v>5656.98</v>
      </c>
      <c r="Q41" s="2"/>
      <c r="R41" s="22">
        <f t="shared" si="8"/>
        <v>3.1364318584206222E-3</v>
      </c>
      <c r="S41" s="2"/>
      <c r="T41" s="2"/>
      <c r="U41" s="2"/>
      <c r="V41" s="22">
        <f t="shared" si="9"/>
        <v>0</v>
      </c>
      <c r="W41" s="2"/>
      <c r="X41" s="2">
        <f t="shared" si="10"/>
        <v>5656.98</v>
      </c>
      <c r="Y41" s="2"/>
      <c r="Z41" s="22">
        <f t="shared" si="11"/>
        <v>0</v>
      </c>
    </row>
    <row r="42" spans="1:26" s="24" customFormat="1" hidden="1" outlineLevel="1" x14ac:dyDescent="0.35">
      <c r="A42" s="51"/>
      <c r="B42" s="11" t="str">
        <f>CONCATENATE("          ", "5014", " - ", "PURCHASES @ COST-REMAINDERS")</f>
        <v xml:space="preserve">          5014 - PURCHASES @ COST-REMAINDERS</v>
      </c>
      <c r="C42" s="11"/>
      <c r="D42" s="2"/>
      <c r="E42" s="2"/>
      <c r="F42" s="22">
        <f t="shared" si="4"/>
        <v>0</v>
      </c>
      <c r="G42" s="2"/>
      <c r="H42" s="2"/>
      <c r="I42" s="2"/>
      <c r="J42" s="22">
        <f t="shared" si="5"/>
        <v>0</v>
      </c>
      <c r="K42" s="2"/>
      <c r="L42" s="2">
        <f t="shared" si="6"/>
        <v>0</v>
      </c>
      <c r="M42" s="2"/>
      <c r="N42" s="22">
        <f t="shared" si="7"/>
        <v>0</v>
      </c>
      <c r="O42" s="11"/>
      <c r="P42" s="2">
        <v>90.41</v>
      </c>
      <c r="Q42" s="2"/>
      <c r="R42" s="22">
        <f t="shared" si="8"/>
        <v>5.0126534709298683E-5</v>
      </c>
      <c r="S42" s="2"/>
      <c r="T42" s="2"/>
      <c r="U42" s="2"/>
      <c r="V42" s="22">
        <f t="shared" si="9"/>
        <v>0</v>
      </c>
      <c r="W42" s="2"/>
      <c r="X42" s="2">
        <f t="shared" si="10"/>
        <v>90.41</v>
      </c>
      <c r="Y42" s="2"/>
      <c r="Z42" s="22">
        <f t="shared" si="11"/>
        <v>0</v>
      </c>
    </row>
    <row r="43" spans="1:26" s="24" customFormat="1" hidden="1" outlineLevel="1" x14ac:dyDescent="0.35">
      <c r="A43" s="51"/>
      <c r="B43" s="11" t="str">
        <f>CONCATENATE("          ", "5018", " - ", "PURCHASES @ COST-STUDY GUIDES")</f>
        <v xml:space="preserve">          5018 - PURCHASES @ COST-STUDY GUIDES</v>
      </c>
      <c r="C43" s="11"/>
      <c r="D43" s="2">
        <v>416</v>
      </c>
      <c r="E43" s="2"/>
      <c r="F43" s="22">
        <f t="shared" si="4"/>
        <v>5.8766899792321158E-4</v>
      </c>
      <c r="G43" s="2"/>
      <c r="H43" s="2"/>
      <c r="I43" s="2"/>
      <c r="J43" s="22">
        <f t="shared" si="5"/>
        <v>0</v>
      </c>
      <c r="K43" s="2"/>
      <c r="L43" s="2">
        <f t="shared" si="6"/>
        <v>416</v>
      </c>
      <c r="M43" s="2"/>
      <c r="N43" s="22">
        <f t="shared" si="7"/>
        <v>0</v>
      </c>
      <c r="O43" s="11"/>
      <c r="P43" s="2">
        <v>522.34</v>
      </c>
      <c r="Q43" s="2"/>
      <c r="R43" s="22">
        <f t="shared" si="8"/>
        <v>2.8960396128807739E-4</v>
      </c>
      <c r="S43" s="2"/>
      <c r="T43" s="2"/>
      <c r="U43" s="2"/>
      <c r="V43" s="22">
        <f t="shared" si="9"/>
        <v>0</v>
      </c>
      <c r="W43" s="2"/>
      <c r="X43" s="2">
        <f t="shared" si="10"/>
        <v>522.34</v>
      </c>
      <c r="Y43" s="2"/>
      <c r="Z43" s="22">
        <f t="shared" si="11"/>
        <v>0</v>
      </c>
    </row>
    <row r="44" spans="1:26" s="24" customFormat="1" hidden="1" outlineLevel="1" x14ac:dyDescent="0.35">
      <c r="A44" s="51"/>
      <c r="B44" s="11" t="str">
        <f>CONCATENATE("          ", "5200", " - ", "PURCHASES OFFSET")</f>
        <v xml:space="preserve">          5200 - PURCHASES OFFSET</v>
      </c>
      <c r="C44" s="11"/>
      <c r="D44" s="2">
        <v>-321969.30000000005</v>
      </c>
      <c r="E44" s="2"/>
      <c r="F44" s="22">
        <f t="shared" si="4"/>
        <v>-0.45483503820441806</v>
      </c>
      <c r="G44" s="2"/>
      <c r="H44" s="2"/>
      <c r="I44" s="2"/>
      <c r="J44" s="22">
        <f t="shared" si="5"/>
        <v>0</v>
      </c>
      <c r="K44" s="2"/>
      <c r="L44" s="2">
        <f t="shared" si="6"/>
        <v>-321969.30000000005</v>
      </c>
      <c r="M44" s="2"/>
      <c r="N44" s="22">
        <f t="shared" si="7"/>
        <v>0</v>
      </c>
      <c r="O44" s="11"/>
      <c r="P44" s="2">
        <v>-1672643.0999999999</v>
      </c>
      <c r="Q44" s="2"/>
      <c r="R44" s="22">
        <f t="shared" si="8"/>
        <v>-0.92737310483816993</v>
      </c>
      <c r="S44" s="2"/>
      <c r="T44" s="2"/>
      <c r="U44" s="2"/>
      <c r="V44" s="22">
        <f t="shared" si="9"/>
        <v>0</v>
      </c>
      <c r="W44" s="2"/>
      <c r="X44" s="2">
        <f t="shared" si="10"/>
        <v>-1672643.0999999999</v>
      </c>
      <c r="Y44" s="2"/>
      <c r="Z44" s="22">
        <f t="shared" si="11"/>
        <v>0</v>
      </c>
    </row>
    <row r="45" spans="1:26" s="24" customFormat="1" hidden="1" outlineLevel="1" x14ac:dyDescent="0.35">
      <c r="A45" s="51"/>
      <c r="B45" s="11" t="str">
        <f>CONCATENATE("          ", "5300", " - ", "COG$ OFFSET")</f>
        <v xml:space="preserve">          5300 - COG$ OFFSET</v>
      </c>
      <c r="C45" s="11"/>
      <c r="D45" s="2">
        <v>499754.00000000006</v>
      </c>
      <c r="E45" s="2"/>
      <c r="F45" s="22">
        <f t="shared" si="4"/>
        <v>0.70598541439451135</v>
      </c>
      <c r="G45" s="2"/>
      <c r="H45" s="2"/>
      <c r="I45" s="2"/>
      <c r="J45" s="22">
        <f t="shared" si="5"/>
        <v>0</v>
      </c>
      <c r="K45" s="2"/>
      <c r="L45" s="2">
        <f t="shared" si="6"/>
        <v>499754.00000000006</v>
      </c>
      <c r="M45" s="2"/>
      <c r="N45" s="22">
        <f t="shared" si="7"/>
        <v>0</v>
      </c>
      <c r="O45" s="11"/>
      <c r="P45" s="2">
        <v>1279451</v>
      </c>
      <c r="Q45" s="2"/>
      <c r="R45" s="22">
        <f t="shared" si="8"/>
        <v>0.70937335427880666</v>
      </c>
      <c r="S45" s="2"/>
      <c r="T45" s="2"/>
      <c r="U45" s="2"/>
      <c r="V45" s="22">
        <f t="shared" si="9"/>
        <v>0</v>
      </c>
      <c r="W45" s="2"/>
      <c r="X45" s="2">
        <f t="shared" si="10"/>
        <v>1279451</v>
      </c>
      <c r="Y45" s="2"/>
      <c r="Z45" s="22">
        <f t="shared" si="11"/>
        <v>0</v>
      </c>
    </row>
    <row r="46" spans="1:26" s="24" customFormat="1" hidden="1" outlineLevel="1" x14ac:dyDescent="0.35">
      <c r="A46" s="51"/>
      <c r="B46" s="11" t="str">
        <f>CONCATENATE("          ", "5501", " - ", "FREIGHT-IN-NEW TEXT")</f>
        <v xml:space="preserve">          5501 - FREIGHT-IN-NEW TEXT</v>
      </c>
      <c r="C46" s="11"/>
      <c r="D46" s="2">
        <v>7155.21</v>
      </c>
      <c r="E46" s="2"/>
      <c r="F46" s="22">
        <f t="shared" si="4"/>
        <v>1.0107920890937844E-2</v>
      </c>
      <c r="G46" s="2"/>
      <c r="H46" s="2"/>
      <c r="I46" s="2"/>
      <c r="J46" s="22">
        <f t="shared" si="5"/>
        <v>0</v>
      </c>
      <c r="K46" s="2"/>
      <c r="L46" s="2">
        <f t="shared" si="6"/>
        <v>7155.21</v>
      </c>
      <c r="M46" s="2"/>
      <c r="N46" s="22">
        <f t="shared" si="7"/>
        <v>0</v>
      </c>
      <c r="O46" s="11"/>
      <c r="P46" s="2">
        <v>44618.79</v>
      </c>
      <c r="Q46" s="2"/>
      <c r="R46" s="22">
        <f t="shared" si="8"/>
        <v>2.4738251583031844E-2</v>
      </c>
      <c r="S46" s="2"/>
      <c r="T46" s="2"/>
      <c r="U46" s="2"/>
      <c r="V46" s="22">
        <f t="shared" si="9"/>
        <v>0</v>
      </c>
      <c r="W46" s="2"/>
      <c r="X46" s="2">
        <f t="shared" si="10"/>
        <v>44618.79</v>
      </c>
      <c r="Y46" s="2"/>
      <c r="Z46" s="22">
        <f t="shared" si="11"/>
        <v>0</v>
      </c>
    </row>
    <row r="47" spans="1:26" s="24" customFormat="1" hidden="1" outlineLevel="1" x14ac:dyDescent="0.35">
      <c r="A47" s="51"/>
      <c r="B47" s="11" t="str">
        <f>CONCATENATE("          ", "5502", " - ", "FREIGHT-IN-USED TEXT")</f>
        <v xml:space="preserve">          5502 - FREIGHT-IN-USED TEXT</v>
      </c>
      <c r="C47" s="11"/>
      <c r="D47" s="2">
        <v>2129.7399999999998</v>
      </c>
      <c r="E47" s="2"/>
      <c r="F47" s="22">
        <f t="shared" si="4"/>
        <v>3.0086109895119725E-3</v>
      </c>
      <c r="G47" s="2"/>
      <c r="H47" s="2"/>
      <c r="I47" s="2"/>
      <c r="J47" s="22">
        <f t="shared" si="5"/>
        <v>0</v>
      </c>
      <c r="K47" s="2"/>
      <c r="L47" s="2">
        <f t="shared" si="6"/>
        <v>2129.7399999999998</v>
      </c>
      <c r="M47" s="2"/>
      <c r="N47" s="22">
        <f t="shared" si="7"/>
        <v>0</v>
      </c>
      <c r="O47" s="11"/>
      <c r="P47" s="2">
        <v>15652.310000000001</v>
      </c>
      <c r="Q47" s="2"/>
      <c r="R47" s="22">
        <f t="shared" si="8"/>
        <v>8.6781999833613864E-3</v>
      </c>
      <c r="S47" s="2"/>
      <c r="T47" s="2"/>
      <c r="U47" s="2"/>
      <c r="V47" s="22">
        <f t="shared" si="9"/>
        <v>0</v>
      </c>
      <c r="W47" s="2"/>
      <c r="X47" s="2">
        <f t="shared" si="10"/>
        <v>15652.310000000001</v>
      </c>
      <c r="Y47" s="2"/>
      <c r="Z47" s="22">
        <f t="shared" si="11"/>
        <v>0</v>
      </c>
    </row>
    <row r="48" spans="1:26" s="24" customFormat="1" hidden="1" outlineLevel="1" x14ac:dyDescent="0.35">
      <c r="A48" s="51"/>
      <c r="B48" s="11" t="str">
        <f>CONCATENATE("          ", "5504", " - ", "FREIGHT-IN-DIGITAL TEXT")</f>
        <v xml:space="preserve">          5504 - FREIGHT-IN-DIGITAL TEXT</v>
      </c>
      <c r="C48" s="11"/>
      <c r="D48" s="2"/>
      <c r="E48" s="2"/>
      <c r="F48" s="22">
        <f t="shared" si="4"/>
        <v>0</v>
      </c>
      <c r="G48" s="2"/>
      <c r="H48" s="2"/>
      <c r="I48" s="2"/>
      <c r="J48" s="22">
        <f t="shared" si="5"/>
        <v>0</v>
      </c>
      <c r="K48" s="2"/>
      <c r="L48" s="2">
        <f t="shared" si="6"/>
        <v>0</v>
      </c>
      <c r="M48" s="2"/>
      <c r="N48" s="22">
        <f t="shared" si="7"/>
        <v>0</v>
      </c>
      <c r="O48" s="11"/>
      <c r="P48" s="2">
        <v>21.98</v>
      </c>
      <c r="Q48" s="2"/>
      <c r="R48" s="22">
        <f t="shared" si="8"/>
        <v>1.2186497432920971E-5</v>
      </c>
      <c r="S48" s="2"/>
      <c r="T48" s="2"/>
      <c r="U48" s="2"/>
      <c r="V48" s="22">
        <f t="shared" si="9"/>
        <v>0</v>
      </c>
      <c r="W48" s="2"/>
      <c r="X48" s="2">
        <f t="shared" si="10"/>
        <v>21.98</v>
      </c>
      <c r="Y48" s="2"/>
      <c r="Z48" s="22">
        <f t="shared" si="11"/>
        <v>0</v>
      </c>
    </row>
    <row r="49" spans="1:26" s="24" customFormat="1" hidden="1" outlineLevel="1" x14ac:dyDescent="0.35">
      <c r="A49" s="51"/>
      <c r="B49" s="11" t="str">
        <f>CONCATENATE("          ", "5513", " - ", "FREIGHT-IN-TRADE BOOKS")</f>
        <v xml:space="preserve">          5513 - FREIGHT-IN-TRADE BOOKS</v>
      </c>
      <c r="C49" s="11"/>
      <c r="D49" s="2">
        <v>7.06</v>
      </c>
      <c r="E49" s="2"/>
      <c r="F49" s="22">
        <f t="shared" si="4"/>
        <v>9.9734209743698884E-6</v>
      </c>
      <c r="G49" s="2"/>
      <c r="H49" s="2"/>
      <c r="I49" s="2"/>
      <c r="J49" s="22">
        <f t="shared" si="5"/>
        <v>0</v>
      </c>
      <c r="K49" s="2"/>
      <c r="L49" s="2">
        <f t="shared" si="6"/>
        <v>7.06</v>
      </c>
      <c r="M49" s="2"/>
      <c r="N49" s="22">
        <f t="shared" si="7"/>
        <v>0</v>
      </c>
      <c r="O49" s="11"/>
      <c r="P49" s="2">
        <v>33.520000000000003</v>
      </c>
      <c r="Q49" s="2"/>
      <c r="R49" s="22">
        <f t="shared" si="8"/>
        <v>1.8584685803071474E-5</v>
      </c>
      <c r="S49" s="2"/>
      <c r="T49" s="2"/>
      <c r="U49" s="2"/>
      <c r="V49" s="22">
        <f t="shared" si="9"/>
        <v>0</v>
      </c>
      <c r="W49" s="2"/>
      <c r="X49" s="2">
        <f t="shared" si="10"/>
        <v>33.520000000000003</v>
      </c>
      <c r="Y49" s="2"/>
      <c r="Z49" s="22">
        <f t="shared" si="11"/>
        <v>0</v>
      </c>
    </row>
    <row r="50" spans="1:26" x14ac:dyDescent="0.3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35">
      <c r="A51" s="10"/>
      <c r="B51" s="26" t="s">
        <v>6</v>
      </c>
      <c r="C51" s="26"/>
      <c r="D51" s="19">
        <f>D12-D34</f>
        <v>208127.48000000004</v>
      </c>
      <c r="E51" s="13"/>
      <c r="F51" s="21">
        <f>IF(D$12=0,0,D51/D$12)</f>
        <v>0.29401458560548865</v>
      </c>
      <c r="G51" s="13"/>
      <c r="H51" s="19">
        <f>H12-H34</f>
        <v>269391</v>
      </c>
      <c r="I51" s="13"/>
      <c r="J51" s="21">
        <f>IF(H$12=0,0,H51/H$12)</f>
        <v>0.27387794232917895</v>
      </c>
      <c r="K51" s="16"/>
      <c r="L51" s="19">
        <f>+D51-H51</f>
        <v>-61263.51999999996</v>
      </c>
      <c r="M51" s="16"/>
      <c r="N51" s="21">
        <f>IF(H51=0,0,L51/H51)</f>
        <v>-0.22741487280569864</v>
      </c>
      <c r="O51" s="25"/>
      <c r="P51" s="19">
        <f>P12-P34</f>
        <v>524184.54999999935</v>
      </c>
      <c r="Q51" s="13"/>
      <c r="R51" s="21">
        <f>IF(P$12=0,0,P51/P$12)</f>
        <v>0.29062664572119323</v>
      </c>
      <c r="S51" s="13"/>
      <c r="T51" s="19">
        <f>T12-T34</f>
        <v>766735.99999999977</v>
      </c>
      <c r="U51" s="13"/>
      <c r="V51" s="21">
        <f>IF(T$12=0,0,T51/T$12)</f>
        <v>0.27271362750070594</v>
      </c>
      <c r="W51" s="16"/>
      <c r="X51" s="19">
        <f>+P51-T51</f>
        <v>-242551.45000000042</v>
      </c>
      <c r="Y51" s="16"/>
      <c r="Z51" s="21">
        <f>IF(T51=0,0,X51/T51)</f>
        <v>-0.31634284812503977</v>
      </c>
    </row>
    <row r="52" spans="1:26" x14ac:dyDescent="0.35">
      <c r="A52" s="9"/>
      <c r="B52" s="10"/>
      <c r="C52" s="9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6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x14ac:dyDescent="0.35">
      <c r="A53" s="10"/>
      <c r="B53" s="25" t="s">
        <v>9</v>
      </c>
      <c r="C53" s="10"/>
      <c r="D53" s="20">
        <f>SUM(OSRRefD22x_0)</f>
        <v>58886.079999999994</v>
      </c>
      <c r="E53" s="20"/>
      <c r="F53" s="30">
        <f t="shared" ref="F53:F64" si="12">IF(D$12=0,0,D53/D$12)</f>
        <v>8.3186354868331897E-2</v>
      </c>
      <c r="G53" s="20"/>
      <c r="H53" s="20">
        <f>SUM(OSRRefH22x_0)</f>
        <v>94552.11966682694</v>
      </c>
      <c r="I53" s="20"/>
      <c r="J53" s="30">
        <f t="shared" ref="J53:J64" si="13">IF(H$12=0,0,H53/H$12)</f>
        <v>9.6126967779966127E-2</v>
      </c>
      <c r="K53" s="4"/>
      <c r="L53" s="20">
        <f t="shared" ref="L53:L64" si="14">+D53-H53</f>
        <v>-35666.039666826946</v>
      </c>
      <c r="M53" s="4"/>
      <c r="N53" s="30">
        <f t="shared" ref="N53:N64" si="15">IF(H53=0,0,L53/H53)</f>
        <v>-0.37721036601298075</v>
      </c>
      <c r="O53" s="10"/>
      <c r="P53" s="20">
        <f>SUM(OSRRefP22x_0)</f>
        <v>322990.58999999991</v>
      </c>
      <c r="Q53" s="20"/>
      <c r="R53" s="30">
        <f t="shared" ref="R53:R64" si="16">IF(P$12=0,0,P53/P$12)</f>
        <v>0.17907752483587938</v>
      </c>
      <c r="S53" s="20"/>
      <c r="T53" s="20">
        <f>SUM(OSRRefT22x_0)</f>
        <v>404853.12989692693</v>
      </c>
      <c r="U53" s="20"/>
      <c r="V53" s="30">
        <f t="shared" ref="V53:V64" si="17">IF(T$12=0,0,T53/T$12)</f>
        <v>0.14399867184950946</v>
      </c>
      <c r="W53" s="4"/>
      <c r="X53" s="20">
        <f t="shared" ref="X53:X64" si="18">+P53-T53</f>
        <v>-81862.539896927017</v>
      </c>
      <c r="Y53" s="4"/>
      <c r="Z53" s="30">
        <f t="shared" ref="Z53:Z64" si="19">IF(T53=0,0,X53/T53)</f>
        <v>-0.20220305550748419</v>
      </c>
    </row>
    <row r="54" spans="1:26" s="28" customFormat="1" outlineLevel="1" collapsed="1" x14ac:dyDescent="0.35">
      <c r="A54" s="27"/>
      <c r="B54" s="14" t="str">
        <f>CONCATENATE("     ","*Benefits                                         ")</f>
        <v xml:space="preserve">     *Benefits                                         </v>
      </c>
      <c r="C54" s="14"/>
      <c r="D54" s="1">
        <f>SUM(OSRRefD22_0x_0)</f>
        <v>13034.259999999998</v>
      </c>
      <c r="E54" s="1"/>
      <c r="F54" s="5">
        <f t="shared" si="12"/>
        <v>1.8413054117477401E-2</v>
      </c>
      <c r="G54" s="1"/>
      <c r="H54" s="1">
        <f>SUM(OSRRefH22_0x_0)</f>
        <v>16114.680737211538</v>
      </c>
      <c r="I54" s="1"/>
      <c r="J54" s="5">
        <f t="shared" si="13"/>
        <v>1.6383084815747937E-2</v>
      </c>
      <c r="K54" s="1"/>
      <c r="L54" s="1">
        <f t="shared" si="14"/>
        <v>-3080.4207372115397</v>
      </c>
      <c r="M54" s="1"/>
      <c r="N54" s="5">
        <f t="shared" si="15"/>
        <v>-0.19115617538101914</v>
      </c>
      <c r="O54" s="14"/>
      <c r="P54" s="1">
        <f>SUM(OSRRefP22_0x_0)</f>
        <v>81797.209999999992</v>
      </c>
      <c r="Q54" s="1"/>
      <c r="R54" s="5">
        <f t="shared" si="16"/>
        <v>4.5351296164017174E-2</v>
      </c>
      <c r="S54" s="1"/>
      <c r="T54" s="1">
        <f>SUM(OSRRefT22_0x_0)</f>
        <v>89735.927033311527</v>
      </c>
      <c r="U54" s="1"/>
      <c r="V54" s="5">
        <f t="shared" si="17"/>
        <v>3.191738770371165E-2</v>
      </c>
      <c r="W54" s="1"/>
      <c r="X54" s="1">
        <f t="shared" si="18"/>
        <v>-7938.7170333115355</v>
      </c>
      <c r="Y54" s="1"/>
      <c r="Z54" s="5">
        <f t="shared" si="19"/>
        <v>-8.8467543555487499E-2</v>
      </c>
    </row>
    <row r="55" spans="1:26" s="24" customFormat="1" hidden="1" outlineLevel="2" x14ac:dyDescent="0.35">
      <c r="A55" s="29"/>
      <c r="B55" s="11" t="str">
        <f>CONCATENATE("          ", "6111", " - ", "F.I.C.A.")</f>
        <v xml:space="preserve">          6111 - F.I.C.A.</v>
      </c>
      <c r="C55" s="11"/>
      <c r="D55" s="7">
        <v>2182.61</v>
      </c>
      <c r="E55" s="2"/>
      <c r="F55" s="6">
        <f t="shared" si="12"/>
        <v>3.0832986335509157E-3</v>
      </c>
      <c r="G55" s="2"/>
      <c r="H55" s="7">
        <v>3099.0375357980797</v>
      </c>
      <c r="I55" s="2"/>
      <c r="J55" s="6">
        <f t="shared" si="13"/>
        <v>3.150654711943856E-3</v>
      </c>
      <c r="K55" s="2"/>
      <c r="L55" s="7">
        <f t="shared" si="14"/>
        <v>-916.42753579807959</v>
      </c>
      <c r="M55" s="2"/>
      <c r="N55" s="6">
        <f t="shared" si="15"/>
        <v>-0.29571359662866314</v>
      </c>
      <c r="O55" s="11"/>
      <c r="P55" s="7">
        <v>15125.609999999999</v>
      </c>
      <c r="Q55" s="2"/>
      <c r="R55" s="6">
        <f t="shared" si="16"/>
        <v>8.386178682273147E-3</v>
      </c>
      <c r="S55" s="2"/>
      <c r="T55" s="7">
        <v>14338.690219898081</v>
      </c>
      <c r="U55" s="2"/>
      <c r="V55" s="6">
        <f t="shared" si="17"/>
        <v>5.1000034216174819E-3</v>
      </c>
      <c r="W55" s="2"/>
      <c r="X55" s="7">
        <f t="shared" si="18"/>
        <v>786.91978010191815</v>
      </c>
      <c r="Y55" s="2"/>
      <c r="Z55" s="6">
        <f t="shared" si="19"/>
        <v>5.4880869035715284E-2</v>
      </c>
    </row>
    <row r="56" spans="1:26" s="24" customFormat="1" hidden="1" outlineLevel="2" x14ac:dyDescent="0.35">
      <c r="A56" s="29"/>
      <c r="B56" s="11" t="str">
        <f>CONCATENATE("          ", "6112", " - ", "COMPENSATION INSURANCE")</f>
        <v xml:space="preserve">          6112 - COMPENSATION INSURANCE</v>
      </c>
      <c r="C56" s="11"/>
      <c r="D56" s="7">
        <v>-125.07</v>
      </c>
      <c r="E56" s="2"/>
      <c r="F56" s="6">
        <f t="shared" si="12"/>
        <v>-1.7668211915926939E-4</v>
      </c>
      <c r="G56" s="2"/>
      <c r="H56" s="7">
        <v>1309.7489062019199</v>
      </c>
      <c r="I56" s="2"/>
      <c r="J56" s="6">
        <f t="shared" si="13"/>
        <v>1.3315639178683573E-3</v>
      </c>
      <c r="K56" s="2"/>
      <c r="L56" s="7">
        <f t="shared" si="14"/>
        <v>-1434.8189062019198</v>
      </c>
      <c r="M56" s="2"/>
      <c r="N56" s="6">
        <f t="shared" si="15"/>
        <v>-1.095491585759506</v>
      </c>
      <c r="O56" s="11"/>
      <c r="P56" s="7">
        <v>856.97</v>
      </c>
      <c r="Q56" s="2"/>
      <c r="R56" s="6">
        <f t="shared" si="16"/>
        <v>4.7513479095042245E-4</v>
      </c>
      <c r="S56" s="2"/>
      <c r="T56" s="7">
        <v>4989.6527262019208</v>
      </c>
      <c r="U56" s="2"/>
      <c r="V56" s="6">
        <f t="shared" si="17"/>
        <v>1.7747259746918275E-3</v>
      </c>
      <c r="W56" s="2"/>
      <c r="X56" s="7">
        <f t="shared" si="18"/>
        <v>-4132.6827262019206</v>
      </c>
      <c r="Y56" s="2"/>
      <c r="Z56" s="6">
        <f t="shared" si="19"/>
        <v>-0.82825057232944588</v>
      </c>
    </row>
    <row r="57" spans="1:26" s="24" customFormat="1" hidden="1" outlineLevel="2" x14ac:dyDescent="0.35">
      <c r="A57" s="29"/>
      <c r="B57" s="11" t="str">
        <f>CONCATENATE("          ", "6113", " - ", "GROUP INSURANCE")</f>
        <v xml:space="preserve">          6113 - GROUP INSURANCE</v>
      </c>
      <c r="C57" s="11"/>
      <c r="D57" s="7">
        <v>4943.91</v>
      </c>
      <c r="E57" s="2"/>
      <c r="F57" s="6">
        <f t="shared" si="12"/>
        <v>6.9840928738522717E-3</v>
      </c>
      <c r="G57" s="2"/>
      <c r="H57" s="7">
        <v>4969.6153846153802</v>
      </c>
      <c r="I57" s="2"/>
      <c r="J57" s="6">
        <f t="shared" si="13"/>
        <v>5.0523886681659433E-3</v>
      </c>
      <c r="K57" s="2"/>
      <c r="L57" s="7">
        <f t="shared" si="14"/>
        <v>-25.705384615380353</v>
      </c>
      <c r="M57" s="2"/>
      <c r="N57" s="6">
        <f t="shared" si="15"/>
        <v>-5.1725098676564489E-3</v>
      </c>
      <c r="O57" s="11"/>
      <c r="P57" s="7">
        <v>30332.129999999997</v>
      </c>
      <c r="Q57" s="2"/>
      <c r="R57" s="6">
        <f t="shared" si="16"/>
        <v>1.6817216759782764E-2</v>
      </c>
      <c r="S57" s="2"/>
      <c r="T57" s="7">
        <v>33559.615384615383</v>
      </c>
      <c r="U57" s="2"/>
      <c r="V57" s="6">
        <f t="shared" si="17"/>
        <v>1.193652632596743E-2</v>
      </c>
      <c r="W57" s="2"/>
      <c r="X57" s="7">
        <f t="shared" si="18"/>
        <v>-3227.4853846153856</v>
      </c>
      <c r="Y57" s="2"/>
      <c r="Z57" s="6">
        <f t="shared" si="19"/>
        <v>-9.6171703627299335E-2</v>
      </c>
    </row>
    <row r="58" spans="1:26" s="24" customFormat="1" hidden="1" outlineLevel="2" x14ac:dyDescent="0.35">
      <c r="A58" s="29"/>
      <c r="B58" s="11" t="str">
        <f>CONCATENATE("          ", "6114", " - ", "STATE UNEMPLOYMENT INSURANCE")</f>
        <v xml:space="preserve">          6114 - STATE UNEMPLOYMENT INSURANCE</v>
      </c>
      <c r="C58" s="11"/>
      <c r="D58" s="7">
        <v>149.4</v>
      </c>
      <c r="E58" s="2"/>
      <c r="F58" s="6">
        <f t="shared" si="12"/>
        <v>2.1105227954261492E-4</v>
      </c>
      <c r="G58" s="2"/>
      <c r="H58" s="7">
        <v>184.07281925000001</v>
      </c>
      <c r="I58" s="2"/>
      <c r="J58" s="6">
        <f t="shared" si="13"/>
        <v>1.8713871278149932E-4</v>
      </c>
      <c r="K58" s="2"/>
      <c r="L58" s="7">
        <f t="shared" si="14"/>
        <v>-34.672819250000003</v>
      </c>
      <c r="M58" s="2"/>
      <c r="N58" s="6">
        <f t="shared" si="15"/>
        <v>-0.18836468844924262</v>
      </c>
      <c r="O58" s="11"/>
      <c r="P58" s="7">
        <v>532.15</v>
      </c>
      <c r="Q58" s="2"/>
      <c r="R58" s="6">
        <f t="shared" si="16"/>
        <v>2.9504297583843927E-4</v>
      </c>
      <c r="S58" s="2"/>
      <c r="T58" s="7">
        <v>701.24849125000003</v>
      </c>
      <c r="U58" s="2"/>
      <c r="V58" s="6">
        <f t="shared" si="17"/>
        <v>2.494209477945272E-4</v>
      </c>
      <c r="W58" s="2"/>
      <c r="X58" s="7">
        <f t="shared" si="18"/>
        <v>-169.09849125000005</v>
      </c>
      <c r="Y58" s="2"/>
      <c r="Z58" s="6">
        <f t="shared" si="19"/>
        <v>-0.24113918726381295</v>
      </c>
    </row>
    <row r="59" spans="1:26" s="24" customFormat="1" hidden="1" outlineLevel="2" x14ac:dyDescent="0.35">
      <c r="A59" s="29"/>
      <c r="B59" s="11" t="str">
        <f>CONCATENATE("          ", "6115", " - ", "P.E.R.S.")</f>
        <v xml:space="preserve">          6115 - P.E.R.S.</v>
      </c>
      <c r="C59" s="11"/>
      <c r="D59" s="7">
        <v>2689.05</v>
      </c>
      <c r="E59" s="2"/>
      <c r="F59" s="6">
        <f t="shared" si="12"/>
        <v>3.7987291318880103E-3</v>
      </c>
      <c r="G59" s="2"/>
      <c r="H59" s="7">
        <v>1585.67246538462</v>
      </c>
      <c r="I59" s="2"/>
      <c r="J59" s="6">
        <f t="shared" si="13"/>
        <v>1.6120832248574597E-3</v>
      </c>
      <c r="K59" s="2"/>
      <c r="L59" s="7">
        <f t="shared" si="14"/>
        <v>1103.3775346153802</v>
      </c>
      <c r="M59" s="2"/>
      <c r="N59" s="6">
        <f t="shared" si="15"/>
        <v>0.69584202204567225</v>
      </c>
      <c r="O59" s="11"/>
      <c r="P59" s="7">
        <v>13175.29</v>
      </c>
      <c r="Q59" s="2"/>
      <c r="R59" s="6">
        <f t="shared" si="16"/>
        <v>7.304851581573674E-3</v>
      </c>
      <c r="S59" s="2"/>
      <c r="T59" s="7">
        <v>9831.1692853846198</v>
      </c>
      <c r="U59" s="2"/>
      <c r="V59" s="6">
        <f t="shared" si="17"/>
        <v>3.4967626906663618E-3</v>
      </c>
      <c r="W59" s="2"/>
      <c r="X59" s="7">
        <f t="shared" si="18"/>
        <v>3344.1207146153811</v>
      </c>
      <c r="Y59" s="2"/>
      <c r="Z59" s="6">
        <f t="shared" si="19"/>
        <v>0.34015493147767017</v>
      </c>
    </row>
    <row r="60" spans="1:26" s="24" customFormat="1" hidden="1" outlineLevel="2" x14ac:dyDescent="0.35">
      <c r="A60" s="29"/>
      <c r="B60" s="11" t="str">
        <f>CONCATENATE("          ", "6116", " - ", "EDUCATIONAL BENEFITS")</f>
        <v xml:space="preserve">          6116 - EDUCATIONAL BENEFITS</v>
      </c>
      <c r="C60" s="11"/>
      <c r="D60" s="7"/>
      <c r="E60" s="2"/>
      <c r="F60" s="6">
        <f t="shared" si="12"/>
        <v>0</v>
      </c>
      <c r="G60" s="2"/>
      <c r="H60" s="7">
        <v>0</v>
      </c>
      <c r="I60" s="2"/>
      <c r="J60" s="6">
        <f t="shared" si="13"/>
        <v>0</v>
      </c>
      <c r="K60" s="2"/>
      <c r="L60" s="7">
        <f t="shared" si="14"/>
        <v>0</v>
      </c>
      <c r="M60" s="2"/>
      <c r="N60" s="6">
        <f t="shared" si="15"/>
        <v>0</v>
      </c>
      <c r="O60" s="11"/>
      <c r="P60" s="7"/>
      <c r="Q60" s="2"/>
      <c r="R60" s="6">
        <f t="shared" si="16"/>
        <v>0</v>
      </c>
      <c r="S60" s="2"/>
      <c r="T60" s="7">
        <v>0</v>
      </c>
      <c r="U60" s="2"/>
      <c r="V60" s="6">
        <f t="shared" si="17"/>
        <v>0</v>
      </c>
      <c r="W60" s="2"/>
      <c r="X60" s="7">
        <f t="shared" si="18"/>
        <v>0</v>
      </c>
      <c r="Y60" s="2"/>
      <c r="Z60" s="6">
        <f t="shared" si="19"/>
        <v>0</v>
      </c>
    </row>
    <row r="61" spans="1:26" s="24" customFormat="1" hidden="1" outlineLevel="2" x14ac:dyDescent="0.35">
      <c r="A61" s="29"/>
      <c r="B61" s="11" t="str">
        <f>CONCATENATE("          ", "6117", " - ", "RETIREMENT STAFF HOURLY")</f>
        <v xml:space="preserve">          6117 - RETIREMENT STAFF HOURLY</v>
      </c>
      <c r="C61" s="11"/>
      <c r="D61" s="7">
        <v>297.92</v>
      </c>
      <c r="E61" s="2"/>
      <c r="F61" s="6">
        <f t="shared" si="12"/>
        <v>4.2086141312808461E-4</v>
      </c>
      <c r="G61" s="2"/>
      <c r="H61" s="7"/>
      <c r="I61" s="2"/>
      <c r="J61" s="6">
        <f t="shared" si="13"/>
        <v>0</v>
      </c>
      <c r="K61" s="2"/>
      <c r="L61" s="7">
        <f t="shared" si="14"/>
        <v>297.92</v>
      </c>
      <c r="M61" s="2"/>
      <c r="N61" s="6">
        <f t="shared" si="15"/>
        <v>0</v>
      </c>
      <c r="O61" s="11"/>
      <c r="P61" s="7">
        <v>1842.08</v>
      </c>
      <c r="Q61" s="2"/>
      <c r="R61" s="6">
        <f t="shared" si="16"/>
        <v>1.0213149768532786E-3</v>
      </c>
      <c r="S61" s="2"/>
      <c r="T61" s="7"/>
      <c r="U61" s="2"/>
      <c r="V61" s="6">
        <f t="shared" si="17"/>
        <v>0</v>
      </c>
      <c r="W61" s="2"/>
      <c r="X61" s="7">
        <f t="shared" si="18"/>
        <v>1842.08</v>
      </c>
      <c r="Y61" s="2"/>
      <c r="Z61" s="6">
        <f t="shared" si="19"/>
        <v>0</v>
      </c>
    </row>
    <row r="62" spans="1:26" s="24" customFormat="1" hidden="1" outlineLevel="2" x14ac:dyDescent="0.35">
      <c r="A62" s="29"/>
      <c r="B62" s="11" t="str">
        <f>CONCATENATE("          ", "6118", " - ", "VACATION")</f>
        <v xml:space="preserve">          6118 - VACATION</v>
      </c>
      <c r="C62" s="11"/>
      <c r="D62" s="7">
        <v>1526.05</v>
      </c>
      <c r="E62" s="2"/>
      <c r="F62" s="6">
        <f t="shared" si="12"/>
        <v>2.1557987362517237E-3</v>
      </c>
      <c r="G62" s="2"/>
      <c r="H62" s="7">
        <v>1682.75965</v>
      </c>
      <c r="I62" s="2"/>
      <c r="J62" s="6">
        <f t="shared" si="13"/>
        <v>1.7107874813062402E-3</v>
      </c>
      <c r="K62" s="2"/>
      <c r="L62" s="7">
        <f t="shared" si="14"/>
        <v>-156.70965000000001</v>
      </c>
      <c r="M62" s="2"/>
      <c r="N62" s="6">
        <f t="shared" si="15"/>
        <v>-9.3126579306795243E-2</v>
      </c>
      <c r="O62" s="11"/>
      <c r="P62" s="7">
        <v>9302.7000000000007</v>
      </c>
      <c r="Q62" s="2"/>
      <c r="R62" s="6">
        <f t="shared" si="16"/>
        <v>5.157749302512918E-3</v>
      </c>
      <c r="S62" s="2"/>
      <c r="T62" s="7">
        <v>10433.109829999999</v>
      </c>
      <c r="U62" s="2"/>
      <c r="V62" s="6">
        <f t="shared" si="17"/>
        <v>3.7108616627529868E-3</v>
      </c>
      <c r="W62" s="2"/>
      <c r="X62" s="7">
        <f t="shared" si="18"/>
        <v>-1130.4098299999987</v>
      </c>
      <c r="Y62" s="2"/>
      <c r="Z62" s="6">
        <f t="shared" si="19"/>
        <v>-0.10834831113821398</v>
      </c>
    </row>
    <row r="63" spans="1:26" s="24" customFormat="1" hidden="1" outlineLevel="2" x14ac:dyDescent="0.35">
      <c r="A63" s="29"/>
      <c r="B63" s="11" t="str">
        <f>CONCATENATE("          ", "6119", " - ", "SICK LEAVE")</f>
        <v xml:space="preserve">          6119 - SICK LEAVE</v>
      </c>
      <c r="C63" s="11"/>
      <c r="D63" s="7">
        <v>1147.56</v>
      </c>
      <c r="E63" s="2"/>
      <c r="F63" s="6">
        <f t="shared" si="12"/>
        <v>1.6211188347518286E-3</v>
      </c>
      <c r="G63" s="2"/>
      <c r="H63" s="7">
        <v>2533.7739759615401</v>
      </c>
      <c r="I63" s="2"/>
      <c r="J63" s="6">
        <f t="shared" si="13"/>
        <v>2.5759761939469733E-3</v>
      </c>
      <c r="K63" s="2"/>
      <c r="L63" s="7">
        <f t="shared" si="14"/>
        <v>-1386.2139759615402</v>
      </c>
      <c r="M63" s="2"/>
      <c r="N63" s="6">
        <f t="shared" si="15"/>
        <v>-0.54709456688435942</v>
      </c>
      <c r="O63" s="11"/>
      <c r="P63" s="7">
        <v>7591.9</v>
      </c>
      <c r="Q63" s="2"/>
      <c r="R63" s="6">
        <f t="shared" si="16"/>
        <v>4.2092206488167751E-3</v>
      </c>
      <c r="S63" s="2"/>
      <c r="T63" s="7">
        <v>10632.44109596154</v>
      </c>
      <c r="U63" s="2"/>
      <c r="V63" s="6">
        <f t="shared" si="17"/>
        <v>3.7817600588302283E-3</v>
      </c>
      <c r="W63" s="2"/>
      <c r="X63" s="7">
        <f t="shared" si="18"/>
        <v>-3040.5410959615401</v>
      </c>
      <c r="Y63" s="2"/>
      <c r="Z63" s="6">
        <f t="shared" si="19"/>
        <v>-0.28596829914406124</v>
      </c>
    </row>
    <row r="64" spans="1:26" s="24" customFormat="1" hidden="1" outlineLevel="2" x14ac:dyDescent="0.35">
      <c r="A64" s="29"/>
      <c r="B64" s="11" t="str">
        <f>CONCATENATE("          ", "6156", " - ", "EMPLOYEE MEALS")</f>
        <v xml:space="preserve">          6156 - EMPLOYEE MEALS</v>
      </c>
      <c r="C64" s="11"/>
      <c r="D64" s="7">
        <v>222.83</v>
      </c>
      <c r="E64" s="2"/>
      <c r="F64" s="6">
        <f t="shared" si="12"/>
        <v>3.1478433367122414E-4</v>
      </c>
      <c r="G64" s="2"/>
      <c r="H64" s="7">
        <v>750</v>
      </c>
      <c r="I64" s="2"/>
      <c r="J64" s="6">
        <f t="shared" si="13"/>
        <v>7.6249190487760992E-4</v>
      </c>
      <c r="K64" s="2"/>
      <c r="L64" s="7">
        <f t="shared" si="14"/>
        <v>-527.16999999999996</v>
      </c>
      <c r="M64" s="2"/>
      <c r="N64" s="6">
        <f t="shared" si="15"/>
        <v>-0.70289333333333326</v>
      </c>
      <c r="O64" s="11"/>
      <c r="P64" s="7">
        <v>3038.38</v>
      </c>
      <c r="Q64" s="2"/>
      <c r="R64" s="6">
        <f t="shared" si="16"/>
        <v>1.6845864454157608E-3</v>
      </c>
      <c r="S64" s="2"/>
      <c r="T64" s="7">
        <v>5250</v>
      </c>
      <c r="U64" s="2"/>
      <c r="V64" s="6">
        <f t="shared" si="17"/>
        <v>1.8673266213908133E-3</v>
      </c>
      <c r="W64" s="2"/>
      <c r="X64" s="7">
        <f t="shared" si="18"/>
        <v>-2211.62</v>
      </c>
      <c r="Y64" s="2"/>
      <c r="Z64" s="6">
        <f t="shared" si="19"/>
        <v>-0.42126095238095235</v>
      </c>
    </row>
    <row r="65" spans="1:26" s="28" customFormat="1" outlineLevel="1" collapsed="1" x14ac:dyDescent="0.35">
      <c r="A65" s="27"/>
      <c r="B65" s="14" t="str">
        <f>CONCATENATE("     ","*Payroll                                          ")</f>
        <v xml:space="preserve">     *Payroll                                          </v>
      </c>
      <c r="C65" s="14"/>
      <c r="D65" s="1">
        <f>SUM(OSRRefD22_1x_0)</f>
        <v>38361.300000000003</v>
      </c>
      <c r="E65" s="1"/>
      <c r="F65" s="5">
        <f t="shared" ref="F65:F75" si="20">IF(D$12=0,0,D65/D$12)</f>
        <v>5.4191698870268507E-2</v>
      </c>
      <c r="G65" s="1"/>
      <c r="H65" s="1">
        <f>SUM(OSRRefH22_1x_0)</f>
        <v>68172.438929615411</v>
      </c>
      <c r="I65" s="1"/>
      <c r="J65" s="5">
        <f t="shared" ref="J65:J75" si="21">IF(H$12=0,0,H65/H$12)</f>
        <v>6.9307910426126648E-2</v>
      </c>
      <c r="K65" s="1"/>
      <c r="L65" s="1">
        <f t="shared" ref="L65:L75" si="22">+D65-H65</f>
        <v>-29811.138929615408</v>
      </c>
      <c r="M65" s="1"/>
      <c r="N65" s="5">
        <f t="shared" ref="N65:N75" si="23">IF(H65=0,0,L65/H65)</f>
        <v>-0.43729019230768462</v>
      </c>
      <c r="O65" s="14"/>
      <c r="P65" s="1">
        <f>SUM(OSRRefP22_1x_0)</f>
        <v>203768.37</v>
      </c>
      <c r="Q65" s="1"/>
      <c r="R65" s="5">
        <f t="shared" ref="R65:R75" si="24">IF(P$12=0,0,P65/P$12)</f>
        <v>0.11297646578323434</v>
      </c>
      <c r="S65" s="1"/>
      <c r="T65" s="1">
        <f>SUM(OSRRefT22_1x_0)</f>
        <v>253437.20286361538</v>
      </c>
      <c r="U65" s="1"/>
      <c r="V65" s="5">
        <f t="shared" ref="V65:V75" si="25">IF(T$12=0,0,T65/T$12)</f>
        <v>9.0142863953914867E-2</v>
      </c>
      <c r="W65" s="1"/>
      <c r="X65" s="1">
        <f t="shared" ref="X65:X75" si="26">+P65-T65</f>
        <v>-49668.832863615389</v>
      </c>
      <c r="Y65" s="1"/>
      <c r="Z65" s="5">
        <f t="shared" ref="Z65:Z75" si="27">IF(T65=0,0,X65/T65)</f>
        <v>-0.19598082800157859</v>
      </c>
    </row>
    <row r="66" spans="1:26" s="24" customFormat="1" hidden="1" outlineLevel="2" x14ac:dyDescent="0.35">
      <c r="A66" s="29"/>
      <c r="B66" s="11" t="str">
        <f>CONCATENATE("          ", "6001", " - ", "ADMINISTRATIVE SALARIES")</f>
        <v xml:space="preserve">          6001 - ADMINISTRATIVE SALARIES</v>
      </c>
      <c r="C66" s="11"/>
      <c r="D66" s="7"/>
      <c r="E66" s="2"/>
      <c r="F66" s="6">
        <f t="shared" si="20"/>
        <v>0</v>
      </c>
      <c r="G66" s="2"/>
      <c r="H66" s="7">
        <v>0</v>
      </c>
      <c r="I66" s="2"/>
      <c r="J66" s="6">
        <f t="shared" si="21"/>
        <v>0</v>
      </c>
      <c r="K66" s="2"/>
      <c r="L66" s="7">
        <f t="shared" si="22"/>
        <v>0</v>
      </c>
      <c r="M66" s="2"/>
      <c r="N66" s="6">
        <f t="shared" si="23"/>
        <v>0</v>
      </c>
      <c r="O66" s="11"/>
      <c r="P66" s="7">
        <v>-311.32</v>
      </c>
      <c r="Q66" s="2"/>
      <c r="R66" s="6">
        <f t="shared" si="24"/>
        <v>-1.7260693270322824E-4</v>
      </c>
      <c r="S66" s="2"/>
      <c r="T66" s="7">
        <v>0</v>
      </c>
      <c r="U66" s="2"/>
      <c r="V66" s="6">
        <f t="shared" si="25"/>
        <v>0</v>
      </c>
      <c r="W66" s="2"/>
      <c r="X66" s="7">
        <f t="shared" si="26"/>
        <v>-311.32</v>
      </c>
      <c r="Y66" s="2"/>
      <c r="Z66" s="6">
        <f t="shared" si="27"/>
        <v>0</v>
      </c>
    </row>
    <row r="67" spans="1:26" s="24" customFormat="1" hidden="1" outlineLevel="2" x14ac:dyDescent="0.35">
      <c r="A67" s="29"/>
      <c r="B67" s="11" t="str">
        <f>CONCATENATE("          ", "6002", " - ", "STAFF SALARIES")</f>
        <v xml:space="preserve">          6002 - STAFF SALARIES</v>
      </c>
      <c r="C67" s="11"/>
      <c r="D67" s="7">
        <v>24862.47</v>
      </c>
      <c r="E67" s="2"/>
      <c r="F67" s="6">
        <f t="shared" si="20"/>
        <v>3.5122362574028634E-2</v>
      </c>
      <c r="G67" s="2"/>
      <c r="H67" s="7">
        <v>16384.0650796154</v>
      </c>
      <c r="I67" s="2"/>
      <c r="J67" s="6">
        <f t="shared" si="21"/>
        <v>1.6656955989592902E-2</v>
      </c>
      <c r="K67" s="2"/>
      <c r="L67" s="7">
        <f t="shared" si="22"/>
        <v>8478.4049203846007</v>
      </c>
      <c r="M67" s="2"/>
      <c r="N67" s="6">
        <f t="shared" si="23"/>
        <v>0.51747871356621977</v>
      </c>
      <c r="O67" s="11"/>
      <c r="P67" s="7">
        <v>121360.67000000001</v>
      </c>
      <c r="Q67" s="2"/>
      <c r="R67" s="6">
        <f t="shared" si="24"/>
        <v>6.7286692147978583E-2</v>
      </c>
      <c r="S67" s="2"/>
      <c r="T67" s="7">
        <v>101581.20349361539</v>
      </c>
      <c r="U67" s="2"/>
      <c r="V67" s="6">
        <f t="shared" si="25"/>
        <v>3.61305305745801E-2</v>
      </c>
      <c r="W67" s="2"/>
      <c r="X67" s="7">
        <f t="shared" si="26"/>
        <v>19779.466506384619</v>
      </c>
      <c r="Y67" s="2"/>
      <c r="Z67" s="6">
        <f t="shared" si="27"/>
        <v>0.19471581184434186</v>
      </c>
    </row>
    <row r="68" spans="1:26" s="24" customFormat="1" hidden="1" outlineLevel="2" x14ac:dyDescent="0.35">
      <c r="A68" s="29"/>
      <c r="B68" s="11" t="str">
        <f>CONCATENATE("          ", "6003", " - ", "STAFF HOURLY-9 MONTH")</f>
        <v xml:space="preserve">          6003 - STAFF HOURLY-9 MONTH</v>
      </c>
      <c r="C68" s="11"/>
      <c r="D68" s="7"/>
      <c r="E68" s="2"/>
      <c r="F68" s="6">
        <f t="shared" si="20"/>
        <v>0</v>
      </c>
      <c r="G68" s="2"/>
      <c r="H68" s="7">
        <v>0</v>
      </c>
      <c r="I68" s="2"/>
      <c r="J68" s="6">
        <f t="shared" si="21"/>
        <v>0</v>
      </c>
      <c r="K68" s="2"/>
      <c r="L68" s="7">
        <f t="shared" si="22"/>
        <v>0</v>
      </c>
      <c r="M68" s="2"/>
      <c r="N68" s="6">
        <f t="shared" si="23"/>
        <v>0</v>
      </c>
      <c r="O68" s="11"/>
      <c r="P68" s="7"/>
      <c r="Q68" s="2"/>
      <c r="R68" s="6">
        <f t="shared" si="24"/>
        <v>0</v>
      </c>
      <c r="S68" s="2"/>
      <c r="T68" s="7">
        <v>0</v>
      </c>
      <c r="U68" s="2"/>
      <c r="V68" s="6">
        <f t="shared" si="25"/>
        <v>0</v>
      </c>
      <c r="W68" s="2"/>
      <c r="X68" s="7">
        <f t="shared" si="26"/>
        <v>0</v>
      </c>
      <c r="Y68" s="2"/>
      <c r="Z68" s="6">
        <f t="shared" si="27"/>
        <v>0</v>
      </c>
    </row>
    <row r="69" spans="1:26" s="24" customFormat="1" hidden="1" outlineLevel="2" x14ac:dyDescent="0.35">
      <c r="A69" s="29"/>
      <c r="B69" s="11" t="str">
        <f>CONCATENATE("          ", "6004", " - ", "STAFF HOURLY")</f>
        <v xml:space="preserve">          6004 - STAFF HOURLY</v>
      </c>
      <c r="C69" s="11"/>
      <c r="D69" s="7">
        <v>8056.36</v>
      </c>
      <c r="E69" s="2"/>
      <c r="F69" s="6">
        <f t="shared" si="20"/>
        <v>1.1380944731030396E-2</v>
      </c>
      <c r="G69" s="2"/>
      <c r="H69" s="7">
        <v>6607.1876000000002</v>
      </c>
      <c r="I69" s="2"/>
      <c r="J69" s="6">
        <f t="shared" si="21"/>
        <v>6.7172360786769648E-3</v>
      </c>
      <c r="K69" s="2"/>
      <c r="L69" s="7">
        <f t="shared" si="22"/>
        <v>1449.1723999999995</v>
      </c>
      <c r="M69" s="2"/>
      <c r="N69" s="6">
        <f t="shared" si="23"/>
        <v>0.21933271578364136</v>
      </c>
      <c r="O69" s="11"/>
      <c r="P69" s="7">
        <v>47894.409999999996</v>
      </c>
      <c r="Q69" s="2"/>
      <c r="R69" s="6">
        <f t="shared" si="24"/>
        <v>2.6554372361977455E-2</v>
      </c>
      <c r="S69" s="2"/>
      <c r="T69" s="7">
        <v>40964.563119999999</v>
      </c>
      <c r="U69" s="2"/>
      <c r="V69" s="6">
        <f t="shared" si="25"/>
        <v>1.4570327475737202E-2</v>
      </c>
      <c r="W69" s="2"/>
      <c r="X69" s="7">
        <f t="shared" si="26"/>
        <v>6929.8468799999973</v>
      </c>
      <c r="Y69" s="2"/>
      <c r="Z69" s="6">
        <f t="shared" si="27"/>
        <v>0.1691668689276625</v>
      </c>
    </row>
    <row r="70" spans="1:26" s="24" customFormat="1" hidden="1" outlineLevel="2" x14ac:dyDescent="0.35">
      <c r="A70" s="29"/>
      <c r="B70" s="11" t="str">
        <f>CONCATENATE("          ", "6005", " - ", "TEMPORARY WAGES-HOURLY")</f>
        <v xml:space="preserve">          6005 - TEMPORARY WAGES-HOURLY</v>
      </c>
      <c r="C70" s="11"/>
      <c r="D70" s="7"/>
      <c r="E70" s="2"/>
      <c r="F70" s="6">
        <f t="shared" si="20"/>
        <v>0</v>
      </c>
      <c r="G70" s="2"/>
      <c r="H70" s="7">
        <v>4949.88</v>
      </c>
      <c r="I70" s="2"/>
      <c r="J70" s="6">
        <f t="shared" si="21"/>
        <v>5.0323245734874445E-3</v>
      </c>
      <c r="K70" s="2"/>
      <c r="L70" s="7">
        <f t="shared" si="22"/>
        <v>-4949.88</v>
      </c>
      <c r="M70" s="2"/>
      <c r="N70" s="6">
        <f t="shared" si="23"/>
        <v>-1</v>
      </c>
      <c r="O70" s="11"/>
      <c r="P70" s="7">
        <v>12838</v>
      </c>
      <c r="Q70" s="2"/>
      <c r="R70" s="6">
        <f t="shared" si="24"/>
        <v>7.117845952858937E-3</v>
      </c>
      <c r="S70" s="2"/>
      <c r="T70" s="7">
        <v>25868.880000000001</v>
      </c>
      <c r="U70" s="2"/>
      <c r="V70" s="6">
        <f t="shared" si="25"/>
        <v>9.2010758646789304E-3</v>
      </c>
      <c r="W70" s="2"/>
      <c r="X70" s="7">
        <f t="shared" si="26"/>
        <v>-13030.880000000001</v>
      </c>
      <c r="Y70" s="2"/>
      <c r="Z70" s="6">
        <f t="shared" si="27"/>
        <v>-0.50372803151895251</v>
      </c>
    </row>
    <row r="71" spans="1:26" s="24" customFormat="1" hidden="1" outlineLevel="2" x14ac:dyDescent="0.35">
      <c r="A71" s="29"/>
      <c r="B71" s="11" t="str">
        <f>CONCATENATE("          ", "6006", " - ", "TEMPORARY PART TIME")</f>
        <v xml:space="preserve">          6006 - TEMPORARY PART TIME</v>
      </c>
      <c r="C71" s="11"/>
      <c r="D71" s="7"/>
      <c r="E71" s="2"/>
      <c r="F71" s="6">
        <f t="shared" si="20"/>
        <v>0</v>
      </c>
      <c r="G71" s="2"/>
      <c r="H71" s="7">
        <v>0</v>
      </c>
      <c r="I71" s="2"/>
      <c r="J71" s="6">
        <f t="shared" si="21"/>
        <v>0</v>
      </c>
      <c r="K71" s="2"/>
      <c r="L71" s="7">
        <f t="shared" si="22"/>
        <v>0</v>
      </c>
      <c r="M71" s="2"/>
      <c r="N71" s="6">
        <f t="shared" si="23"/>
        <v>0</v>
      </c>
      <c r="O71" s="11"/>
      <c r="P71" s="7">
        <v>502.29</v>
      </c>
      <c r="Q71" s="2"/>
      <c r="R71" s="6">
        <f t="shared" si="24"/>
        <v>2.7848752482174136E-4</v>
      </c>
      <c r="S71" s="2"/>
      <c r="T71" s="7">
        <v>0</v>
      </c>
      <c r="U71" s="2"/>
      <c r="V71" s="6">
        <f t="shared" si="25"/>
        <v>0</v>
      </c>
      <c r="W71" s="2"/>
      <c r="X71" s="7">
        <f t="shared" si="26"/>
        <v>502.29</v>
      </c>
      <c r="Y71" s="2"/>
      <c r="Z71" s="6">
        <f t="shared" si="27"/>
        <v>0</v>
      </c>
    </row>
    <row r="72" spans="1:26" s="24" customFormat="1" hidden="1" outlineLevel="2" x14ac:dyDescent="0.35">
      <c r="A72" s="29"/>
      <c r="B72" s="11" t="str">
        <f>CONCATENATE("          ", "6007", " - ", "STUDENT HOURLY")</f>
        <v xml:space="preserve">          6007 - STUDENT HOURLY</v>
      </c>
      <c r="C72" s="11"/>
      <c r="D72" s="7">
        <v>4760.1099999999997</v>
      </c>
      <c r="E72" s="2"/>
      <c r="F72" s="6">
        <f t="shared" si="20"/>
        <v>6.7244448887121598E-3</v>
      </c>
      <c r="G72" s="2"/>
      <c r="H72" s="7">
        <v>14878.362499999999</v>
      </c>
      <c r="I72" s="2"/>
      <c r="J72" s="6">
        <f t="shared" si="21"/>
        <v>1.5126174618779463E-2</v>
      </c>
      <c r="K72" s="2"/>
      <c r="L72" s="7">
        <f t="shared" si="22"/>
        <v>-10118.252499999999</v>
      </c>
      <c r="M72" s="2"/>
      <c r="N72" s="6">
        <f t="shared" si="23"/>
        <v>-0.68006492649980799</v>
      </c>
      <c r="O72" s="11"/>
      <c r="P72" s="7">
        <v>20801.96</v>
      </c>
      <c r="Q72" s="2"/>
      <c r="R72" s="6">
        <f t="shared" si="24"/>
        <v>1.1533349960860998E-2</v>
      </c>
      <c r="S72" s="2"/>
      <c r="T72" s="7">
        <v>28540.862499999999</v>
      </c>
      <c r="U72" s="2"/>
      <c r="V72" s="6">
        <f t="shared" si="25"/>
        <v>1.0151449970229478E-2</v>
      </c>
      <c r="W72" s="2"/>
      <c r="X72" s="7">
        <f t="shared" si="26"/>
        <v>-7738.9025000000001</v>
      </c>
      <c r="Y72" s="2"/>
      <c r="Z72" s="6">
        <f t="shared" si="27"/>
        <v>-0.27115166894483306</v>
      </c>
    </row>
    <row r="73" spans="1:26" s="24" customFormat="1" hidden="1" outlineLevel="2" x14ac:dyDescent="0.35">
      <c r="A73" s="29"/>
      <c r="B73" s="11" t="str">
        <f>CONCATENATE("          ", "6008", " - ", "STUDENT HOURLY-FICA EXEMPT")</f>
        <v xml:space="preserve">          6008 - STUDENT HOURLY-FICA EXEMPT</v>
      </c>
      <c r="C73" s="11"/>
      <c r="D73" s="7">
        <v>682.36</v>
      </c>
      <c r="E73" s="2"/>
      <c r="F73" s="6">
        <f t="shared" si="20"/>
        <v>9.6394667649731414E-4</v>
      </c>
      <c r="G73" s="2"/>
      <c r="H73" s="7">
        <v>25352.943750000002</v>
      </c>
      <c r="I73" s="2"/>
      <c r="J73" s="6">
        <f t="shared" si="21"/>
        <v>2.577521916558986E-2</v>
      </c>
      <c r="K73" s="2"/>
      <c r="L73" s="7">
        <f t="shared" si="22"/>
        <v>-24670.583750000002</v>
      </c>
      <c r="M73" s="2"/>
      <c r="N73" s="6">
        <f t="shared" si="23"/>
        <v>-0.97308557117750871</v>
      </c>
      <c r="O73" s="11"/>
      <c r="P73" s="7">
        <v>682.36</v>
      </c>
      <c r="Q73" s="2"/>
      <c r="R73" s="6">
        <f t="shared" si="24"/>
        <v>3.7832476743985237E-4</v>
      </c>
      <c r="S73" s="2"/>
      <c r="T73" s="7">
        <v>56481.693749999999</v>
      </c>
      <c r="U73" s="2"/>
      <c r="V73" s="6">
        <f t="shared" si="25"/>
        <v>2.0089480068689165E-2</v>
      </c>
      <c r="W73" s="2"/>
      <c r="X73" s="7">
        <f t="shared" si="26"/>
        <v>-55799.333749999998</v>
      </c>
      <c r="Y73" s="2"/>
      <c r="Z73" s="6">
        <f t="shared" si="27"/>
        <v>-0.987918917534232</v>
      </c>
    </row>
    <row r="74" spans="1:26" s="24" customFormat="1" hidden="1" outlineLevel="2" x14ac:dyDescent="0.35">
      <c r="A74" s="29"/>
      <c r="B74" s="11" t="str">
        <f>CONCATENATE("          ", "6009", " - ", "TEMPORARY-SEASONAL")</f>
        <v xml:space="preserve">          6009 - TEMPORARY-SEASONAL</v>
      </c>
      <c r="C74" s="11"/>
      <c r="D74" s="7"/>
      <c r="E74" s="2"/>
      <c r="F74" s="6">
        <f t="shared" si="20"/>
        <v>0</v>
      </c>
      <c r="G74" s="2"/>
      <c r="H74" s="7">
        <v>0</v>
      </c>
      <c r="I74" s="2"/>
      <c r="J74" s="6">
        <f t="shared" si="21"/>
        <v>0</v>
      </c>
      <c r="K74" s="2"/>
      <c r="L74" s="7">
        <f t="shared" si="22"/>
        <v>0</v>
      </c>
      <c r="M74" s="2"/>
      <c r="N74" s="6">
        <f t="shared" si="23"/>
        <v>0</v>
      </c>
      <c r="O74" s="11"/>
      <c r="P74" s="7"/>
      <c r="Q74" s="2"/>
      <c r="R74" s="6">
        <f t="shared" si="24"/>
        <v>0</v>
      </c>
      <c r="S74" s="2"/>
      <c r="T74" s="7">
        <v>0</v>
      </c>
      <c r="U74" s="2"/>
      <c r="V74" s="6">
        <f t="shared" si="25"/>
        <v>0</v>
      </c>
      <c r="W74" s="2"/>
      <c r="X74" s="7">
        <f t="shared" si="26"/>
        <v>0</v>
      </c>
      <c r="Y74" s="2"/>
      <c r="Z74" s="6">
        <f t="shared" si="27"/>
        <v>0</v>
      </c>
    </row>
    <row r="75" spans="1:26" s="24" customFormat="1" hidden="1" outlineLevel="2" x14ac:dyDescent="0.35">
      <c r="A75" s="29"/>
      <c r="B75" s="11" t="str">
        <f>CONCATENATE("          ", "6010", " - ", "GRATUITY")</f>
        <v xml:space="preserve">          6010 - GRATUITY</v>
      </c>
      <c r="C75" s="11"/>
      <c r="D75" s="7"/>
      <c r="E75" s="2"/>
      <c r="F75" s="6">
        <f t="shared" si="20"/>
        <v>0</v>
      </c>
      <c r="G75" s="2"/>
      <c r="H75" s="7">
        <v>0</v>
      </c>
      <c r="I75" s="2"/>
      <c r="J75" s="6">
        <f t="shared" si="21"/>
        <v>0</v>
      </c>
      <c r="K75" s="2"/>
      <c r="L75" s="7">
        <f t="shared" si="22"/>
        <v>0</v>
      </c>
      <c r="M75" s="2"/>
      <c r="N75" s="6">
        <f t="shared" si="23"/>
        <v>0</v>
      </c>
      <c r="O75" s="11"/>
      <c r="P75" s="7"/>
      <c r="Q75" s="2"/>
      <c r="R75" s="6">
        <f t="shared" si="24"/>
        <v>0</v>
      </c>
      <c r="S75" s="2"/>
      <c r="T75" s="7">
        <v>0</v>
      </c>
      <c r="U75" s="2"/>
      <c r="V75" s="6">
        <f t="shared" si="25"/>
        <v>0</v>
      </c>
      <c r="W75" s="2"/>
      <c r="X75" s="7">
        <f t="shared" si="26"/>
        <v>0</v>
      </c>
      <c r="Y75" s="2"/>
      <c r="Z75" s="6">
        <f t="shared" si="27"/>
        <v>0</v>
      </c>
    </row>
    <row r="76" spans="1:26" s="28" customFormat="1" outlineLevel="1" collapsed="1" x14ac:dyDescent="0.35">
      <c r="A76" s="27"/>
      <c r="B76" s="14" t="str">
        <f>CONCATENATE("     ","Advertising/Promo                                 ")</f>
        <v xml:space="preserve">     Advertising/Promo                                 </v>
      </c>
      <c r="C76" s="14"/>
      <c r="D76" s="1">
        <f>SUM(OSRRefD22_2x_0)</f>
        <v>569.11</v>
      </c>
      <c r="E76" s="1"/>
      <c r="F76" s="5">
        <f t="shared" ref="F76:F80" si="28">IF(D$12=0,0,D76/D$12)</f>
        <v>8.0396226780788207E-4</v>
      </c>
      <c r="G76" s="1"/>
      <c r="H76" s="1">
        <f>SUM(OSRRefH22_2x_0)</f>
        <v>250</v>
      </c>
      <c r="I76" s="1"/>
      <c r="J76" s="5">
        <f t="shared" ref="J76:J80" si="29">IF(H$12=0,0,H76/H$12)</f>
        <v>2.541639682925366E-4</v>
      </c>
      <c r="K76" s="1"/>
      <c r="L76" s="1">
        <f t="shared" ref="L76:L80" si="30">+D76-H76</f>
        <v>319.11</v>
      </c>
      <c r="M76" s="1"/>
      <c r="N76" s="5">
        <f t="shared" ref="N76:N80" si="31">IF(H76=0,0,L76/H76)</f>
        <v>1.27644</v>
      </c>
      <c r="O76" s="14"/>
      <c r="P76" s="1">
        <f>SUM(OSRRefP22_2x_0)</f>
        <v>1999.55</v>
      </c>
      <c r="Q76" s="1"/>
      <c r="R76" s="5">
        <f t="shared" ref="R76:R80" si="32">IF(P$12=0,0,P76/P$12)</f>
        <v>1.1086219718833999E-3</v>
      </c>
      <c r="S76" s="1"/>
      <c r="T76" s="1">
        <f>SUM(OSRRefT22_2x_0)</f>
        <v>2100</v>
      </c>
      <c r="U76" s="1"/>
      <c r="V76" s="5">
        <f t="shared" ref="V76:V80" si="33">IF(T$12=0,0,T76/T$12)</f>
        <v>7.4693064855632532E-4</v>
      </c>
      <c r="W76" s="1"/>
      <c r="X76" s="1">
        <f t="shared" ref="X76:X80" si="34">+P76-T76</f>
        <v>-100.45000000000005</v>
      </c>
      <c r="Y76" s="1"/>
      <c r="Z76" s="5">
        <f t="shared" ref="Z76:Z80" si="35">IF(T76=0,0,X76/T76)</f>
        <v>-4.7833333333333353E-2</v>
      </c>
    </row>
    <row r="77" spans="1:26" s="24" customFormat="1" hidden="1" outlineLevel="2" x14ac:dyDescent="0.35">
      <c r="A77" s="29"/>
      <c r="B77" s="11" t="str">
        <f>CONCATENATE("          ", "6362", " - ", "ADVERTISING EXPENSE")</f>
        <v xml:space="preserve">          6362 - ADVERTISING EXPENSE</v>
      </c>
      <c r="C77" s="11"/>
      <c r="D77" s="7">
        <v>569.11</v>
      </c>
      <c r="E77" s="2"/>
      <c r="F77" s="6">
        <f t="shared" si="28"/>
        <v>8.0396226780788207E-4</v>
      </c>
      <c r="G77" s="2"/>
      <c r="H77" s="7">
        <v>250</v>
      </c>
      <c r="I77" s="2"/>
      <c r="J77" s="6">
        <f t="shared" si="29"/>
        <v>2.541639682925366E-4</v>
      </c>
      <c r="K77" s="2"/>
      <c r="L77" s="7">
        <f t="shared" si="30"/>
        <v>319.11</v>
      </c>
      <c r="M77" s="2"/>
      <c r="N77" s="6">
        <f t="shared" si="31"/>
        <v>1.27644</v>
      </c>
      <c r="O77" s="11"/>
      <c r="P77" s="7">
        <v>1999.55</v>
      </c>
      <c r="Q77" s="2"/>
      <c r="R77" s="6">
        <f t="shared" si="32"/>
        <v>1.1086219718833999E-3</v>
      </c>
      <c r="S77" s="2"/>
      <c r="T77" s="7">
        <v>2100</v>
      </c>
      <c r="U77" s="2"/>
      <c r="V77" s="6">
        <f t="shared" si="33"/>
        <v>7.4693064855632532E-4</v>
      </c>
      <c r="W77" s="2"/>
      <c r="X77" s="7">
        <f t="shared" si="34"/>
        <v>-100.45000000000005</v>
      </c>
      <c r="Y77" s="2"/>
      <c r="Z77" s="6">
        <f t="shared" si="35"/>
        <v>-4.7833333333333353E-2</v>
      </c>
    </row>
    <row r="78" spans="1:26" s="28" customFormat="1" outlineLevel="1" collapsed="1" x14ac:dyDescent="0.35">
      <c r="A78" s="27"/>
      <c r="B78" s="14" t="str">
        <f>CONCATENATE("     ","Discounts and Markdowns                           ")</f>
        <v xml:space="preserve">     Discounts and Markdowns                           </v>
      </c>
      <c r="C78" s="14"/>
      <c r="D78" s="1">
        <f>SUM(OSRRefD22_3x_0)</f>
        <v>-42.86</v>
      </c>
      <c r="E78" s="1"/>
      <c r="F78" s="5">
        <f t="shared" si="28"/>
        <v>-6.0546858776415498E-5</v>
      </c>
      <c r="G78" s="1"/>
      <c r="H78" s="1">
        <f>SUM(OSRRefH22_3x_0)</f>
        <v>3500</v>
      </c>
      <c r="I78" s="1"/>
      <c r="J78" s="5">
        <f t="shared" si="29"/>
        <v>3.5582955560955129E-3</v>
      </c>
      <c r="K78" s="1"/>
      <c r="L78" s="1">
        <f t="shared" si="30"/>
        <v>-3542.86</v>
      </c>
      <c r="M78" s="1"/>
      <c r="N78" s="5">
        <f t="shared" si="31"/>
        <v>-1.0122457142857144</v>
      </c>
      <c r="O78" s="14"/>
      <c r="P78" s="1">
        <f>SUM(OSRRefP22_3x_0)</f>
        <v>-42.86</v>
      </c>
      <c r="Q78" s="1"/>
      <c r="R78" s="5">
        <f t="shared" si="32"/>
        <v>-2.3763115558461914E-5</v>
      </c>
      <c r="S78" s="1"/>
      <c r="T78" s="1">
        <f>SUM(OSRRefT22_3x_0)</f>
        <v>13500</v>
      </c>
      <c r="U78" s="1"/>
      <c r="V78" s="5">
        <f t="shared" si="33"/>
        <v>4.80169702643352E-3</v>
      </c>
      <c r="W78" s="1"/>
      <c r="X78" s="1">
        <f t="shared" si="34"/>
        <v>-13542.86</v>
      </c>
      <c r="Y78" s="1"/>
      <c r="Z78" s="5">
        <f t="shared" si="35"/>
        <v>-1.003174814814815</v>
      </c>
    </row>
    <row r="79" spans="1:26" s="24" customFormat="1" hidden="1" outlineLevel="2" x14ac:dyDescent="0.35">
      <c r="A79" s="29"/>
      <c r="B79" s="11" t="str">
        <f>CONCATENATE("          ", "6382", " - ", "DISCOUNTS/MARK DOWNS")</f>
        <v xml:space="preserve">          6382 - DISCOUNTS/MARK DOWNS</v>
      </c>
      <c r="C79" s="11"/>
      <c r="D79" s="7"/>
      <c r="E79" s="2"/>
      <c r="F79" s="6">
        <f t="shared" si="28"/>
        <v>0</v>
      </c>
      <c r="G79" s="2"/>
      <c r="H79" s="7">
        <v>3500</v>
      </c>
      <c r="I79" s="2"/>
      <c r="J79" s="6">
        <f t="shared" si="29"/>
        <v>3.5582955560955129E-3</v>
      </c>
      <c r="K79" s="2"/>
      <c r="L79" s="7">
        <f t="shared" si="30"/>
        <v>-3500</v>
      </c>
      <c r="M79" s="2"/>
      <c r="N79" s="6">
        <f t="shared" si="31"/>
        <v>-1</v>
      </c>
      <c r="O79" s="11"/>
      <c r="P79" s="7"/>
      <c r="Q79" s="2"/>
      <c r="R79" s="6">
        <f t="shared" si="32"/>
        <v>0</v>
      </c>
      <c r="S79" s="2"/>
      <c r="T79" s="7">
        <v>13500</v>
      </c>
      <c r="U79" s="2"/>
      <c r="V79" s="6">
        <f t="shared" si="33"/>
        <v>4.80169702643352E-3</v>
      </c>
      <c r="W79" s="2"/>
      <c r="X79" s="7">
        <f t="shared" si="34"/>
        <v>-13500</v>
      </c>
      <c r="Y79" s="2"/>
      <c r="Z79" s="6">
        <f t="shared" si="35"/>
        <v>-1</v>
      </c>
    </row>
    <row r="80" spans="1:26" s="24" customFormat="1" hidden="1" outlineLevel="2" x14ac:dyDescent="0.35">
      <c r="A80" s="29"/>
      <c r="B80" s="11" t="str">
        <f>CONCATENATE("          ", "9175", " - ", "EARNED DISCOUNTS")</f>
        <v xml:space="preserve">          9175 - EARNED DISCOUNTS</v>
      </c>
      <c r="C80" s="11"/>
      <c r="D80" s="7">
        <v>-42.86</v>
      </c>
      <c r="E80" s="2"/>
      <c r="F80" s="6">
        <f t="shared" si="28"/>
        <v>-6.0546858776415498E-5</v>
      </c>
      <c r="G80" s="2"/>
      <c r="H80" s="7"/>
      <c r="I80" s="2"/>
      <c r="J80" s="6">
        <f t="shared" si="29"/>
        <v>0</v>
      </c>
      <c r="K80" s="2"/>
      <c r="L80" s="7">
        <f t="shared" si="30"/>
        <v>-42.86</v>
      </c>
      <c r="M80" s="2"/>
      <c r="N80" s="6">
        <f t="shared" si="31"/>
        <v>0</v>
      </c>
      <c r="O80" s="11"/>
      <c r="P80" s="7">
        <v>-42.86</v>
      </c>
      <c r="Q80" s="2"/>
      <c r="R80" s="6">
        <f t="shared" si="32"/>
        <v>-2.3763115558461914E-5</v>
      </c>
      <c r="S80" s="2"/>
      <c r="T80" s="7"/>
      <c r="U80" s="2"/>
      <c r="V80" s="6">
        <f t="shared" si="33"/>
        <v>0</v>
      </c>
      <c r="W80" s="2"/>
      <c r="X80" s="7">
        <f t="shared" si="34"/>
        <v>-42.86</v>
      </c>
      <c r="Y80" s="2"/>
      <c r="Z80" s="6">
        <f t="shared" si="35"/>
        <v>0</v>
      </c>
    </row>
    <row r="81" spans="1:26" s="28" customFormat="1" outlineLevel="1" collapsed="1" x14ac:dyDescent="0.35">
      <c r="A81" s="27"/>
      <c r="B81" s="14" t="str">
        <f>CONCATENATE("     ","Employees' Appreciation                           ")</f>
        <v xml:space="preserve">     Employees' Appreciation                           </v>
      </c>
      <c r="C81" s="14"/>
      <c r="D81" s="1">
        <f>SUM(OSRRefD22_4x_0)</f>
        <v>0</v>
      </c>
      <c r="E81" s="1"/>
      <c r="F81" s="5">
        <f t="shared" ref="F81:F87" si="36">IF(D$12=0,0,D81/D$12)</f>
        <v>0</v>
      </c>
      <c r="G81" s="1"/>
      <c r="H81" s="1">
        <f>SUM(OSRRefH22_4x_0)</f>
        <v>75</v>
      </c>
      <c r="I81" s="1"/>
      <c r="J81" s="5">
        <f t="shared" ref="J81:J87" si="37">IF(H$12=0,0,H81/H$12)</f>
        <v>7.624919048776099E-5</v>
      </c>
      <c r="K81" s="1"/>
      <c r="L81" s="1">
        <f t="shared" ref="L81:L87" si="38">+D81-H81</f>
        <v>-75</v>
      </c>
      <c r="M81" s="1"/>
      <c r="N81" s="5">
        <f t="shared" ref="N81:N87" si="39">IF(H81=0,0,L81/H81)</f>
        <v>-1</v>
      </c>
      <c r="O81" s="14"/>
      <c r="P81" s="1">
        <f>SUM(OSRRefP22_4x_0)</f>
        <v>107.7</v>
      </c>
      <c r="Q81" s="1"/>
      <c r="R81" s="5">
        <f t="shared" ref="R81:R87" si="40">IF(P$12=0,0,P81/P$12)</f>
        <v>5.9712728549844802E-5</v>
      </c>
      <c r="S81" s="1"/>
      <c r="T81" s="1">
        <f>SUM(OSRRefT22_4x_0)</f>
        <v>525</v>
      </c>
      <c r="U81" s="1"/>
      <c r="V81" s="5">
        <f t="shared" ref="V81:V87" si="41">IF(T$12=0,0,T81/T$12)</f>
        <v>1.8673266213908133E-4</v>
      </c>
      <c r="W81" s="1"/>
      <c r="X81" s="1">
        <f t="shared" ref="X81:X87" si="42">+P81-T81</f>
        <v>-417.3</v>
      </c>
      <c r="Y81" s="1"/>
      <c r="Z81" s="5">
        <f t="shared" ref="Z81:Z87" si="43">IF(T81=0,0,X81/T81)</f>
        <v>-0.79485714285714293</v>
      </c>
    </row>
    <row r="82" spans="1:26" s="24" customFormat="1" hidden="1" outlineLevel="2" x14ac:dyDescent="0.35">
      <c r="A82" s="29"/>
      <c r="B82" s="11" t="str">
        <f>CONCATENATE("          ", "6277", " - ", "EMPLOYEE APPRECIATION")</f>
        <v xml:space="preserve">          6277 - EMPLOYEE APPRECIATION</v>
      </c>
      <c r="C82" s="11"/>
      <c r="D82" s="7"/>
      <c r="E82" s="2"/>
      <c r="F82" s="6">
        <f t="shared" si="36"/>
        <v>0</v>
      </c>
      <c r="G82" s="2"/>
      <c r="H82" s="7">
        <v>75</v>
      </c>
      <c r="I82" s="2"/>
      <c r="J82" s="6">
        <f t="shared" si="37"/>
        <v>7.624919048776099E-5</v>
      </c>
      <c r="K82" s="2"/>
      <c r="L82" s="7">
        <f t="shared" si="38"/>
        <v>-75</v>
      </c>
      <c r="M82" s="2"/>
      <c r="N82" s="6">
        <f t="shared" si="39"/>
        <v>-1</v>
      </c>
      <c r="O82" s="11"/>
      <c r="P82" s="7">
        <v>107.7</v>
      </c>
      <c r="Q82" s="2"/>
      <c r="R82" s="6">
        <f t="shared" si="40"/>
        <v>5.9712728549844802E-5</v>
      </c>
      <c r="S82" s="2"/>
      <c r="T82" s="7">
        <v>525</v>
      </c>
      <c r="U82" s="2"/>
      <c r="V82" s="6">
        <f t="shared" si="41"/>
        <v>1.8673266213908133E-4</v>
      </c>
      <c r="W82" s="2"/>
      <c r="X82" s="7">
        <f t="shared" si="42"/>
        <v>-417.3</v>
      </c>
      <c r="Y82" s="2"/>
      <c r="Z82" s="6">
        <f t="shared" si="43"/>
        <v>-0.79485714285714293</v>
      </c>
    </row>
    <row r="83" spans="1:26" s="28" customFormat="1" outlineLevel="1" collapsed="1" x14ac:dyDescent="0.35">
      <c r="A83" s="27"/>
      <c r="B83" s="14" t="str">
        <f>CONCATENATE("     ","Equipment Rental                                  ")</f>
        <v xml:space="preserve">     Equipment Rental                                  </v>
      </c>
      <c r="C83" s="14"/>
      <c r="D83" s="1">
        <f>SUM(OSRRefD22_5x_0)</f>
        <v>91.26</v>
      </c>
      <c r="E83" s="1"/>
      <c r="F83" s="5">
        <f t="shared" si="36"/>
        <v>1.2891988641940456E-4</v>
      </c>
      <c r="G83" s="1"/>
      <c r="H83" s="1">
        <f>SUM(OSRRefH22_5x_0)</f>
        <v>100</v>
      </c>
      <c r="I83" s="1"/>
      <c r="J83" s="5">
        <f t="shared" si="37"/>
        <v>1.0166558731701465E-4</v>
      </c>
      <c r="K83" s="1"/>
      <c r="L83" s="1">
        <f t="shared" si="38"/>
        <v>-8.7399999999999949</v>
      </c>
      <c r="M83" s="1"/>
      <c r="N83" s="5">
        <f t="shared" si="39"/>
        <v>-8.739999999999995E-2</v>
      </c>
      <c r="O83" s="14"/>
      <c r="P83" s="1">
        <f>SUM(OSRRefP22_5x_0)</f>
        <v>638.82000000000005</v>
      </c>
      <c r="Q83" s="1"/>
      <c r="R83" s="5">
        <f t="shared" si="40"/>
        <v>3.5418463558228278E-4</v>
      </c>
      <c r="S83" s="1"/>
      <c r="T83" s="1">
        <f>SUM(OSRRefT22_5x_0)</f>
        <v>700</v>
      </c>
      <c r="U83" s="1"/>
      <c r="V83" s="5">
        <f t="shared" si="41"/>
        <v>2.4897688285210846E-4</v>
      </c>
      <c r="W83" s="1"/>
      <c r="X83" s="1">
        <f t="shared" si="42"/>
        <v>-61.17999999999995</v>
      </c>
      <c r="Y83" s="1"/>
      <c r="Z83" s="5">
        <f t="shared" si="43"/>
        <v>-8.7399999999999922E-2</v>
      </c>
    </row>
    <row r="84" spans="1:26" s="24" customFormat="1" hidden="1" outlineLevel="2" x14ac:dyDescent="0.35">
      <c r="A84" s="29"/>
      <c r="B84" s="11" t="str">
        <f>CONCATENATE("          ", "6351", " - ", "EQUIPMENT RENTAL")</f>
        <v xml:space="preserve">          6351 - EQUIPMENT RENTAL</v>
      </c>
      <c r="C84" s="11"/>
      <c r="D84" s="7">
        <v>91.26</v>
      </c>
      <c r="E84" s="2"/>
      <c r="F84" s="6">
        <f t="shared" si="36"/>
        <v>1.2891988641940456E-4</v>
      </c>
      <c r="G84" s="2"/>
      <c r="H84" s="7">
        <v>100</v>
      </c>
      <c r="I84" s="2"/>
      <c r="J84" s="6">
        <f t="shared" si="37"/>
        <v>1.0166558731701465E-4</v>
      </c>
      <c r="K84" s="2"/>
      <c r="L84" s="7">
        <f t="shared" si="38"/>
        <v>-8.7399999999999949</v>
      </c>
      <c r="M84" s="2"/>
      <c r="N84" s="6">
        <f t="shared" si="39"/>
        <v>-8.739999999999995E-2</v>
      </c>
      <c r="O84" s="11"/>
      <c r="P84" s="7">
        <v>638.82000000000005</v>
      </c>
      <c r="Q84" s="2"/>
      <c r="R84" s="6">
        <f t="shared" si="40"/>
        <v>3.5418463558228278E-4</v>
      </c>
      <c r="S84" s="2"/>
      <c r="T84" s="7">
        <v>700</v>
      </c>
      <c r="U84" s="2"/>
      <c r="V84" s="6">
        <f t="shared" si="41"/>
        <v>2.4897688285210846E-4</v>
      </c>
      <c r="W84" s="2"/>
      <c r="X84" s="7">
        <f t="shared" si="42"/>
        <v>-61.17999999999995</v>
      </c>
      <c r="Y84" s="2"/>
      <c r="Z84" s="6">
        <f t="shared" si="43"/>
        <v>-8.7399999999999922E-2</v>
      </c>
    </row>
    <row r="85" spans="1:26" s="28" customFormat="1" outlineLevel="1" collapsed="1" x14ac:dyDescent="0.35">
      <c r="A85" s="27"/>
      <c r="B85" s="14" t="str">
        <f>CONCATENATE("     ","Freight out/Postage                               ")</f>
        <v xml:space="preserve">     Freight out/Postage                               </v>
      </c>
      <c r="C85" s="14"/>
      <c r="D85" s="1">
        <f>SUM(OSRRefD22_6x_0)</f>
        <v>272.02</v>
      </c>
      <c r="E85" s="1"/>
      <c r="F85" s="5">
        <f t="shared" si="36"/>
        <v>3.842733673439231E-4</v>
      </c>
      <c r="G85" s="1"/>
      <c r="H85" s="1">
        <f>SUM(OSRRefH22_6x_0)</f>
        <v>2000</v>
      </c>
      <c r="I85" s="1"/>
      <c r="J85" s="5">
        <f t="shared" si="37"/>
        <v>2.0333117463402928E-3</v>
      </c>
      <c r="K85" s="1"/>
      <c r="L85" s="1">
        <f t="shared" si="38"/>
        <v>-1727.98</v>
      </c>
      <c r="M85" s="1"/>
      <c r="N85" s="5">
        <f t="shared" si="39"/>
        <v>-0.86399000000000004</v>
      </c>
      <c r="O85" s="14"/>
      <c r="P85" s="1">
        <f>SUM(OSRRefP22_6x_0)</f>
        <v>9170.0499999999993</v>
      </c>
      <c r="Q85" s="1"/>
      <c r="R85" s="5">
        <f t="shared" si="40"/>
        <v>5.0842034024002249E-3</v>
      </c>
      <c r="S85" s="1"/>
      <c r="T85" s="1">
        <f>SUM(OSRRefT22_6x_0)</f>
        <v>13500</v>
      </c>
      <c r="U85" s="1"/>
      <c r="V85" s="5">
        <f t="shared" si="41"/>
        <v>4.80169702643352E-3</v>
      </c>
      <c r="W85" s="1"/>
      <c r="X85" s="1">
        <f t="shared" si="42"/>
        <v>-4329.9500000000007</v>
      </c>
      <c r="Y85" s="1"/>
      <c r="Z85" s="5">
        <f t="shared" si="43"/>
        <v>-0.3207370370370371</v>
      </c>
    </row>
    <row r="86" spans="1:26" s="24" customFormat="1" hidden="1" outlineLevel="2" x14ac:dyDescent="0.35">
      <c r="A86" s="29"/>
      <c r="B86" s="11" t="str">
        <f>CONCATENATE("          ", "6305", " - ", "FREIGHT OUT")</f>
        <v xml:space="preserve">          6305 - FREIGHT OUT</v>
      </c>
      <c r="C86" s="11"/>
      <c r="D86" s="7">
        <v>571.52</v>
      </c>
      <c r="E86" s="2"/>
      <c r="F86" s="6">
        <f t="shared" si="36"/>
        <v>8.0736679253142754E-4</v>
      </c>
      <c r="G86" s="2"/>
      <c r="H86" s="7">
        <v>2000</v>
      </c>
      <c r="I86" s="2"/>
      <c r="J86" s="6">
        <f t="shared" si="37"/>
        <v>2.0333117463402928E-3</v>
      </c>
      <c r="K86" s="2"/>
      <c r="L86" s="7">
        <f t="shared" si="38"/>
        <v>-1428.48</v>
      </c>
      <c r="M86" s="2"/>
      <c r="N86" s="6">
        <f t="shared" si="39"/>
        <v>-0.71423999999999999</v>
      </c>
      <c r="O86" s="11"/>
      <c r="P86" s="7">
        <v>9169.5499999999993</v>
      </c>
      <c r="Q86" s="2"/>
      <c r="R86" s="6">
        <f t="shared" si="40"/>
        <v>5.0839261845332341E-3</v>
      </c>
      <c r="S86" s="2"/>
      <c r="T86" s="7">
        <v>13500</v>
      </c>
      <c r="U86" s="2"/>
      <c r="V86" s="6">
        <f t="shared" si="41"/>
        <v>4.80169702643352E-3</v>
      </c>
      <c r="W86" s="2"/>
      <c r="X86" s="7">
        <f t="shared" si="42"/>
        <v>-4330.4500000000007</v>
      </c>
      <c r="Y86" s="2"/>
      <c r="Z86" s="6">
        <f t="shared" si="43"/>
        <v>-0.3207740740740741</v>
      </c>
    </row>
    <row r="87" spans="1:26" s="24" customFormat="1" hidden="1" outlineLevel="2" x14ac:dyDescent="0.35">
      <c r="A87" s="29"/>
      <c r="B87" s="11" t="str">
        <f>CONCATENATE("          ", "6307", " - ", "POSTAGE")</f>
        <v xml:space="preserve">          6307 - POSTAGE</v>
      </c>
      <c r="C87" s="11"/>
      <c r="D87" s="7">
        <v>-299.5</v>
      </c>
      <c r="E87" s="2"/>
      <c r="F87" s="6">
        <f t="shared" si="36"/>
        <v>-4.2309342518750449E-4</v>
      </c>
      <c r="G87" s="2"/>
      <c r="H87" s="7"/>
      <c r="I87" s="2"/>
      <c r="J87" s="6">
        <f t="shared" si="37"/>
        <v>0</v>
      </c>
      <c r="K87" s="2"/>
      <c r="L87" s="7">
        <f t="shared" si="38"/>
        <v>-299.5</v>
      </c>
      <c r="M87" s="2"/>
      <c r="N87" s="6">
        <f t="shared" si="39"/>
        <v>0</v>
      </c>
      <c r="O87" s="11"/>
      <c r="P87" s="7">
        <v>0.5</v>
      </c>
      <c r="Q87" s="2"/>
      <c r="R87" s="6">
        <f t="shared" si="40"/>
        <v>2.7721786699092291E-7</v>
      </c>
      <c r="S87" s="2"/>
      <c r="T87" s="7"/>
      <c r="U87" s="2"/>
      <c r="V87" s="6">
        <f t="shared" si="41"/>
        <v>0</v>
      </c>
      <c r="W87" s="2"/>
      <c r="X87" s="7">
        <f t="shared" si="42"/>
        <v>0.5</v>
      </c>
      <c r="Y87" s="2"/>
      <c r="Z87" s="6">
        <f t="shared" si="43"/>
        <v>0</v>
      </c>
    </row>
    <row r="88" spans="1:26" s="28" customFormat="1" outlineLevel="1" collapsed="1" x14ac:dyDescent="0.35">
      <c r="A88" s="27"/>
      <c r="B88" s="14" t="str">
        <f>CONCATENATE("     ","General                                           ")</f>
        <v xml:space="preserve">     General                                           </v>
      </c>
      <c r="C88" s="14"/>
      <c r="D88" s="1">
        <f>SUM(OSRRefD22_7x_0)</f>
        <v>4.63</v>
      </c>
      <c r="E88" s="1"/>
      <c r="F88" s="5">
        <f t="shared" ref="F88:F90" si="44">IF(D$12=0,0,D88/D$12)</f>
        <v>6.5406429336165132E-6</v>
      </c>
      <c r="G88" s="1"/>
      <c r="H88" s="1">
        <f>SUM(OSRRefH22_7x_0)</f>
        <v>0</v>
      </c>
      <c r="I88" s="1"/>
      <c r="J88" s="5">
        <f t="shared" ref="J88:J90" si="45">IF(H$12=0,0,H88/H$12)</f>
        <v>0</v>
      </c>
      <c r="K88" s="1"/>
      <c r="L88" s="1">
        <f t="shared" ref="L88:L90" si="46">+D88-H88</f>
        <v>4.63</v>
      </c>
      <c r="M88" s="1"/>
      <c r="N88" s="5">
        <f t="shared" ref="N88:N90" si="47">IF(H88=0,0,L88/H88)</f>
        <v>0</v>
      </c>
      <c r="O88" s="14"/>
      <c r="P88" s="1">
        <f>SUM(OSRRefP22_7x_0)</f>
        <v>-1037.82</v>
      </c>
      <c r="Q88" s="1"/>
      <c r="R88" s="5">
        <f t="shared" ref="R88:R90" si="48">IF(P$12=0,0,P88/P$12)</f>
        <v>-5.7540449344103918E-4</v>
      </c>
      <c r="S88" s="1"/>
      <c r="T88" s="1">
        <f>SUM(OSRRefT22_7x_0)</f>
        <v>1375</v>
      </c>
      <c r="U88" s="1"/>
      <c r="V88" s="5">
        <f t="shared" ref="V88:V90" si="49">IF(T$12=0,0,T88/T$12)</f>
        <v>4.8906173417378443E-4</v>
      </c>
      <c r="W88" s="1"/>
      <c r="X88" s="1">
        <f t="shared" ref="X88:X90" si="50">+P88-T88</f>
        <v>-2412.8199999999997</v>
      </c>
      <c r="Y88" s="1"/>
      <c r="Z88" s="5">
        <f t="shared" ref="Z88:Z90" si="51">IF(T88=0,0,X88/T88)</f>
        <v>-1.7547781818181816</v>
      </c>
    </row>
    <row r="89" spans="1:26" s="24" customFormat="1" hidden="1" outlineLevel="2" x14ac:dyDescent="0.35">
      <c r="A89" s="29"/>
      <c r="B89" s="11" t="str">
        <f>CONCATENATE("          ", "6269", " - ", "ENTERTAINMENT")</f>
        <v xml:space="preserve">          6269 - ENTERTAINMENT</v>
      </c>
      <c r="C89" s="11"/>
      <c r="D89" s="7"/>
      <c r="E89" s="2"/>
      <c r="F89" s="6">
        <f t="shared" si="44"/>
        <v>0</v>
      </c>
      <c r="G89" s="2"/>
      <c r="H89" s="7"/>
      <c r="I89" s="2"/>
      <c r="J89" s="6">
        <f t="shared" si="45"/>
        <v>0</v>
      </c>
      <c r="K89" s="2"/>
      <c r="L89" s="7">
        <f t="shared" si="46"/>
        <v>0</v>
      </c>
      <c r="M89" s="2"/>
      <c r="N89" s="6">
        <f t="shared" si="47"/>
        <v>0</v>
      </c>
      <c r="O89" s="11"/>
      <c r="P89" s="7"/>
      <c r="Q89" s="2"/>
      <c r="R89" s="6">
        <f t="shared" si="48"/>
        <v>0</v>
      </c>
      <c r="S89" s="2"/>
      <c r="T89" s="7">
        <v>1375</v>
      </c>
      <c r="U89" s="2"/>
      <c r="V89" s="6">
        <f t="shared" si="49"/>
        <v>4.8906173417378443E-4</v>
      </c>
      <c r="W89" s="2"/>
      <c r="X89" s="7">
        <f t="shared" si="50"/>
        <v>-1375</v>
      </c>
      <c r="Y89" s="2"/>
      <c r="Z89" s="6">
        <f t="shared" si="51"/>
        <v>-1</v>
      </c>
    </row>
    <row r="90" spans="1:26" s="24" customFormat="1" hidden="1" outlineLevel="2" x14ac:dyDescent="0.35">
      <c r="A90" s="29"/>
      <c r="B90" s="11" t="str">
        <f>CONCATENATE("          ", "6279", " - ", "GENERAL EXPENSE")</f>
        <v xml:space="preserve">          6279 - GENERAL EXPENSE</v>
      </c>
      <c r="C90" s="11"/>
      <c r="D90" s="7">
        <v>4.63</v>
      </c>
      <c r="E90" s="2"/>
      <c r="F90" s="6">
        <f t="shared" si="44"/>
        <v>6.5406429336165132E-6</v>
      </c>
      <c r="G90" s="2"/>
      <c r="H90" s="7"/>
      <c r="I90" s="2"/>
      <c r="J90" s="6">
        <f t="shared" si="45"/>
        <v>0</v>
      </c>
      <c r="K90" s="2"/>
      <c r="L90" s="7">
        <f t="shared" si="46"/>
        <v>4.63</v>
      </c>
      <c r="M90" s="2"/>
      <c r="N90" s="6">
        <f t="shared" si="47"/>
        <v>0</v>
      </c>
      <c r="O90" s="11"/>
      <c r="P90" s="7">
        <v>-1037.82</v>
      </c>
      <c r="Q90" s="2"/>
      <c r="R90" s="6">
        <f t="shared" si="48"/>
        <v>-5.7540449344103918E-4</v>
      </c>
      <c r="S90" s="2"/>
      <c r="T90" s="7"/>
      <c r="U90" s="2"/>
      <c r="V90" s="6">
        <f t="shared" si="49"/>
        <v>0</v>
      </c>
      <c r="W90" s="2"/>
      <c r="X90" s="7">
        <f t="shared" si="50"/>
        <v>-1037.82</v>
      </c>
      <c r="Y90" s="2"/>
      <c r="Z90" s="6">
        <f t="shared" si="51"/>
        <v>0</v>
      </c>
    </row>
    <row r="91" spans="1:26" s="28" customFormat="1" outlineLevel="1" collapsed="1" x14ac:dyDescent="0.35">
      <c r="A91" s="27"/>
      <c r="B91" s="14" t="str">
        <f>CONCATENATE("     ","Inventory Adjustment                              ")</f>
        <v xml:space="preserve">     Inventory Adjustment                              </v>
      </c>
      <c r="C91" s="14"/>
      <c r="D91" s="1">
        <f>SUM(OSRRefD22_8x_0)</f>
        <v>1000</v>
      </c>
      <c r="E91" s="1"/>
      <c r="F91" s="5">
        <f t="shared" ref="F91:F95" si="52">IF(D$12=0,0,D91/D$12)</f>
        <v>1.4126658603923355E-3</v>
      </c>
      <c r="G91" s="1"/>
      <c r="H91" s="1">
        <f>SUM(OSRRefH22_8x_0)</f>
        <v>1000</v>
      </c>
      <c r="I91" s="1"/>
      <c r="J91" s="5">
        <f t="shared" ref="J91:J95" si="53">IF(H$12=0,0,H91/H$12)</f>
        <v>1.0166558731701464E-3</v>
      </c>
      <c r="K91" s="1"/>
      <c r="L91" s="1">
        <f t="shared" ref="L91:L95" si="54">+D91-H91</f>
        <v>0</v>
      </c>
      <c r="M91" s="1"/>
      <c r="N91" s="5">
        <f t="shared" ref="N91:N95" si="55">IF(H91=0,0,L91/H91)</f>
        <v>0</v>
      </c>
      <c r="O91" s="14"/>
      <c r="P91" s="1">
        <f>SUM(OSRRefP22_8x_0)</f>
        <v>12000</v>
      </c>
      <c r="Q91" s="1"/>
      <c r="R91" s="5">
        <f t="shared" ref="R91:R95" si="56">IF(P$12=0,0,P91/P$12)</f>
        <v>6.6532288077821499E-3</v>
      </c>
      <c r="S91" s="1"/>
      <c r="T91" s="1">
        <f>SUM(OSRRefT22_8x_0)</f>
        <v>12000</v>
      </c>
      <c r="U91" s="1"/>
      <c r="V91" s="5">
        <f t="shared" ref="V91:V95" si="57">IF(T$12=0,0,T91/T$12)</f>
        <v>4.2681751346075733E-3</v>
      </c>
      <c r="W91" s="1"/>
      <c r="X91" s="1">
        <f t="shared" ref="X91:X95" si="58">+P91-T91</f>
        <v>0</v>
      </c>
      <c r="Y91" s="1"/>
      <c r="Z91" s="5">
        <f t="shared" ref="Z91:Z95" si="59">IF(T91=0,0,X91/T91)</f>
        <v>0</v>
      </c>
    </row>
    <row r="92" spans="1:26" s="24" customFormat="1" hidden="1" outlineLevel="2" x14ac:dyDescent="0.35">
      <c r="A92" s="29"/>
      <c r="B92" s="11" t="str">
        <f>CONCATENATE("          ", "6408", " - ", "INVENTORY ADJUSTMENT")</f>
        <v xml:space="preserve">          6408 - INVENTORY ADJUSTMENT</v>
      </c>
      <c r="C92" s="11"/>
      <c r="D92" s="7">
        <v>1000</v>
      </c>
      <c r="E92" s="2"/>
      <c r="F92" s="6">
        <f t="shared" si="52"/>
        <v>1.4126658603923355E-3</v>
      </c>
      <c r="G92" s="2"/>
      <c r="H92" s="7">
        <v>1000</v>
      </c>
      <c r="I92" s="2"/>
      <c r="J92" s="6">
        <f t="shared" si="53"/>
        <v>1.0166558731701464E-3</v>
      </c>
      <c r="K92" s="2"/>
      <c r="L92" s="7">
        <f t="shared" si="54"/>
        <v>0</v>
      </c>
      <c r="M92" s="2"/>
      <c r="N92" s="6">
        <f t="shared" si="55"/>
        <v>0</v>
      </c>
      <c r="O92" s="11"/>
      <c r="P92" s="7">
        <v>12000</v>
      </c>
      <c r="Q92" s="2"/>
      <c r="R92" s="6">
        <f t="shared" si="56"/>
        <v>6.6532288077821499E-3</v>
      </c>
      <c r="S92" s="2"/>
      <c r="T92" s="7">
        <v>12000</v>
      </c>
      <c r="U92" s="2"/>
      <c r="V92" s="6">
        <f t="shared" si="57"/>
        <v>4.2681751346075733E-3</v>
      </c>
      <c r="W92" s="2"/>
      <c r="X92" s="7">
        <f t="shared" si="58"/>
        <v>0</v>
      </c>
      <c r="Y92" s="2"/>
      <c r="Z92" s="6">
        <f t="shared" si="59"/>
        <v>0</v>
      </c>
    </row>
    <row r="93" spans="1:26" s="28" customFormat="1" outlineLevel="1" collapsed="1" x14ac:dyDescent="0.35">
      <c r="A93" s="27"/>
      <c r="B93" s="14" t="str">
        <f>CONCATENATE("     ","Repair and Maintenance                            ")</f>
        <v xml:space="preserve">     Repair and Maintenance                            </v>
      </c>
      <c r="C93" s="14"/>
      <c r="D93" s="1">
        <f>SUM(OSRRefD22_9x_0)</f>
        <v>17.91</v>
      </c>
      <c r="E93" s="1"/>
      <c r="F93" s="5">
        <f t="shared" si="52"/>
        <v>2.530084555962673E-5</v>
      </c>
      <c r="G93" s="1"/>
      <c r="H93" s="1">
        <f>SUM(OSRRefH22_9x_0)</f>
        <v>140</v>
      </c>
      <c r="I93" s="1"/>
      <c r="J93" s="5">
        <f t="shared" si="53"/>
        <v>1.4233182224382052E-4</v>
      </c>
      <c r="K93" s="1"/>
      <c r="L93" s="1">
        <f t="shared" si="54"/>
        <v>-122.09</v>
      </c>
      <c r="M93" s="1"/>
      <c r="N93" s="5">
        <f t="shared" si="55"/>
        <v>-0.87207142857142861</v>
      </c>
      <c r="O93" s="14"/>
      <c r="P93" s="1">
        <f>SUM(OSRRefP22_9x_0)</f>
        <v>167.38</v>
      </c>
      <c r="Q93" s="1"/>
      <c r="R93" s="5">
        <f t="shared" si="56"/>
        <v>9.2801453153881357E-5</v>
      </c>
      <c r="S93" s="1"/>
      <c r="T93" s="1">
        <f>SUM(OSRRefT22_9x_0)</f>
        <v>980</v>
      </c>
      <c r="U93" s="1"/>
      <c r="V93" s="5">
        <f t="shared" si="57"/>
        <v>3.4856763599295181E-4</v>
      </c>
      <c r="W93" s="1"/>
      <c r="X93" s="1">
        <f t="shared" si="58"/>
        <v>-812.62</v>
      </c>
      <c r="Y93" s="1"/>
      <c r="Z93" s="5">
        <f t="shared" si="59"/>
        <v>-0.82920408163265302</v>
      </c>
    </row>
    <row r="94" spans="1:26" s="24" customFormat="1" hidden="1" outlineLevel="2" x14ac:dyDescent="0.35">
      <c r="A94" s="29"/>
      <c r="B94" s="11" t="str">
        <f>CONCATENATE("          ", "6373", " - ", "MAINTENANCE CONTRACTS")</f>
        <v xml:space="preserve">          6373 - MAINTENANCE CONTRACTS</v>
      </c>
      <c r="C94" s="11"/>
      <c r="D94" s="7">
        <v>17.91</v>
      </c>
      <c r="E94" s="2"/>
      <c r="F94" s="6">
        <f t="shared" si="52"/>
        <v>2.530084555962673E-5</v>
      </c>
      <c r="G94" s="2"/>
      <c r="H94" s="7">
        <v>40</v>
      </c>
      <c r="I94" s="2"/>
      <c r="J94" s="6">
        <f t="shared" si="53"/>
        <v>4.066623492680586E-5</v>
      </c>
      <c r="K94" s="2"/>
      <c r="L94" s="7">
        <f t="shared" si="54"/>
        <v>-22.09</v>
      </c>
      <c r="M94" s="2"/>
      <c r="N94" s="6">
        <f t="shared" si="55"/>
        <v>-0.55225000000000002</v>
      </c>
      <c r="O94" s="11"/>
      <c r="P94" s="7">
        <v>142.27000000000001</v>
      </c>
      <c r="Q94" s="2"/>
      <c r="R94" s="6">
        <f t="shared" si="56"/>
        <v>7.8879571873597212E-5</v>
      </c>
      <c r="S94" s="2"/>
      <c r="T94" s="7">
        <v>280</v>
      </c>
      <c r="U94" s="2"/>
      <c r="V94" s="6">
        <f t="shared" si="57"/>
        <v>9.9590753140843378E-5</v>
      </c>
      <c r="W94" s="2"/>
      <c r="X94" s="7">
        <f t="shared" si="58"/>
        <v>-137.72999999999999</v>
      </c>
      <c r="Y94" s="2"/>
      <c r="Z94" s="6">
        <f t="shared" si="59"/>
        <v>-0.49189285714285713</v>
      </c>
    </row>
    <row r="95" spans="1:26" s="24" customFormat="1" hidden="1" outlineLevel="2" x14ac:dyDescent="0.35">
      <c r="A95" s="29"/>
      <c r="B95" s="11" t="str">
        <f>CONCATENATE("          ", "6375", " - ", "OUTSIDE REPAIRS &amp; MAINTENANCE")</f>
        <v xml:space="preserve">          6375 - OUTSIDE REPAIRS &amp; MAINTENANCE</v>
      </c>
      <c r="C95" s="11"/>
      <c r="D95" s="7"/>
      <c r="E95" s="2"/>
      <c r="F95" s="6">
        <f t="shared" si="52"/>
        <v>0</v>
      </c>
      <c r="G95" s="2"/>
      <c r="H95" s="7">
        <v>100</v>
      </c>
      <c r="I95" s="2"/>
      <c r="J95" s="6">
        <f t="shared" si="53"/>
        <v>1.0166558731701465E-4</v>
      </c>
      <c r="K95" s="2"/>
      <c r="L95" s="7">
        <f t="shared" si="54"/>
        <v>-100</v>
      </c>
      <c r="M95" s="2"/>
      <c r="N95" s="6">
        <f t="shared" si="55"/>
        <v>-1</v>
      </c>
      <c r="O95" s="11"/>
      <c r="P95" s="7">
        <v>25.11</v>
      </c>
      <c r="Q95" s="2"/>
      <c r="R95" s="6">
        <f t="shared" si="56"/>
        <v>1.3921881280284149E-5</v>
      </c>
      <c r="S95" s="2"/>
      <c r="T95" s="7">
        <v>700</v>
      </c>
      <c r="U95" s="2"/>
      <c r="V95" s="6">
        <f t="shared" si="57"/>
        <v>2.4897688285210846E-4</v>
      </c>
      <c r="W95" s="2"/>
      <c r="X95" s="7">
        <f t="shared" si="58"/>
        <v>-674.89</v>
      </c>
      <c r="Y95" s="2"/>
      <c r="Z95" s="6">
        <f t="shared" si="59"/>
        <v>-0.96412857142857145</v>
      </c>
    </row>
    <row r="96" spans="1:26" s="28" customFormat="1" outlineLevel="1" collapsed="1" x14ac:dyDescent="0.35">
      <c r="A96" s="27"/>
      <c r="B96" s="14" t="str">
        <f>CONCATENATE("     ","Subscriptions &amp; Dues                              ")</f>
        <v xml:space="preserve">     Subscriptions &amp; Dues                              </v>
      </c>
      <c r="C96" s="14"/>
      <c r="D96" s="1">
        <f>SUM(OSRRefD22_10x_0)</f>
        <v>2180.9899999999998</v>
      </c>
      <c r="E96" s="1"/>
      <c r="F96" s="5">
        <f t="shared" ref="F96:F98" si="60">IF(D$12=0,0,D96/D$12)</f>
        <v>3.0810101148570795E-3</v>
      </c>
      <c r="G96" s="1"/>
      <c r="H96" s="1">
        <f>SUM(OSRRefH22_10x_0)</f>
        <v>300</v>
      </c>
      <c r="I96" s="1"/>
      <c r="J96" s="5">
        <f t="shared" ref="J96:J98" si="61">IF(H$12=0,0,H96/H$12)</f>
        <v>3.0499676195104396E-4</v>
      </c>
      <c r="K96" s="1"/>
      <c r="L96" s="1">
        <f t="shared" ref="L96:L98" si="62">+D96-H96</f>
        <v>1880.9899999999998</v>
      </c>
      <c r="M96" s="1"/>
      <c r="N96" s="5">
        <f t="shared" ref="N96:N98" si="63">IF(H96=0,0,L96/H96)</f>
        <v>6.269966666666666</v>
      </c>
      <c r="O96" s="14"/>
      <c r="P96" s="1">
        <f>SUM(OSRRefP22_10x_0)</f>
        <v>3912.43</v>
      </c>
      <c r="Q96" s="1"/>
      <c r="R96" s="5">
        <f t="shared" ref="R96:R98" si="64">IF(P$12=0,0,P96/P$12)</f>
        <v>2.1691909987025929E-3</v>
      </c>
      <c r="S96" s="1"/>
      <c r="T96" s="1">
        <f>SUM(OSRRefT22_10x_0)</f>
        <v>2100</v>
      </c>
      <c r="U96" s="1"/>
      <c r="V96" s="5">
        <f t="shared" ref="V96:V98" si="65">IF(T$12=0,0,T96/T$12)</f>
        <v>7.4693064855632532E-4</v>
      </c>
      <c r="W96" s="1"/>
      <c r="X96" s="1">
        <f t="shared" ref="X96:X98" si="66">+P96-T96</f>
        <v>1812.4299999999998</v>
      </c>
      <c r="Y96" s="1"/>
      <c r="Z96" s="5">
        <f t="shared" ref="Z96:Z98" si="67">IF(T96=0,0,X96/T96)</f>
        <v>0.8630619047619047</v>
      </c>
    </row>
    <row r="97" spans="1:26" s="24" customFormat="1" hidden="1" outlineLevel="2" x14ac:dyDescent="0.35">
      <c r="A97" s="29"/>
      <c r="B97" s="11" t="str">
        <f>CONCATENATE("          ", "6258", " - ", "MEMBERSHIP DUES")</f>
        <v xml:space="preserve">          6258 - MEMBERSHIP DUES</v>
      </c>
      <c r="C97" s="11"/>
      <c r="D97" s="7">
        <v>328.91</v>
      </c>
      <c r="E97" s="2"/>
      <c r="F97" s="6">
        <f t="shared" si="60"/>
        <v>4.6463992814164311E-4</v>
      </c>
      <c r="G97" s="2"/>
      <c r="H97" s="7">
        <v>300</v>
      </c>
      <c r="I97" s="2"/>
      <c r="J97" s="6">
        <f t="shared" si="61"/>
        <v>3.0499676195104396E-4</v>
      </c>
      <c r="K97" s="2"/>
      <c r="L97" s="7">
        <f t="shared" si="62"/>
        <v>28.910000000000025</v>
      </c>
      <c r="M97" s="2"/>
      <c r="N97" s="6">
        <f t="shared" si="63"/>
        <v>9.6366666666666753E-2</v>
      </c>
      <c r="O97" s="11"/>
      <c r="P97" s="7">
        <v>2060.35</v>
      </c>
      <c r="Q97" s="2"/>
      <c r="R97" s="6">
        <f t="shared" si="64"/>
        <v>1.1423316645094959E-3</v>
      </c>
      <c r="S97" s="2"/>
      <c r="T97" s="7">
        <v>2100</v>
      </c>
      <c r="U97" s="2"/>
      <c r="V97" s="6">
        <f t="shared" si="65"/>
        <v>7.4693064855632532E-4</v>
      </c>
      <c r="W97" s="2"/>
      <c r="X97" s="7">
        <f t="shared" si="66"/>
        <v>-39.650000000000091</v>
      </c>
      <c r="Y97" s="2"/>
      <c r="Z97" s="6">
        <f t="shared" si="67"/>
        <v>-1.8880952380952425E-2</v>
      </c>
    </row>
    <row r="98" spans="1:26" s="24" customFormat="1" hidden="1" outlineLevel="2" x14ac:dyDescent="0.35">
      <c r="A98" s="29"/>
      <c r="B98" s="11" t="str">
        <f>CONCATENATE("          ", "6275", " - ", "SUBSCRIPTIONS")</f>
        <v xml:space="preserve">          6275 - SUBSCRIPTIONS</v>
      </c>
      <c r="C98" s="11"/>
      <c r="D98" s="7">
        <v>1852.08</v>
      </c>
      <c r="E98" s="2"/>
      <c r="F98" s="6">
        <f t="shared" si="60"/>
        <v>2.6163701867154368E-3</v>
      </c>
      <c r="G98" s="2"/>
      <c r="H98" s="7"/>
      <c r="I98" s="2"/>
      <c r="J98" s="6">
        <f t="shared" si="61"/>
        <v>0</v>
      </c>
      <c r="K98" s="2"/>
      <c r="L98" s="7">
        <f t="shared" si="62"/>
        <v>1852.08</v>
      </c>
      <c r="M98" s="2"/>
      <c r="N98" s="6">
        <f t="shared" si="63"/>
        <v>0</v>
      </c>
      <c r="O98" s="11"/>
      <c r="P98" s="7">
        <v>1852.08</v>
      </c>
      <c r="Q98" s="2"/>
      <c r="R98" s="6">
        <f t="shared" si="64"/>
        <v>1.026859334193097E-3</v>
      </c>
      <c r="S98" s="2"/>
      <c r="T98" s="7"/>
      <c r="U98" s="2"/>
      <c r="V98" s="6">
        <f t="shared" si="65"/>
        <v>0</v>
      </c>
      <c r="W98" s="2"/>
      <c r="X98" s="7">
        <f t="shared" si="66"/>
        <v>1852.08</v>
      </c>
      <c r="Y98" s="2"/>
      <c r="Z98" s="6">
        <f t="shared" si="67"/>
        <v>0</v>
      </c>
    </row>
    <row r="99" spans="1:26" s="28" customFormat="1" outlineLevel="1" collapsed="1" x14ac:dyDescent="0.35">
      <c r="A99" s="27"/>
      <c r="B99" s="14" t="str">
        <f>CONCATENATE("     ","Supplies                                          ")</f>
        <v xml:space="preserve">     Supplies                                          </v>
      </c>
      <c r="C99" s="14"/>
      <c r="D99" s="1">
        <f>SUM(OSRRefD22_11x_0)</f>
        <v>2182.2599999999998</v>
      </c>
      <c r="E99" s="1"/>
      <c r="F99" s="5">
        <f t="shared" ref="F99:F102" si="68">IF(D$12=0,0,D99/D$12)</f>
        <v>3.082804200499778E-3</v>
      </c>
      <c r="G99" s="1"/>
      <c r="H99" s="1">
        <f>SUM(OSRRefH22_11x_0)</f>
        <v>1800</v>
      </c>
      <c r="I99" s="1"/>
      <c r="J99" s="5">
        <f t="shared" ref="J99:J102" si="69">IF(H$12=0,0,H99/H$12)</f>
        <v>1.8299805717062636E-3</v>
      </c>
      <c r="K99" s="1"/>
      <c r="L99" s="1">
        <f t="shared" ref="L99:L102" si="70">+D99-H99</f>
        <v>382.25999999999976</v>
      </c>
      <c r="M99" s="1"/>
      <c r="N99" s="5">
        <f t="shared" ref="N99:N102" si="71">IF(H99=0,0,L99/H99)</f>
        <v>0.21236666666666654</v>
      </c>
      <c r="O99" s="14"/>
      <c r="P99" s="1">
        <f>SUM(OSRRefP22_11x_0)</f>
        <v>4251.8999999999996</v>
      </c>
      <c r="Q99" s="1"/>
      <c r="R99" s="5">
        <f t="shared" ref="R99:R102" si="72">IF(P$12=0,0,P99/P$12)</f>
        <v>2.3574052973174102E-3</v>
      </c>
      <c r="S99" s="1"/>
      <c r="T99" s="1">
        <f>SUM(OSRRefT22_11x_0)</f>
        <v>8400</v>
      </c>
      <c r="U99" s="1"/>
      <c r="V99" s="5">
        <f t="shared" ref="V99:V102" si="73">IF(T$12=0,0,T99/T$12)</f>
        <v>2.9877225942253013E-3</v>
      </c>
      <c r="W99" s="1"/>
      <c r="X99" s="1">
        <f t="shared" ref="X99:X102" si="74">+P99-T99</f>
        <v>-4148.1000000000004</v>
      </c>
      <c r="Y99" s="1"/>
      <c r="Z99" s="5">
        <f t="shared" ref="Z99:Z102" si="75">IF(T99=0,0,X99/T99)</f>
        <v>-0.49382142857142863</v>
      </c>
    </row>
    <row r="100" spans="1:26" s="24" customFormat="1" hidden="1" outlineLevel="2" x14ac:dyDescent="0.35">
      <c r="A100" s="29"/>
      <c r="B100" s="11" t="str">
        <f>CONCATENATE("          ", "6241", " - ", "OFFICE EXPENSE")</f>
        <v xml:space="preserve">          6241 - OFFICE EXPENSE</v>
      </c>
      <c r="C100" s="11"/>
      <c r="D100" s="7">
        <v>85.24</v>
      </c>
      <c r="E100" s="2"/>
      <c r="F100" s="6">
        <f t="shared" si="68"/>
        <v>1.2041563793984268E-4</v>
      </c>
      <c r="G100" s="2"/>
      <c r="H100" s="7">
        <v>500</v>
      </c>
      <c r="I100" s="2"/>
      <c r="J100" s="6">
        <f t="shared" si="69"/>
        <v>5.0832793658507321E-4</v>
      </c>
      <c r="K100" s="2"/>
      <c r="L100" s="7">
        <f t="shared" si="70"/>
        <v>-414.76</v>
      </c>
      <c r="M100" s="2"/>
      <c r="N100" s="6">
        <f t="shared" si="71"/>
        <v>-0.82952000000000004</v>
      </c>
      <c r="O100" s="11"/>
      <c r="P100" s="7">
        <v>1209.5999999999999</v>
      </c>
      <c r="Q100" s="2"/>
      <c r="R100" s="6">
        <f t="shared" si="72"/>
        <v>6.7064546382444065E-4</v>
      </c>
      <c r="S100" s="2"/>
      <c r="T100" s="7">
        <v>3100</v>
      </c>
      <c r="U100" s="2"/>
      <c r="V100" s="6">
        <f t="shared" si="73"/>
        <v>1.1026119097736231E-3</v>
      </c>
      <c r="W100" s="2"/>
      <c r="X100" s="7">
        <f t="shared" si="74"/>
        <v>-1890.4</v>
      </c>
      <c r="Y100" s="2"/>
      <c r="Z100" s="6">
        <f t="shared" si="75"/>
        <v>-0.60980645161290326</v>
      </c>
    </row>
    <row r="101" spans="1:26" s="24" customFormat="1" hidden="1" outlineLevel="2" x14ac:dyDescent="0.35">
      <c r="A101" s="29"/>
      <c r="B101" s="11" t="str">
        <f>CONCATENATE("          ", "6245", " - ", "PRINTING")</f>
        <v xml:space="preserve">          6245 - PRINTING</v>
      </c>
      <c r="C101" s="11"/>
      <c r="D101" s="7"/>
      <c r="E101" s="2"/>
      <c r="F101" s="6">
        <f t="shared" si="68"/>
        <v>0</v>
      </c>
      <c r="G101" s="2"/>
      <c r="H101" s="7">
        <v>500</v>
      </c>
      <c r="I101" s="2"/>
      <c r="J101" s="6">
        <f t="shared" si="69"/>
        <v>5.0832793658507321E-4</v>
      </c>
      <c r="K101" s="2"/>
      <c r="L101" s="7">
        <f t="shared" si="70"/>
        <v>-500</v>
      </c>
      <c r="M101" s="2"/>
      <c r="N101" s="6">
        <f t="shared" si="71"/>
        <v>-1</v>
      </c>
      <c r="O101" s="11"/>
      <c r="P101" s="7"/>
      <c r="Q101" s="2"/>
      <c r="R101" s="6">
        <f t="shared" si="72"/>
        <v>0</v>
      </c>
      <c r="S101" s="2"/>
      <c r="T101" s="7">
        <v>1700</v>
      </c>
      <c r="U101" s="2"/>
      <c r="V101" s="6">
        <f t="shared" si="73"/>
        <v>6.0465814406940625E-4</v>
      </c>
      <c r="W101" s="2"/>
      <c r="X101" s="7">
        <f t="shared" si="74"/>
        <v>-1700</v>
      </c>
      <c r="Y101" s="2"/>
      <c r="Z101" s="6">
        <f t="shared" si="75"/>
        <v>-1</v>
      </c>
    </row>
    <row r="102" spans="1:26" s="24" customFormat="1" hidden="1" outlineLevel="2" x14ac:dyDescent="0.35">
      <c r="A102" s="29"/>
      <c r="B102" s="11" t="str">
        <f>CONCATENATE("          ", "6247", " - ", "STORE SUPPLIES")</f>
        <v xml:space="preserve">          6247 - STORE SUPPLIES</v>
      </c>
      <c r="C102" s="11"/>
      <c r="D102" s="7">
        <v>2097.02</v>
      </c>
      <c r="E102" s="2"/>
      <c r="F102" s="6">
        <f t="shared" si="68"/>
        <v>2.9623885625599355E-3</v>
      </c>
      <c r="G102" s="2"/>
      <c r="H102" s="7">
        <v>800</v>
      </c>
      <c r="I102" s="2"/>
      <c r="J102" s="6">
        <f t="shared" si="69"/>
        <v>8.1332469853611722E-4</v>
      </c>
      <c r="K102" s="2"/>
      <c r="L102" s="7">
        <f t="shared" si="70"/>
        <v>1297.02</v>
      </c>
      <c r="M102" s="2"/>
      <c r="N102" s="6">
        <f t="shared" si="71"/>
        <v>1.621275</v>
      </c>
      <c r="O102" s="11"/>
      <c r="P102" s="7">
        <v>3042.3</v>
      </c>
      <c r="Q102" s="2"/>
      <c r="R102" s="6">
        <f t="shared" si="72"/>
        <v>1.6867598334929697E-3</v>
      </c>
      <c r="S102" s="2"/>
      <c r="T102" s="7">
        <v>3600</v>
      </c>
      <c r="U102" s="2"/>
      <c r="V102" s="6">
        <f t="shared" si="73"/>
        <v>1.280452540382272E-3</v>
      </c>
      <c r="W102" s="2"/>
      <c r="X102" s="7">
        <f t="shared" si="74"/>
        <v>-557.69999999999982</v>
      </c>
      <c r="Y102" s="2"/>
      <c r="Z102" s="6">
        <f t="shared" si="75"/>
        <v>-0.15491666666666662</v>
      </c>
    </row>
    <row r="103" spans="1:26" s="28" customFormat="1" outlineLevel="1" collapsed="1" x14ac:dyDescent="0.35">
      <c r="A103" s="27"/>
      <c r="B103" s="14" t="str">
        <f>CONCATENATE("     ","Telephone/Data Lines                              ")</f>
        <v xml:space="preserve">     Telephone/Data Lines                              </v>
      </c>
      <c r="C103" s="14"/>
      <c r="D103" s="1">
        <f>SUM(OSRRefD22_12x_0)</f>
        <v>1215.2</v>
      </c>
      <c r="E103" s="1"/>
      <c r="F103" s="5">
        <f t="shared" ref="F103:F105" si="76">IF(D$12=0,0,D103/D$12)</f>
        <v>1.7166715535487662E-3</v>
      </c>
      <c r="G103" s="1"/>
      <c r="H103" s="1">
        <f>SUM(OSRRefH22_12x_0)</f>
        <v>1100</v>
      </c>
      <c r="I103" s="1"/>
      <c r="J103" s="5">
        <f t="shared" ref="J103:J105" si="77">IF(H$12=0,0,H103/H$12)</f>
        <v>1.1183214604871612E-3</v>
      </c>
      <c r="K103" s="1"/>
      <c r="L103" s="1">
        <f t="shared" ref="L103:L105" si="78">+D103-H103</f>
        <v>115.20000000000005</v>
      </c>
      <c r="M103" s="1"/>
      <c r="N103" s="5">
        <f t="shared" ref="N103:N105" si="79">IF(H103=0,0,L103/H103)</f>
        <v>0.10472727272727277</v>
      </c>
      <c r="O103" s="14"/>
      <c r="P103" s="1">
        <f>SUM(OSRRefP22_12x_0)</f>
        <v>6257.7</v>
      </c>
      <c r="Q103" s="1"/>
      <c r="R103" s="5">
        <f t="shared" ref="R103:R105" si="80">IF(P$12=0,0,P103/P$12)</f>
        <v>3.4694924925381967E-3</v>
      </c>
      <c r="S103" s="1"/>
      <c r="T103" s="1">
        <f>SUM(OSRRefT22_12x_0)</f>
        <v>6500</v>
      </c>
      <c r="U103" s="1"/>
      <c r="V103" s="5">
        <f t="shared" ref="V103:V105" si="81">IF(T$12=0,0,T103/T$12)</f>
        <v>2.3119281979124356E-3</v>
      </c>
      <c r="W103" s="1"/>
      <c r="X103" s="1">
        <f t="shared" ref="X103:X105" si="82">+P103-T103</f>
        <v>-242.30000000000018</v>
      </c>
      <c r="Y103" s="1"/>
      <c r="Z103" s="5">
        <f t="shared" ref="Z103:Z105" si="83">IF(T103=0,0,X103/T103)</f>
        <v>-3.7276923076923103E-2</v>
      </c>
    </row>
    <row r="104" spans="1:26" s="24" customFormat="1" hidden="1" outlineLevel="2" x14ac:dyDescent="0.35">
      <c r="A104" s="29"/>
      <c r="B104" s="11" t="str">
        <f>CONCATENATE("          ", "6303", " - ", "DATA PHONE LINES")</f>
        <v xml:space="preserve">          6303 - DATA PHONE LINES</v>
      </c>
      <c r="C104" s="11"/>
      <c r="D104" s="7">
        <v>295</v>
      </c>
      <c r="E104" s="2"/>
      <c r="F104" s="6">
        <f t="shared" si="76"/>
        <v>4.1673642881573901E-4</v>
      </c>
      <c r="G104" s="2"/>
      <c r="H104" s="7">
        <v>300</v>
      </c>
      <c r="I104" s="2"/>
      <c r="J104" s="6">
        <f t="shared" si="77"/>
        <v>3.0499676195104396E-4</v>
      </c>
      <c r="K104" s="2"/>
      <c r="L104" s="7">
        <f t="shared" si="78"/>
        <v>-5</v>
      </c>
      <c r="M104" s="2"/>
      <c r="N104" s="6">
        <f t="shared" si="79"/>
        <v>-1.6666666666666666E-2</v>
      </c>
      <c r="O104" s="11"/>
      <c r="P104" s="7">
        <v>2360</v>
      </c>
      <c r="Q104" s="2"/>
      <c r="R104" s="6">
        <f t="shared" si="80"/>
        <v>1.3084683321971562E-3</v>
      </c>
      <c r="S104" s="2"/>
      <c r="T104" s="7">
        <v>2100</v>
      </c>
      <c r="U104" s="2"/>
      <c r="V104" s="6">
        <f t="shared" si="81"/>
        <v>7.4693064855632532E-4</v>
      </c>
      <c r="W104" s="2"/>
      <c r="X104" s="7">
        <f t="shared" si="82"/>
        <v>260</v>
      </c>
      <c r="Y104" s="2"/>
      <c r="Z104" s="6">
        <f t="shared" si="83"/>
        <v>0.12380952380952381</v>
      </c>
    </row>
    <row r="105" spans="1:26" s="24" customFormat="1" hidden="1" outlineLevel="2" x14ac:dyDescent="0.35">
      <c r="A105" s="29"/>
      <c r="B105" s="11" t="str">
        <f>CONCATENATE("          ", "6309", " - ", "TELEPHONE")</f>
        <v xml:space="preserve">          6309 - TELEPHONE</v>
      </c>
      <c r="C105" s="11"/>
      <c r="D105" s="7">
        <v>920.2</v>
      </c>
      <c r="E105" s="2"/>
      <c r="F105" s="6">
        <f t="shared" si="76"/>
        <v>1.2999351247330272E-3</v>
      </c>
      <c r="G105" s="2"/>
      <c r="H105" s="7">
        <v>800</v>
      </c>
      <c r="I105" s="2"/>
      <c r="J105" s="6">
        <f t="shared" si="77"/>
        <v>8.1332469853611722E-4</v>
      </c>
      <c r="K105" s="2"/>
      <c r="L105" s="7">
        <f t="shared" si="78"/>
        <v>120.20000000000005</v>
      </c>
      <c r="M105" s="2"/>
      <c r="N105" s="6">
        <f t="shared" si="79"/>
        <v>0.15025000000000005</v>
      </c>
      <c r="O105" s="11"/>
      <c r="P105" s="7">
        <v>3897.7</v>
      </c>
      <c r="Q105" s="2"/>
      <c r="R105" s="6">
        <f t="shared" si="80"/>
        <v>2.1610241603410405E-3</v>
      </c>
      <c r="S105" s="2"/>
      <c r="T105" s="7">
        <v>4400</v>
      </c>
      <c r="U105" s="2"/>
      <c r="V105" s="6">
        <f t="shared" si="81"/>
        <v>1.5649975493561101E-3</v>
      </c>
      <c r="W105" s="2"/>
      <c r="X105" s="7">
        <f t="shared" si="82"/>
        <v>-502.30000000000018</v>
      </c>
      <c r="Y105" s="2"/>
      <c r="Z105" s="6">
        <f t="shared" si="83"/>
        <v>-0.11415909090909095</v>
      </c>
    </row>
    <row r="106" spans="1:26" s="28" customFormat="1" outlineLevel="1" collapsed="1" x14ac:dyDescent="0.35">
      <c r="A106" s="27"/>
      <c r="B106" s="14" t="str">
        <f>CONCATENATE("     ","Travel                                            ")</f>
        <v xml:space="preserve">     Travel                                            </v>
      </c>
      <c r="C106" s="14"/>
      <c r="D106" s="1">
        <f>SUM(OSRRefD22_13x_0)</f>
        <v>0</v>
      </c>
      <c r="E106" s="1"/>
      <c r="F106" s="5">
        <f t="shared" ref="F106:F107" si="84">IF(D$12=0,0,D106/D$12)</f>
        <v>0</v>
      </c>
      <c r="G106" s="1"/>
      <c r="H106" s="1">
        <f>SUM(OSRRefH22_13x_0)</f>
        <v>0</v>
      </c>
      <c r="I106" s="1"/>
      <c r="J106" s="5">
        <f t="shared" ref="J106:J107" si="85">IF(H$12=0,0,H106/H$12)</f>
        <v>0</v>
      </c>
      <c r="K106" s="1"/>
      <c r="L106" s="1">
        <f t="shared" ref="L106:L107" si="86">+D106-H106</f>
        <v>0</v>
      </c>
      <c r="M106" s="1"/>
      <c r="N106" s="5">
        <f t="shared" ref="N106:N107" si="87">IF(H106=0,0,L106/H106)</f>
        <v>0</v>
      </c>
      <c r="O106" s="14"/>
      <c r="P106" s="1">
        <f>SUM(OSRRefP22_13x_0)</f>
        <v>0.16</v>
      </c>
      <c r="Q106" s="1"/>
      <c r="R106" s="5">
        <f t="shared" ref="R106:R107" si="88">IF(P$12=0,0,P106/P$12)</f>
        <v>8.8709717437095336E-8</v>
      </c>
      <c r="S106" s="1"/>
      <c r="T106" s="1">
        <f>SUM(OSRRefT22_13x_0)</f>
        <v>0</v>
      </c>
      <c r="U106" s="1"/>
      <c r="V106" s="5">
        <f t="shared" ref="V106:V107" si="89">IF(T$12=0,0,T106/T$12)</f>
        <v>0</v>
      </c>
      <c r="W106" s="1"/>
      <c r="X106" s="1">
        <f t="shared" ref="X106:X107" si="90">+P106-T106</f>
        <v>0.16</v>
      </c>
      <c r="Y106" s="1"/>
      <c r="Z106" s="5">
        <f t="shared" ref="Z106:Z107" si="91">IF(T106=0,0,X106/T106)</f>
        <v>0</v>
      </c>
    </row>
    <row r="107" spans="1:26" s="24" customFormat="1" hidden="1" outlineLevel="2" x14ac:dyDescent="0.35">
      <c r="A107" s="29"/>
      <c r="B107" s="11" t="str">
        <f>CONCATENATE("          ", "6292", " - ", "TRAVEL/CONFERENCE")</f>
        <v xml:space="preserve">          6292 - TRAVEL/CONFERENCE</v>
      </c>
      <c r="C107" s="11"/>
      <c r="D107" s="7"/>
      <c r="E107" s="2"/>
      <c r="F107" s="6">
        <f t="shared" si="84"/>
        <v>0</v>
      </c>
      <c r="G107" s="2"/>
      <c r="H107" s="7"/>
      <c r="I107" s="2"/>
      <c r="J107" s="6">
        <f t="shared" si="85"/>
        <v>0</v>
      </c>
      <c r="K107" s="2"/>
      <c r="L107" s="7">
        <f t="shared" si="86"/>
        <v>0</v>
      </c>
      <c r="M107" s="2"/>
      <c r="N107" s="6">
        <f t="shared" si="87"/>
        <v>0</v>
      </c>
      <c r="O107" s="11"/>
      <c r="P107" s="7">
        <v>0.16</v>
      </c>
      <c r="Q107" s="2"/>
      <c r="R107" s="6">
        <f t="shared" si="88"/>
        <v>8.8709717437095336E-8</v>
      </c>
      <c r="S107" s="2"/>
      <c r="T107" s="7"/>
      <c r="U107" s="2"/>
      <c r="V107" s="6">
        <f t="shared" si="89"/>
        <v>0</v>
      </c>
      <c r="W107" s="2"/>
      <c r="X107" s="7">
        <f t="shared" si="90"/>
        <v>0.16</v>
      </c>
      <c r="Y107" s="2"/>
      <c r="Z107" s="6">
        <f t="shared" si="91"/>
        <v>0</v>
      </c>
    </row>
    <row r="108" spans="1:26" s="55" customFormat="1" x14ac:dyDescent="0.35">
      <c r="A108" s="36"/>
      <c r="B108" s="36"/>
      <c r="C108" s="36"/>
      <c r="D108" s="1"/>
      <c r="E108" s="1"/>
      <c r="F108" s="5"/>
      <c r="G108" s="1"/>
      <c r="H108" s="1"/>
      <c r="I108" s="1"/>
      <c r="J108" s="5"/>
      <c r="K108" s="1"/>
      <c r="L108" s="1"/>
      <c r="M108" s="1"/>
      <c r="N108" s="5"/>
      <c r="O108" s="36"/>
      <c r="P108" s="1"/>
      <c r="Q108" s="1"/>
      <c r="R108" s="5"/>
      <c r="S108" s="1"/>
      <c r="T108" s="1"/>
      <c r="U108" s="1"/>
      <c r="V108" s="5"/>
      <c r="W108" s="1"/>
      <c r="X108" s="1"/>
      <c r="Y108" s="1"/>
      <c r="Z108" s="5"/>
    </row>
    <row r="109" spans="1:26" s="23" customFormat="1" collapsed="1" x14ac:dyDescent="0.35">
      <c r="A109" s="10"/>
      <c r="B109" s="25" t="s">
        <v>0</v>
      </c>
      <c r="C109" s="10"/>
      <c r="D109" s="4">
        <f>SUM(OSRRefD25x_0)</f>
        <v>7055.88</v>
      </c>
      <c r="E109" s="4"/>
      <c r="F109" s="12">
        <f t="shared" ref="F109:F112" si="92">IF(D$12=0,0,D109/D$12)</f>
        <v>9.9676007910250719E-3</v>
      </c>
      <c r="G109" s="4"/>
      <c r="H109" s="4">
        <f>SUM(OSRRefH25x_0)</f>
        <v>6500</v>
      </c>
      <c r="I109" s="4"/>
      <c r="J109" s="12">
        <f t="shared" ref="J109:J112" si="93">IF(H$12=0,0,H109/H$12)</f>
        <v>6.6082631756059522E-3</v>
      </c>
      <c r="K109" s="4"/>
      <c r="L109" s="4">
        <f t="shared" ref="L109:L112" si="94">+D109-H109</f>
        <v>555.88000000000011</v>
      </c>
      <c r="M109" s="4"/>
      <c r="N109" s="12">
        <f t="shared" ref="N109:N112" si="95">IF(H109=0,0,L109/H109)</f>
        <v>8.5520000000000013E-2</v>
      </c>
      <c r="O109" s="10"/>
      <c r="P109" s="4">
        <f>SUM(OSRRefP25x_0)</f>
        <v>180821.69000000003</v>
      </c>
      <c r="Q109" s="4"/>
      <c r="R109" s="12">
        <f t="shared" ref="R109:R112" si="96">IF(P$12=0,0,P109/P$12)</f>
        <v>0.10025400641498781</v>
      </c>
      <c r="S109" s="4"/>
      <c r="T109" s="4">
        <f>SUM(OSRRefT25x_0)</f>
        <v>114759</v>
      </c>
      <c r="U109" s="4"/>
      <c r="V109" s="12">
        <f t="shared" ref="V109:V112" si="97">IF(T$12=0,0,T109/T$12)</f>
        <v>4.0817625856035877E-2</v>
      </c>
      <c r="W109" s="4"/>
      <c r="X109" s="4">
        <f t="shared" ref="X109:X112" si="98">+P109-T109</f>
        <v>66062.690000000031</v>
      </c>
      <c r="Y109" s="4"/>
      <c r="Z109" s="12">
        <f t="shared" ref="Z109:Z112" si="99">IF(T109=0,0,X109/T109)</f>
        <v>0.57566456661351206</v>
      </c>
    </row>
    <row r="110" spans="1:26" s="24" customFormat="1" hidden="1" outlineLevel="1" x14ac:dyDescent="0.35">
      <c r="A110" s="51"/>
      <c r="B110" s="11" t="str">
        <f>CONCATENATE("          ", "9150", " - ", "MISC. INCOME")</f>
        <v xml:space="preserve">          9150 - MISC. INCOME</v>
      </c>
      <c r="C110" s="11"/>
      <c r="D110" s="2">
        <f>--4937.55</f>
        <v>4937.55</v>
      </c>
      <c r="E110" s="2"/>
      <c r="F110" s="22">
        <f t="shared" si="92"/>
        <v>6.9751083189801763E-3</v>
      </c>
      <c r="G110" s="2"/>
      <c r="H110" s="2">
        <v>6500</v>
      </c>
      <c r="I110" s="2"/>
      <c r="J110" s="22">
        <f t="shared" si="93"/>
        <v>6.6082631756059522E-3</v>
      </c>
      <c r="K110" s="2"/>
      <c r="L110" s="2">
        <f t="shared" si="94"/>
        <v>-1562.4499999999998</v>
      </c>
      <c r="M110" s="2"/>
      <c r="N110" s="22">
        <f t="shared" si="95"/>
        <v>-0.24037692307692304</v>
      </c>
      <c r="O110" s="11"/>
      <c r="P110" s="2">
        <f>--28332.04</f>
        <v>28332.04</v>
      </c>
      <c r="Q110" s="2"/>
      <c r="R110" s="22">
        <f t="shared" si="96"/>
        <v>1.5708295392603017E-2</v>
      </c>
      <c r="S110" s="2"/>
      <c r="T110" s="2">
        <v>22500</v>
      </c>
      <c r="U110" s="2"/>
      <c r="V110" s="22">
        <f t="shared" si="97"/>
        <v>8.0028283773891998E-3</v>
      </c>
      <c r="W110" s="2"/>
      <c r="X110" s="2">
        <f t="shared" si="98"/>
        <v>5832.0400000000009</v>
      </c>
      <c r="Y110" s="2"/>
      <c r="Z110" s="22">
        <f t="shared" si="99"/>
        <v>0.25920177777777781</v>
      </c>
    </row>
    <row r="111" spans="1:26" s="24" customFormat="1" hidden="1" outlineLevel="1" x14ac:dyDescent="0.35">
      <c r="A111" s="51"/>
      <c r="B111" s="11" t="str">
        <f>CONCATENATE("          ", "9151", " - ", "MISC. INCOME")</f>
        <v xml:space="preserve">          9151 - MISC. INCOME</v>
      </c>
      <c r="C111" s="11"/>
      <c r="D111" s="2">
        <f>--1972</f>
        <v>1972</v>
      </c>
      <c r="E111" s="2"/>
      <c r="F111" s="22">
        <f t="shared" si="92"/>
        <v>2.7857770766936858E-3</v>
      </c>
      <c r="G111" s="2"/>
      <c r="H111" s="2"/>
      <c r="I111" s="2"/>
      <c r="J111" s="22">
        <f t="shared" si="93"/>
        <v>0</v>
      </c>
      <c r="K111" s="2"/>
      <c r="L111" s="2">
        <f t="shared" si="94"/>
        <v>1972</v>
      </c>
      <c r="M111" s="2"/>
      <c r="N111" s="22">
        <f t="shared" si="95"/>
        <v>0</v>
      </c>
      <c r="O111" s="11"/>
      <c r="P111" s="2">
        <f>--149257.39</f>
        <v>149257.39000000001</v>
      </c>
      <c r="Q111" s="2"/>
      <c r="R111" s="22">
        <f t="shared" si="96"/>
        <v>8.275363057686462E-2</v>
      </c>
      <c r="S111" s="2"/>
      <c r="T111" s="2">
        <v>92259</v>
      </c>
      <c r="U111" s="2"/>
      <c r="V111" s="22">
        <f t="shared" si="97"/>
        <v>3.2814797478646678E-2</v>
      </c>
      <c r="W111" s="2"/>
      <c r="X111" s="2">
        <f t="shared" si="98"/>
        <v>56998.390000000014</v>
      </c>
      <c r="Y111" s="2"/>
      <c r="Z111" s="22">
        <f t="shared" si="99"/>
        <v>0.6178084522919175</v>
      </c>
    </row>
    <row r="112" spans="1:26" s="24" customFormat="1" hidden="1" outlineLevel="1" x14ac:dyDescent="0.35">
      <c r="A112" s="51"/>
      <c r="B112" s="11" t="str">
        <f>CONCATENATE("          ", "9152", " - ", "MISC. INCOME")</f>
        <v xml:space="preserve">          9152 - MISC. INCOME</v>
      </c>
      <c r="C112" s="11"/>
      <c r="D112" s="2">
        <f>--146.33</f>
        <v>146.33000000000001</v>
      </c>
      <c r="E112" s="2"/>
      <c r="F112" s="22">
        <f t="shared" si="92"/>
        <v>2.0671539535121048E-4</v>
      </c>
      <c r="G112" s="2"/>
      <c r="H112" s="2"/>
      <c r="I112" s="2"/>
      <c r="J112" s="22">
        <f t="shared" si="93"/>
        <v>0</v>
      </c>
      <c r="K112" s="2"/>
      <c r="L112" s="2">
        <f t="shared" si="94"/>
        <v>146.33000000000001</v>
      </c>
      <c r="M112" s="2"/>
      <c r="N112" s="22">
        <f t="shared" si="95"/>
        <v>0</v>
      </c>
      <c r="O112" s="11"/>
      <c r="P112" s="2">
        <f>--3232.26</f>
        <v>3232.26</v>
      </c>
      <c r="Q112" s="2"/>
      <c r="R112" s="22">
        <f t="shared" si="96"/>
        <v>1.7920804455201613E-3</v>
      </c>
      <c r="S112" s="2"/>
      <c r="T112" s="2"/>
      <c r="U112" s="2"/>
      <c r="V112" s="22">
        <f t="shared" si="97"/>
        <v>0</v>
      </c>
      <c r="W112" s="2"/>
      <c r="X112" s="2">
        <f t="shared" si="98"/>
        <v>3232.26</v>
      </c>
      <c r="Y112" s="2"/>
      <c r="Z112" s="22">
        <f t="shared" si="99"/>
        <v>0</v>
      </c>
    </row>
    <row r="113" spans="1:26" x14ac:dyDescent="0.3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35">
      <c r="A114" s="10"/>
      <c r="B114" s="26" t="s">
        <v>3</v>
      </c>
      <c r="C114" s="26"/>
      <c r="D114" s="19">
        <f>+D51-D53+D109</f>
        <v>156297.28000000006</v>
      </c>
      <c r="E114" s="13"/>
      <c r="F114" s="21">
        <f>IF(D$12=0,0,D114/D$12)</f>
        <v>0.22079583152818186</v>
      </c>
      <c r="G114" s="13"/>
      <c r="H114" s="19">
        <f>+H51-H53+H109</f>
        <v>181338.88033317306</v>
      </c>
      <c r="I114" s="13"/>
      <c r="J114" s="21">
        <f>IF(H$12=0,0,H114/H$12)</f>
        <v>0.18435923772481877</v>
      </c>
      <c r="K114" s="16"/>
      <c r="L114" s="19">
        <f>+D114-H114</f>
        <v>-25041.600333173003</v>
      </c>
      <c r="M114" s="16"/>
      <c r="N114" s="21">
        <f>IF(H114=0,0,L114/H114)</f>
        <v>-0.13809283639098349</v>
      </c>
      <c r="O114" s="25"/>
      <c r="P114" s="19">
        <f>+P51-P53+P109</f>
        <v>382015.64999999944</v>
      </c>
      <c r="Q114" s="13"/>
      <c r="R114" s="21">
        <f>IF(P$12=0,0,P114/P$12)</f>
        <v>0.21180312730030162</v>
      </c>
      <c r="S114" s="13"/>
      <c r="T114" s="19">
        <f>+T51-T53+T109</f>
        <v>476641.87010307284</v>
      </c>
      <c r="U114" s="13"/>
      <c r="V114" s="21">
        <f>IF(T$12=0,0,T114/T$12)</f>
        <v>0.16953258150723235</v>
      </c>
      <c r="W114" s="16"/>
      <c r="X114" s="19">
        <f>+P114-T114</f>
        <v>-94626.2201030734</v>
      </c>
      <c r="Y114" s="16"/>
      <c r="Z114" s="21">
        <f>IF(T114=0,0,X114/T114)</f>
        <v>-0.19852687319015988</v>
      </c>
    </row>
    <row r="115" spans="1:26" x14ac:dyDescent="0.35">
      <c r="A115" s="9"/>
      <c r="B115" s="10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35">
      <c r="A116" s="52"/>
      <c r="B116" s="10" t="s">
        <v>14</v>
      </c>
      <c r="C116" s="10"/>
      <c r="D116" s="4">
        <v>130406.49</v>
      </c>
      <c r="E116" s="4"/>
      <c r="F116" s="12">
        <f>IF(D$12=0,0,D116/D$12)</f>
        <v>0.1842207963965945</v>
      </c>
      <c r="G116" s="4"/>
      <c r="H116" s="4">
        <v>141180</v>
      </c>
      <c r="I116" s="4"/>
      <c r="J116" s="12">
        <f>IF(H$12=0,0,H116/H$12)</f>
        <v>0.14353147617416129</v>
      </c>
      <c r="K116" s="4"/>
      <c r="L116" s="4">
        <f>+D116-H116</f>
        <v>-10773.509999999995</v>
      </c>
      <c r="M116" s="4"/>
      <c r="N116" s="12">
        <f>IF(H116=0,0,L116/H116)</f>
        <v>-7.6310454738631503E-2</v>
      </c>
      <c r="O116" s="10"/>
      <c r="P116" s="4">
        <v>327407.57</v>
      </c>
      <c r="Q116" s="4"/>
      <c r="R116" s="12">
        <f>IF(P$12=0,0,P116/P$12)</f>
        <v>0.18152645638416257</v>
      </c>
      <c r="S116" s="4"/>
      <c r="T116" s="4">
        <v>487914.00000000006</v>
      </c>
      <c r="U116" s="4"/>
      <c r="V116" s="12">
        <f>IF(T$12=0,0,T116/T$12)</f>
        <v>0.17354186688557666</v>
      </c>
      <c r="W116" s="4"/>
      <c r="X116" s="4">
        <f>+P116-T116</f>
        <v>-160506.43000000005</v>
      </c>
      <c r="Y116" s="4"/>
      <c r="Z116" s="12">
        <f>IF(T116=0,0,X116/T116)</f>
        <v>-0.32896459212074264</v>
      </c>
    </row>
    <row r="117" spans="1:26" x14ac:dyDescent="0.3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" thickBot="1" x14ac:dyDescent="0.4">
      <c r="A118" s="10"/>
      <c r="B118" s="26" t="s">
        <v>4</v>
      </c>
      <c r="C118" s="26"/>
      <c r="D118" s="33">
        <f>+D114-D116</f>
        <v>25890.790000000052</v>
      </c>
      <c r="E118" s="13"/>
      <c r="F118" s="31">
        <f>IF(D$12=0,0,D118/D$12)</f>
        <v>3.6575035131587351E-2</v>
      </c>
      <c r="G118" s="13"/>
      <c r="H118" s="33">
        <f>+H114-H116</f>
        <v>40158.88033317306</v>
      </c>
      <c r="I118" s="13"/>
      <c r="J118" s="31">
        <f>IF(H$12=0,0,H118/H$12)</f>
        <v>4.0827761550657482E-2</v>
      </c>
      <c r="K118" s="16"/>
      <c r="L118" s="33">
        <f>D118-H118</f>
        <v>-14268.090333173008</v>
      </c>
      <c r="M118" s="16"/>
      <c r="N118" s="31">
        <f>IF(H118=0,0,L118/H118)</f>
        <v>-0.35529103936164569</v>
      </c>
      <c r="O118" s="25"/>
      <c r="P118" s="33">
        <f>+P114-P116</f>
        <v>54608.079999999434</v>
      </c>
      <c r="Q118" s="13"/>
      <c r="R118" s="31">
        <f>IF(P$12=0,0,P118/P$12)</f>
        <v>3.0276670916139042E-2</v>
      </c>
      <c r="S118" s="13"/>
      <c r="T118" s="33">
        <f>+T114-T116</f>
        <v>-11272.129896927217</v>
      </c>
      <c r="U118" s="13"/>
      <c r="V118" s="31">
        <f>IF(T$12=0,0,T118/T$12)</f>
        <v>-4.0092853783442817E-3</v>
      </c>
      <c r="W118" s="16"/>
      <c r="X118" s="33">
        <f>P118-T118</f>
        <v>65880.209896926652</v>
      </c>
      <c r="Y118" s="16"/>
      <c r="Z118" s="31">
        <f>IF(T118=0,0,X118/T118)</f>
        <v>-5.844521887108983</v>
      </c>
    </row>
    <row r="119" spans="1:26" ht="15" thickTop="1" x14ac:dyDescent="0.3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x14ac:dyDescent="0.3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" thickBot="1" x14ac:dyDescent="0.4">
      <c r="A121" s="10"/>
      <c r="B121" s="26" t="s">
        <v>5</v>
      </c>
      <c r="C121" s="26"/>
      <c r="D121" s="34">
        <f>SUM(D118:D120)</f>
        <v>25890.790000000052</v>
      </c>
      <c r="E121" s="13"/>
      <c r="F121" s="32">
        <f>IF(D$12=0,0,D121/D$12)</f>
        <v>3.6575035131587351E-2</v>
      </c>
      <c r="G121" s="13"/>
      <c r="H121" s="34">
        <f>SUM(H118:H120)</f>
        <v>40158.88033317306</v>
      </c>
      <c r="I121" s="13"/>
      <c r="J121" s="32">
        <f>IF(H$12=0,0,H121/H$12)</f>
        <v>4.0827761550657482E-2</v>
      </c>
      <c r="K121" s="16"/>
      <c r="L121" s="34">
        <f>+D121-H121</f>
        <v>-14268.090333173008</v>
      </c>
      <c r="M121" s="16"/>
      <c r="N121" s="32">
        <f>IF(H121=0,0,L121/H121)</f>
        <v>-0.35529103936164569</v>
      </c>
      <c r="O121" s="25"/>
      <c r="P121" s="34">
        <f>SUM(P118:P120)</f>
        <v>54608.079999999434</v>
      </c>
      <c r="Q121" s="13"/>
      <c r="R121" s="32">
        <f>IF(P$12=0,0,P121/P$12)</f>
        <v>3.0276670916139042E-2</v>
      </c>
      <c r="S121" s="13"/>
      <c r="T121" s="34">
        <f>SUM(T118:T120)</f>
        <v>-11272.129896927217</v>
      </c>
      <c r="U121" s="13"/>
      <c r="V121" s="32">
        <f>IF(T$12=0,0,T121/T$12)</f>
        <v>-4.0092853783442817E-3</v>
      </c>
      <c r="W121" s="16"/>
      <c r="X121" s="34">
        <f>+P121-T121</f>
        <v>65880.209896926652</v>
      </c>
      <c r="Y121" s="16"/>
      <c r="Z121" s="32">
        <f>IF(T121=0,0,X121/T121)</f>
        <v>-5.844521887108983</v>
      </c>
    </row>
    <row r="122" spans="1:26" ht="15" thickTop="1" x14ac:dyDescent="0.35">
      <c r="A122" s="9"/>
      <c r="C122" s="9"/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35">
      <c r="A123" s="9"/>
      <c r="B123" s="60">
        <v>44238.490440428242</v>
      </c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  <row r="124" spans="1:26" x14ac:dyDescent="0.35">
      <c r="A124" s="9"/>
      <c r="B124" s="59" t="s">
        <v>314</v>
      </c>
      <c r="D124" s="18"/>
      <c r="E124" s="18"/>
      <c r="G124" s="18"/>
      <c r="H124" s="18"/>
      <c r="I124" s="18"/>
      <c r="J124" s="43"/>
      <c r="K124" s="18"/>
      <c r="L124" s="18"/>
      <c r="M124" s="18"/>
      <c r="P124" s="18"/>
      <c r="Q124" s="18"/>
      <c r="R124" s="43"/>
      <c r="S124" s="18"/>
      <c r="T124" s="18"/>
      <c r="U124" s="18"/>
      <c r="V124" s="43"/>
      <c r="W124" s="18"/>
      <c r="X124" s="18"/>
    </row>
    <row r="125" spans="1:26" x14ac:dyDescent="0.35">
      <c r="A125" s="9"/>
      <c r="B125" s="58"/>
      <c r="D125" s="18"/>
      <c r="E125" s="18"/>
      <c r="G125" s="18"/>
      <c r="H125" s="18"/>
      <c r="I125" s="18"/>
      <c r="J125" s="43"/>
      <c r="K125" s="18"/>
      <c r="L125" s="18"/>
      <c r="M125" s="18"/>
      <c r="P125" s="18"/>
      <c r="Q125" s="18"/>
      <c r="R125" s="43"/>
      <c r="S125" s="18"/>
      <c r="T125" s="18"/>
      <c r="U125" s="18"/>
      <c r="V125" s="43"/>
      <c r="W125" s="18"/>
      <c r="X125" s="18"/>
    </row>
    <row r="126" spans="1:26" x14ac:dyDescent="0.35">
      <c r="D126" s="18"/>
      <c r="E126" s="18"/>
      <c r="G126" s="18"/>
      <c r="H126" s="18"/>
      <c r="I126" s="18"/>
      <c r="J126" s="43"/>
      <c r="K126" s="18"/>
      <c r="L126" s="18"/>
      <c r="M126" s="18"/>
      <c r="P126" s="18"/>
      <c r="Q126" s="18"/>
      <c r="R126" s="43"/>
      <c r="S126" s="18"/>
      <c r="T126" s="18"/>
      <c r="U126" s="18"/>
      <c r="V126" s="43"/>
      <c r="W126" s="18"/>
      <c r="X126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","324", " - ", "Textbook Rental")</f>
        <v>Department 324 - Textbook Rental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281073.37</v>
      </c>
      <c r="E12" s="4"/>
      <c r="F12" s="12"/>
      <c r="G12" s="4"/>
      <c r="H12" s="4">
        <f>SUM(OSRRefH13x_0)</f>
        <v>545322</v>
      </c>
      <c r="I12" s="4"/>
      <c r="J12" s="12"/>
      <c r="K12" s="4"/>
      <c r="L12" s="4">
        <f t="shared" ref="L12:L16" si="0">+D12-H12</f>
        <v>-264248.63</v>
      </c>
      <c r="M12" s="4"/>
      <c r="N12" s="12">
        <f t="shared" ref="N12:N16" si="1">IF(H12=0,0,L12/H12)</f>
        <v>-0.48457357304491661</v>
      </c>
      <c r="O12" s="10"/>
      <c r="P12" s="4">
        <f>SUM(OSRRefP13x_0)</f>
        <v>757271.77</v>
      </c>
      <c r="Q12" s="4"/>
      <c r="R12" s="12"/>
      <c r="S12" s="4"/>
      <c r="T12" s="4">
        <f>SUM(OSRRefT13x_0)</f>
        <v>1357995</v>
      </c>
      <c r="U12" s="4"/>
      <c r="V12" s="12"/>
      <c r="W12" s="4"/>
      <c r="X12" s="4">
        <f t="shared" ref="X12:X16" si="2">+P12-T12</f>
        <v>-600723.23</v>
      </c>
      <c r="Y12" s="4"/>
      <c r="Z12" s="12">
        <f t="shared" ref="Z12:Z16" si="3">IF(T12=0,0,X12/T12)</f>
        <v>-0.44236041369813583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545322</v>
      </c>
      <c r="I13" s="2"/>
      <c r="J13" s="22"/>
      <c r="K13" s="2"/>
      <c r="L13" s="2">
        <f t="shared" si="0"/>
        <v>-545322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1357995</v>
      </c>
      <c r="U13" s="2"/>
      <c r="V13" s="22"/>
      <c r="W13" s="2"/>
      <c r="X13" s="2">
        <f t="shared" si="2"/>
        <v>-1357995</v>
      </c>
      <c r="Y13" s="2"/>
      <c r="Z13" s="22">
        <f t="shared" si="3"/>
        <v>-1</v>
      </c>
    </row>
    <row r="14" spans="1:26" s="24" customFormat="1" hidden="1" outlineLevel="1" x14ac:dyDescent="0.3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--80675.4</f>
        <v>80675.399999999994</v>
      </c>
      <c r="E14" s="2"/>
      <c r="F14" s="22"/>
      <c r="G14" s="2"/>
      <c r="H14" s="2"/>
      <c r="I14" s="2"/>
      <c r="J14" s="22"/>
      <c r="K14" s="2"/>
      <c r="L14" s="2">
        <f t="shared" si="0"/>
        <v>80675.399999999994</v>
      </c>
      <c r="M14" s="2"/>
      <c r="N14" s="22">
        <f t="shared" si="1"/>
        <v>0</v>
      </c>
      <c r="O14" s="11"/>
      <c r="P14" s="2">
        <f>--256494.62</f>
        <v>256494.62</v>
      </c>
      <c r="Q14" s="2"/>
      <c r="R14" s="22"/>
      <c r="S14" s="2"/>
      <c r="T14" s="2"/>
      <c r="U14" s="2"/>
      <c r="V14" s="22"/>
      <c r="W14" s="2"/>
      <c r="X14" s="2">
        <f t="shared" si="2"/>
        <v>256494.62</v>
      </c>
      <c r="Y14" s="2"/>
      <c r="Z14" s="22">
        <f t="shared" si="3"/>
        <v>0</v>
      </c>
    </row>
    <row r="15" spans="1:26" s="24" customFormat="1" hidden="1" outlineLevel="1" x14ac:dyDescent="0.3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--87429.78</f>
        <v>87429.78</v>
      </c>
      <c r="E15" s="2"/>
      <c r="F15" s="22"/>
      <c r="G15" s="2"/>
      <c r="H15" s="2"/>
      <c r="I15" s="2"/>
      <c r="J15" s="22"/>
      <c r="K15" s="2"/>
      <c r="L15" s="2">
        <f t="shared" si="0"/>
        <v>87429.78</v>
      </c>
      <c r="M15" s="2"/>
      <c r="N15" s="22">
        <f t="shared" si="1"/>
        <v>0</v>
      </c>
      <c r="O15" s="11"/>
      <c r="P15" s="2">
        <f>--222221.29</f>
        <v>222221.29</v>
      </c>
      <c r="Q15" s="2"/>
      <c r="R15" s="22"/>
      <c r="S15" s="2"/>
      <c r="T15" s="2"/>
      <c r="U15" s="2"/>
      <c r="V15" s="22"/>
      <c r="W15" s="2"/>
      <c r="X15" s="2">
        <f t="shared" si="2"/>
        <v>222221.29</v>
      </c>
      <c r="Y15" s="2"/>
      <c r="Z15" s="22">
        <f t="shared" si="3"/>
        <v>0</v>
      </c>
    </row>
    <row r="16" spans="1:26" s="24" customFormat="1" hidden="1" outlineLevel="1" x14ac:dyDescent="0.35">
      <c r="A16" s="51"/>
      <c r="B16" s="11" t="str">
        <f>CONCATENATE("          ", "4100", " - ", "NON-TAXABLE SALES")</f>
        <v xml:space="preserve">          4100 - NON-TAXABLE SALES</v>
      </c>
      <c r="C16" s="11"/>
      <c r="D16" s="2">
        <f>--112968.19</f>
        <v>112968.19</v>
      </c>
      <c r="E16" s="2"/>
      <c r="F16" s="22"/>
      <c r="G16" s="2"/>
      <c r="H16" s="2"/>
      <c r="I16" s="2"/>
      <c r="J16" s="22"/>
      <c r="K16" s="2"/>
      <c r="L16" s="2">
        <f t="shared" si="0"/>
        <v>112968.19</v>
      </c>
      <c r="M16" s="2"/>
      <c r="N16" s="22">
        <f t="shared" si="1"/>
        <v>0</v>
      </c>
      <c r="O16" s="11"/>
      <c r="P16" s="2">
        <f>--278555.86</f>
        <v>278555.86</v>
      </c>
      <c r="Q16" s="2"/>
      <c r="R16" s="22"/>
      <c r="S16" s="2"/>
      <c r="T16" s="2"/>
      <c r="U16" s="2"/>
      <c r="V16" s="22"/>
      <c r="W16" s="2"/>
      <c r="X16" s="2">
        <f t="shared" si="2"/>
        <v>278555.86</v>
      </c>
      <c r="Y16" s="2"/>
      <c r="Z16" s="22">
        <f t="shared" si="3"/>
        <v>0</v>
      </c>
    </row>
    <row r="17" spans="1:26" x14ac:dyDescent="0.3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5">
      <c r="A18" s="10"/>
      <c r="B18" s="25" t="s">
        <v>8</v>
      </c>
      <c r="C18" s="10"/>
      <c r="D18" s="4">
        <f>SUM(OSRRefD16x_0)</f>
        <v>187117.82</v>
      </c>
      <c r="E18" s="4"/>
      <c r="F18" s="12">
        <f t="shared" ref="F18:F21" si="4">IF(D$12=0,0,D18/D$12)</f>
        <v>0.66572589213983524</v>
      </c>
      <c r="G18" s="4"/>
      <c r="H18" s="4">
        <f>SUM(OSRRefH16x_0)</f>
        <v>394720</v>
      </c>
      <c r="I18" s="4"/>
      <c r="J18" s="12">
        <f t="shared" ref="J18:J21" si="5">IF(H$12=0,0,H18/H$12)</f>
        <v>0.72382922383472514</v>
      </c>
      <c r="K18" s="4"/>
      <c r="L18" s="4">
        <f t="shared" ref="L18:L21" si="6">+D18-H18</f>
        <v>-207602.18</v>
      </c>
      <c r="M18" s="4"/>
      <c r="N18" s="12">
        <f t="shared" ref="N18:N21" si="7">IF(H18=0,0,L18/H18)</f>
        <v>-0.52594796311309278</v>
      </c>
      <c r="O18" s="10"/>
      <c r="P18" s="4">
        <f>SUM(OSRRefP16x_0)</f>
        <v>530124.97</v>
      </c>
      <c r="Q18" s="4"/>
      <c r="R18" s="12">
        <f t="shared" ref="R18:R21" si="8">IF(P$12=0,0,P18/P$12)</f>
        <v>0.70004586332328211</v>
      </c>
      <c r="S18" s="4"/>
      <c r="T18" s="4">
        <f>SUM(OSRRefT16x_0)</f>
        <v>987393</v>
      </c>
      <c r="U18" s="4"/>
      <c r="V18" s="12">
        <f t="shared" ref="V18:V21" si="9">IF(T$12=0,0,T18/T$12)</f>
        <v>0.7270961969668519</v>
      </c>
      <c r="W18" s="4"/>
      <c r="X18" s="4">
        <f t="shared" ref="X18:X21" si="10">+P18-T18</f>
        <v>-457268.03</v>
      </c>
      <c r="Y18" s="4"/>
      <c r="Z18" s="12">
        <f t="shared" ref="Z18:Z21" si="11">IF(T18=0,0,X18/T18)</f>
        <v>-0.46310641254292872</v>
      </c>
    </row>
    <row r="19" spans="1:26" s="24" customFormat="1" hidden="1" outlineLevel="1" x14ac:dyDescent="0.3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394720</v>
      </c>
      <c r="I19" s="2"/>
      <c r="J19" s="22">
        <f t="shared" si="5"/>
        <v>0.72382922383472514</v>
      </c>
      <c r="K19" s="2"/>
      <c r="L19" s="2">
        <f t="shared" si="6"/>
        <v>-394720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987393</v>
      </c>
      <c r="U19" s="2"/>
      <c r="V19" s="22">
        <f t="shared" si="9"/>
        <v>0.7270961969668519</v>
      </c>
      <c r="W19" s="2"/>
      <c r="X19" s="2">
        <f t="shared" si="10"/>
        <v>-987393</v>
      </c>
      <c r="Y19" s="2"/>
      <c r="Z19" s="22">
        <f t="shared" si="11"/>
        <v>-1</v>
      </c>
    </row>
    <row r="20" spans="1:26" s="24" customFormat="1" hidden="1" outlineLevel="1" x14ac:dyDescent="0.35">
      <c r="A20" s="51"/>
      <c r="B20" s="11" t="str">
        <f>CONCATENATE("          ", "5001", " - ", "PURCHASES @ COST-NEW TEXT")</f>
        <v xml:space="preserve">          5001 - PURCHASES @ COST-NEW TEXT</v>
      </c>
      <c r="C20" s="11"/>
      <c r="D20" s="2">
        <v>88439.8</v>
      </c>
      <c r="E20" s="2"/>
      <c r="F20" s="22">
        <f t="shared" si="4"/>
        <v>0.31465022815928811</v>
      </c>
      <c r="G20" s="2"/>
      <c r="H20" s="2"/>
      <c r="I20" s="2"/>
      <c r="J20" s="22">
        <f t="shared" si="5"/>
        <v>0</v>
      </c>
      <c r="K20" s="2"/>
      <c r="L20" s="2">
        <f t="shared" si="6"/>
        <v>88439.8</v>
      </c>
      <c r="M20" s="2"/>
      <c r="N20" s="22">
        <f t="shared" si="7"/>
        <v>0</v>
      </c>
      <c r="O20" s="11"/>
      <c r="P20" s="2">
        <v>292811.16000000003</v>
      </c>
      <c r="Q20" s="2"/>
      <c r="R20" s="22">
        <f t="shared" si="8"/>
        <v>0.38666588614547198</v>
      </c>
      <c r="S20" s="2"/>
      <c r="T20" s="2"/>
      <c r="U20" s="2"/>
      <c r="V20" s="22">
        <f t="shared" si="9"/>
        <v>0</v>
      </c>
      <c r="W20" s="2"/>
      <c r="X20" s="2">
        <f t="shared" si="10"/>
        <v>292811.16000000003</v>
      </c>
      <c r="Y20" s="2"/>
      <c r="Z20" s="22">
        <f t="shared" si="11"/>
        <v>0</v>
      </c>
    </row>
    <row r="21" spans="1:26" s="24" customFormat="1" hidden="1" outlineLevel="1" x14ac:dyDescent="0.35">
      <c r="A21" s="51"/>
      <c r="B21" s="11" t="str">
        <f>CONCATENATE("          ", "5002", " - ", "PURCHASES @ COST-USED TEXT")</f>
        <v xml:space="preserve">          5002 - PURCHASES @ COST-USED TEXT</v>
      </c>
      <c r="C21" s="11"/>
      <c r="D21" s="2">
        <v>98678.01999999999</v>
      </c>
      <c r="E21" s="2"/>
      <c r="F21" s="22">
        <f t="shared" si="4"/>
        <v>0.35107566398054713</v>
      </c>
      <c r="G21" s="2"/>
      <c r="H21" s="2"/>
      <c r="I21" s="2"/>
      <c r="J21" s="22">
        <f t="shared" si="5"/>
        <v>0</v>
      </c>
      <c r="K21" s="2"/>
      <c r="L21" s="2">
        <f t="shared" si="6"/>
        <v>98678.01999999999</v>
      </c>
      <c r="M21" s="2"/>
      <c r="N21" s="22">
        <f t="shared" si="7"/>
        <v>0</v>
      </c>
      <c r="O21" s="11"/>
      <c r="P21" s="2">
        <v>237313.81</v>
      </c>
      <c r="Q21" s="2"/>
      <c r="R21" s="22">
        <f t="shared" si="8"/>
        <v>0.3133799771778103</v>
      </c>
      <c r="S21" s="2"/>
      <c r="T21" s="2"/>
      <c r="U21" s="2"/>
      <c r="V21" s="22">
        <f t="shared" si="9"/>
        <v>0</v>
      </c>
      <c r="W21" s="2"/>
      <c r="X21" s="2">
        <f t="shared" si="10"/>
        <v>237313.81</v>
      </c>
      <c r="Y21" s="2"/>
      <c r="Z21" s="22">
        <f t="shared" si="11"/>
        <v>0</v>
      </c>
    </row>
    <row r="22" spans="1:26" x14ac:dyDescent="0.3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5">
      <c r="A23" s="10"/>
      <c r="B23" s="26" t="s">
        <v>6</v>
      </c>
      <c r="C23" s="26"/>
      <c r="D23" s="19">
        <f>D12-D18</f>
        <v>93955.549999999988</v>
      </c>
      <c r="E23" s="13"/>
      <c r="F23" s="21">
        <f>IF(D$12=0,0,D23/D$12)</f>
        <v>0.3342741078601647</v>
      </c>
      <c r="G23" s="13"/>
      <c r="H23" s="19">
        <f>H12-H18</f>
        <v>150602</v>
      </c>
      <c r="I23" s="13"/>
      <c r="J23" s="21">
        <f>IF(H$12=0,0,H23/H$12)</f>
        <v>0.27617077616527486</v>
      </c>
      <c r="K23" s="16"/>
      <c r="L23" s="19">
        <f>+D23-H23</f>
        <v>-56646.450000000012</v>
      </c>
      <c r="M23" s="16"/>
      <c r="N23" s="21">
        <f>IF(H23=0,0,L23/H23)</f>
        <v>-0.37613345108298701</v>
      </c>
      <c r="O23" s="25"/>
      <c r="P23" s="19">
        <f>P12-P18</f>
        <v>227146.80000000005</v>
      </c>
      <c r="Q23" s="13"/>
      <c r="R23" s="21">
        <f>IF(P$12=0,0,P23/P$12)</f>
        <v>0.29995413667671783</v>
      </c>
      <c r="S23" s="13"/>
      <c r="T23" s="19">
        <f>T12-T18</f>
        <v>370602</v>
      </c>
      <c r="U23" s="13"/>
      <c r="V23" s="21">
        <f>IF(T$12=0,0,T23/T$12)</f>
        <v>0.27290380303314815</v>
      </c>
      <c r="W23" s="16"/>
      <c r="X23" s="19">
        <f>+P23-T23</f>
        <v>-143455.19999999995</v>
      </c>
      <c r="Y23" s="16"/>
      <c r="Z23" s="21">
        <f>IF(T23=0,0,X23/T23)</f>
        <v>-0.38708695581783142</v>
      </c>
    </row>
    <row r="24" spans="1:26" x14ac:dyDescent="0.3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5">
      <c r="A25" s="10"/>
      <c r="B25" s="25" t="s">
        <v>9</v>
      </c>
      <c r="C25" s="10"/>
      <c r="D25" s="20">
        <f>SUM(OSRRefD22x_0)</f>
        <v>0</v>
      </c>
      <c r="E25" s="20"/>
      <c r="F25" s="30">
        <f t="shared" ref="F25:F34" si="12">IF(D$12=0,0,D25/D$12)</f>
        <v>0</v>
      </c>
      <c r="G25" s="20"/>
      <c r="H25" s="20">
        <f>SUM(OSRRefH22x_0)</f>
        <v>0</v>
      </c>
      <c r="I25" s="20"/>
      <c r="J25" s="30">
        <f t="shared" ref="J25:J34" si="13">IF(H$12=0,0,H25/H$12)</f>
        <v>0</v>
      </c>
      <c r="K25" s="4"/>
      <c r="L25" s="20">
        <f t="shared" ref="L25:L34" si="14">+D25-H25</f>
        <v>0</v>
      </c>
      <c r="M25" s="4"/>
      <c r="N25" s="30">
        <f t="shared" ref="N25:N34" si="15">IF(H25=0,0,L25/H25)</f>
        <v>0</v>
      </c>
      <c r="O25" s="10"/>
      <c r="P25" s="20">
        <f>SUM(OSRRefP22x_0)</f>
        <v>0</v>
      </c>
      <c r="Q25" s="20"/>
      <c r="R25" s="30">
        <f t="shared" ref="R25:R34" si="16">IF(P$12=0,0,P25/P$12)</f>
        <v>0</v>
      </c>
      <c r="S25" s="20"/>
      <c r="T25" s="20">
        <f>SUM(OSRRefT22x_0)</f>
        <v>0</v>
      </c>
      <c r="U25" s="20"/>
      <c r="V25" s="30">
        <f t="shared" ref="V25:V34" si="17">IF(T$12=0,0,T25/T$12)</f>
        <v>0</v>
      </c>
      <c r="W25" s="4"/>
      <c r="X25" s="20">
        <f t="shared" ref="X25:X34" si="18">+P25-T25</f>
        <v>0</v>
      </c>
      <c r="Y25" s="4"/>
      <c r="Z25" s="30">
        <f t="shared" ref="Z25:Z34" si="19">IF(T25=0,0,X25/T25)</f>
        <v>0</v>
      </c>
    </row>
    <row r="26" spans="1:26" s="28" customFormat="1" outlineLevel="1" collapsed="1" x14ac:dyDescent="0.3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0</v>
      </c>
      <c r="E26" s="1"/>
      <c r="F26" s="5">
        <f t="shared" si="12"/>
        <v>0</v>
      </c>
      <c r="G26" s="1"/>
      <c r="H26" s="1">
        <f>SUM(OSRRefH22_0x_0)</f>
        <v>0</v>
      </c>
      <c r="I26" s="1"/>
      <c r="J26" s="5">
        <f t="shared" si="13"/>
        <v>0</v>
      </c>
      <c r="K26" s="1"/>
      <c r="L26" s="1">
        <f t="shared" si="14"/>
        <v>0</v>
      </c>
      <c r="M26" s="1"/>
      <c r="N26" s="5">
        <f t="shared" si="15"/>
        <v>0</v>
      </c>
      <c r="O26" s="14"/>
      <c r="P26" s="1">
        <f>SUM(OSRRefP22_0x_0)</f>
        <v>0</v>
      </c>
      <c r="Q26" s="1"/>
      <c r="R26" s="5">
        <f t="shared" si="16"/>
        <v>0</v>
      </c>
      <c r="S26" s="1"/>
      <c r="T26" s="1">
        <f>SUM(OSRRefT22_0x_0)</f>
        <v>0</v>
      </c>
      <c r="U26" s="1"/>
      <c r="V26" s="5">
        <f t="shared" si="17"/>
        <v>0</v>
      </c>
      <c r="W26" s="1"/>
      <c r="X26" s="1">
        <f t="shared" si="18"/>
        <v>0</v>
      </c>
      <c r="Y26" s="1"/>
      <c r="Z26" s="5">
        <f t="shared" si="19"/>
        <v>0</v>
      </c>
    </row>
    <row r="27" spans="1:26" s="24" customFormat="1" hidden="1" outlineLevel="2" x14ac:dyDescent="0.35">
      <c r="A27" s="29"/>
      <c r="B27" s="11" t="str">
        <f>CONCATENATE("          ", "6111", " - ", "F.I.C.A.")</f>
        <v xml:space="preserve">          6111 - F.I.C.A.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3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35">
      <c r="A29" s="29"/>
      <c r="B29" s="11" t="str">
        <f>CONCATENATE("          ", "6113", " - ", "GROUP INSURANCE")</f>
        <v xml:space="preserve">          6113 - GROUP INSURANCE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4" customFormat="1" hidden="1" outlineLevel="2" x14ac:dyDescent="0.3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/>
      <c r="E30" s="2"/>
      <c r="F30" s="6">
        <f t="shared" si="12"/>
        <v>0</v>
      </c>
      <c r="G30" s="2"/>
      <c r="H30" s="7">
        <v>0</v>
      </c>
      <c r="I30" s="2"/>
      <c r="J30" s="6">
        <f t="shared" si="13"/>
        <v>0</v>
      </c>
      <c r="K30" s="2"/>
      <c r="L30" s="7">
        <f t="shared" si="14"/>
        <v>0</v>
      </c>
      <c r="M30" s="2"/>
      <c r="N30" s="6">
        <f t="shared" si="15"/>
        <v>0</v>
      </c>
      <c r="O30" s="11"/>
      <c r="P30" s="7"/>
      <c r="Q30" s="2"/>
      <c r="R30" s="6">
        <f t="shared" si="16"/>
        <v>0</v>
      </c>
      <c r="S30" s="2"/>
      <c r="T30" s="7">
        <v>0</v>
      </c>
      <c r="U30" s="2"/>
      <c r="V30" s="6">
        <f t="shared" si="17"/>
        <v>0</v>
      </c>
      <c r="W30" s="2"/>
      <c r="X30" s="7">
        <f t="shared" si="18"/>
        <v>0</v>
      </c>
      <c r="Y30" s="2"/>
      <c r="Z30" s="6">
        <f t="shared" si="19"/>
        <v>0</v>
      </c>
    </row>
    <row r="31" spans="1:26" s="24" customFormat="1" hidden="1" outlineLevel="2" x14ac:dyDescent="0.35">
      <c r="A31" s="29"/>
      <c r="B31" s="11" t="str">
        <f>CONCATENATE("          ", "6115", " - ", "P.E.R.S.")</f>
        <v xml:space="preserve">          6115 - P.E.R.S.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3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35">
      <c r="A33" s="29"/>
      <c r="B33" s="11" t="str">
        <f>CONCATENATE("          ", "6118", " - ", "VACATION")</f>
        <v xml:space="preserve">          6118 - VACATION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35">
      <c r="A34" s="29"/>
      <c r="B34" s="11" t="str">
        <f>CONCATENATE("          ", "6119", " - ", "SICK LEAVE")</f>
        <v xml:space="preserve">          6119 - SICK LEAVE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8" customFormat="1" outlineLevel="1" collapsed="1" x14ac:dyDescent="0.35">
      <c r="A35" s="27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0</v>
      </c>
      <c r="E35" s="1"/>
      <c r="F35" s="5">
        <f t="shared" ref="F35:F45" si="20">IF(D$12=0,0,D35/D$12)</f>
        <v>0</v>
      </c>
      <c r="G35" s="1"/>
      <c r="H35" s="1">
        <f>SUM(OSRRefH22_1x_0)</f>
        <v>0</v>
      </c>
      <c r="I35" s="1"/>
      <c r="J35" s="5">
        <f t="shared" ref="J35:J45" si="21">IF(H$12=0,0,H35/H$12)</f>
        <v>0</v>
      </c>
      <c r="K35" s="1"/>
      <c r="L35" s="1">
        <f t="shared" ref="L35:L45" si="22">+D35-H35</f>
        <v>0</v>
      </c>
      <c r="M35" s="1"/>
      <c r="N35" s="5">
        <f t="shared" ref="N35:N45" si="23">IF(H35=0,0,L35/H35)</f>
        <v>0</v>
      </c>
      <c r="O35" s="14"/>
      <c r="P35" s="1">
        <f>SUM(OSRRefP22_1x_0)</f>
        <v>0</v>
      </c>
      <c r="Q35" s="1"/>
      <c r="R35" s="5">
        <f t="shared" ref="R35:R45" si="24">IF(P$12=0,0,P35/P$12)</f>
        <v>0</v>
      </c>
      <c r="S35" s="1"/>
      <c r="T35" s="1">
        <f>SUM(OSRRefT22_1x_0)</f>
        <v>0</v>
      </c>
      <c r="U35" s="1"/>
      <c r="V35" s="5">
        <f t="shared" ref="V35:V45" si="25">IF(T$12=0,0,T35/T$12)</f>
        <v>0</v>
      </c>
      <c r="W35" s="1"/>
      <c r="X35" s="1">
        <f t="shared" ref="X35:X45" si="26">+P35-T35</f>
        <v>0</v>
      </c>
      <c r="Y35" s="1"/>
      <c r="Z35" s="5">
        <f t="shared" ref="Z35:Z45" si="27">IF(T35=0,0,X35/T35)</f>
        <v>0</v>
      </c>
    </row>
    <row r="36" spans="1:26" s="24" customFormat="1" hidden="1" outlineLevel="2" x14ac:dyDescent="0.35">
      <c r="A36" s="29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35">
      <c r="A37" s="29"/>
      <c r="B37" s="11" t="str">
        <f>CONCATENATE("          ", "6002", " - ", "STAFF SALARIES")</f>
        <v xml:space="preserve">          6002 - STAFF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35">
      <c r="A38" s="29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35">
      <c r="A39" s="29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35">
      <c r="A40" s="29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35">
      <c r="A41" s="29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35">
      <c r="A42" s="29"/>
      <c r="B42" s="11" t="str">
        <f>CONCATENATE("          ", "6007", " - ", "STUDENT HOURLY")</f>
        <v xml:space="preserve">          6007 - STUDENT HOURLY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35">
      <c r="A43" s="29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35">
      <c r="A44" s="29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35">
      <c r="A45" s="29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55" customFormat="1" x14ac:dyDescent="0.35">
      <c r="A46" s="36"/>
      <c r="B46" s="36"/>
      <c r="C46" s="36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6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35">
      <c r="A47" s="10"/>
      <c r="B47" s="25" t="s">
        <v>0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3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35">
      <c r="A49" s="10"/>
      <c r="B49" s="26" t="s">
        <v>3</v>
      </c>
      <c r="C49" s="26"/>
      <c r="D49" s="19">
        <f>+D23-D25+D47</f>
        <v>93955.549999999988</v>
      </c>
      <c r="E49" s="13"/>
      <c r="F49" s="21">
        <f>IF(D$12=0,0,D49/D$12)</f>
        <v>0.3342741078601647</v>
      </c>
      <c r="G49" s="13"/>
      <c r="H49" s="19">
        <f>+H23-H25+H47</f>
        <v>150602</v>
      </c>
      <c r="I49" s="13"/>
      <c r="J49" s="21">
        <f>IF(H$12=0,0,H49/H$12)</f>
        <v>0.27617077616527486</v>
      </c>
      <c r="K49" s="16"/>
      <c r="L49" s="19">
        <f>+D49-H49</f>
        <v>-56646.450000000012</v>
      </c>
      <c r="M49" s="16"/>
      <c r="N49" s="21">
        <f>IF(H49=0,0,L49/H49)</f>
        <v>-0.37613345108298701</v>
      </c>
      <c r="O49" s="25"/>
      <c r="P49" s="19">
        <f>+P23-P25+P47</f>
        <v>227146.80000000005</v>
      </c>
      <c r="Q49" s="13"/>
      <c r="R49" s="21">
        <f>IF(P$12=0,0,P49/P$12)</f>
        <v>0.29995413667671783</v>
      </c>
      <c r="S49" s="13"/>
      <c r="T49" s="19">
        <f>+T23-T25+T47</f>
        <v>370602</v>
      </c>
      <c r="U49" s="13"/>
      <c r="V49" s="21">
        <f>IF(T$12=0,0,T49/T$12)</f>
        <v>0.27290380303314815</v>
      </c>
      <c r="W49" s="16"/>
      <c r="X49" s="19">
        <f>+P49-T49</f>
        <v>-143455.19999999995</v>
      </c>
      <c r="Y49" s="16"/>
      <c r="Z49" s="21">
        <f>IF(T49=0,0,X49/T49)</f>
        <v>-0.38708695581783142</v>
      </c>
    </row>
    <row r="50" spans="1:26" x14ac:dyDescent="0.3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35">
      <c r="A51" s="52"/>
      <c r="B51" s="10" t="s">
        <v>14</v>
      </c>
      <c r="C51" s="10"/>
      <c r="D51" s="4">
        <v>49358.07</v>
      </c>
      <c r="E51" s="4"/>
      <c r="F51" s="12">
        <f>IF(D$12=0,0,D51/D$12)</f>
        <v>0.17560564346597474</v>
      </c>
      <c r="G51" s="4"/>
      <c r="H51" s="4">
        <v>81512</v>
      </c>
      <c r="I51" s="4"/>
      <c r="J51" s="12">
        <f>IF(H$12=0,0,H51/H$12)</f>
        <v>0.1494749890890153</v>
      </c>
      <c r="K51" s="4"/>
      <c r="L51" s="4">
        <f>+D51-H51</f>
        <v>-32153.93</v>
      </c>
      <c r="M51" s="4"/>
      <c r="N51" s="12">
        <f>IF(H51=0,0,L51/H51)</f>
        <v>-0.39446866719010698</v>
      </c>
      <c r="O51" s="10"/>
      <c r="P51" s="4">
        <v>137464.85999999999</v>
      </c>
      <c r="Q51" s="4"/>
      <c r="R51" s="12">
        <f>IF(P$12=0,0,P51/P$12)</f>
        <v>0.18152645515889226</v>
      </c>
      <c r="S51" s="4"/>
      <c r="T51" s="4">
        <v>235669</v>
      </c>
      <c r="U51" s="4"/>
      <c r="V51" s="12">
        <f>IF(T$12=0,0,T51/T$12)</f>
        <v>0.17354187607465418</v>
      </c>
      <c r="W51" s="4"/>
      <c r="X51" s="4">
        <f>+P51-T51</f>
        <v>-98204.140000000014</v>
      </c>
      <c r="Y51" s="4"/>
      <c r="Z51" s="12">
        <f>IF(T51=0,0,X51/T51)</f>
        <v>-0.41670368185887841</v>
      </c>
    </row>
    <row r="52" spans="1:26" x14ac:dyDescent="0.3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" thickBot="1" x14ac:dyDescent="0.4">
      <c r="A53" s="10"/>
      <c r="B53" s="26" t="s">
        <v>4</v>
      </c>
      <c r="C53" s="26"/>
      <c r="D53" s="33">
        <f>+D49-D51</f>
        <v>44597.479999999989</v>
      </c>
      <c r="E53" s="13"/>
      <c r="F53" s="31">
        <f>IF(D$12=0,0,D53/D$12)</f>
        <v>0.15866846439419</v>
      </c>
      <c r="G53" s="13"/>
      <c r="H53" s="33">
        <f>+H49-H51</f>
        <v>69090</v>
      </c>
      <c r="I53" s="13"/>
      <c r="J53" s="31">
        <f>IF(H$12=0,0,H53/H$12)</f>
        <v>0.12669578707625953</v>
      </c>
      <c r="K53" s="16"/>
      <c r="L53" s="33">
        <f>D53-H53</f>
        <v>-24492.520000000011</v>
      </c>
      <c r="M53" s="16"/>
      <c r="N53" s="31">
        <f>IF(H53=0,0,L53/H53)</f>
        <v>-0.35450166449558562</v>
      </c>
      <c r="O53" s="25"/>
      <c r="P53" s="33">
        <f>+P49-P51</f>
        <v>89681.940000000061</v>
      </c>
      <c r="Q53" s="13"/>
      <c r="R53" s="31">
        <f>IF(P$12=0,0,P53/P$12)</f>
        <v>0.11842768151782557</v>
      </c>
      <c r="S53" s="13"/>
      <c r="T53" s="33">
        <f>+T49-T51</f>
        <v>134933</v>
      </c>
      <c r="U53" s="13"/>
      <c r="V53" s="31">
        <f>IF(T$12=0,0,T53/T$12)</f>
        <v>9.9361926958493954E-2</v>
      </c>
      <c r="W53" s="16"/>
      <c r="X53" s="33">
        <f>P53-T53</f>
        <v>-45251.059999999939</v>
      </c>
      <c r="Y53" s="16"/>
      <c r="Z53" s="31">
        <f>IF(T53=0,0,X53/T53)</f>
        <v>-0.33535947470225919</v>
      </c>
    </row>
    <row r="54" spans="1:26" ht="15" thickTop="1" x14ac:dyDescent="0.3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3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" thickBot="1" x14ac:dyDescent="0.4">
      <c r="A56" s="10"/>
      <c r="B56" s="26" t="s">
        <v>5</v>
      </c>
      <c r="C56" s="26"/>
      <c r="D56" s="34">
        <f>SUM(D53:D55)</f>
        <v>44597.479999999989</v>
      </c>
      <c r="E56" s="13"/>
      <c r="F56" s="32">
        <f>IF(D$12=0,0,D56/D$12)</f>
        <v>0.15866846439419</v>
      </c>
      <c r="G56" s="13"/>
      <c r="H56" s="34">
        <f>SUM(H53:H55)</f>
        <v>69090</v>
      </c>
      <c r="I56" s="13"/>
      <c r="J56" s="32">
        <f>IF(H$12=0,0,H56/H$12)</f>
        <v>0.12669578707625953</v>
      </c>
      <c r="K56" s="16"/>
      <c r="L56" s="34">
        <f>+D56-H56</f>
        <v>-24492.520000000011</v>
      </c>
      <c r="M56" s="16"/>
      <c r="N56" s="32">
        <f>IF(H56=0,0,L56/H56)</f>
        <v>-0.35450166449558562</v>
      </c>
      <c r="O56" s="25"/>
      <c r="P56" s="34">
        <f>SUM(P53:P55)</f>
        <v>89681.940000000061</v>
      </c>
      <c r="Q56" s="13"/>
      <c r="R56" s="32">
        <f>IF(P$12=0,0,P56/P$12)</f>
        <v>0.11842768151782557</v>
      </c>
      <c r="S56" s="13"/>
      <c r="T56" s="34">
        <f>SUM(T53:T55)</f>
        <v>134933</v>
      </c>
      <c r="U56" s="13"/>
      <c r="V56" s="32">
        <f>IF(T$12=0,0,T56/T$12)</f>
        <v>9.9361926958493954E-2</v>
      </c>
      <c r="W56" s="16"/>
      <c r="X56" s="34">
        <f>+P56-T56</f>
        <v>-45251.059999999939</v>
      </c>
      <c r="Y56" s="16"/>
      <c r="Z56" s="32">
        <f>IF(T56=0,0,X56/T56)</f>
        <v>-0.33535947470225919</v>
      </c>
    </row>
    <row r="57" spans="1:26" ht="15" thickTop="1" x14ac:dyDescent="0.35">
      <c r="A57" s="9"/>
      <c r="C57" s="9"/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35">
      <c r="A58" s="9"/>
      <c r="B58" s="60">
        <v>44238.490584606479</v>
      </c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35">
      <c r="A59" s="9"/>
      <c r="B59" s="59" t="s">
        <v>314</v>
      </c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35">
      <c r="A60" s="9"/>
      <c r="B60" s="58"/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35"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7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304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160292.38000000006</v>
      </c>
      <c r="E12" s="4"/>
      <c r="F12" s="12"/>
      <c r="G12" s="4"/>
      <c r="H12" s="4">
        <f>SUM(OSRRefH13x_0)</f>
        <v>281358</v>
      </c>
      <c r="I12" s="4"/>
      <c r="J12" s="12"/>
      <c r="K12" s="4"/>
      <c r="L12" s="4">
        <f t="shared" ref="L12:L50" si="0">+D12-H12</f>
        <v>-121065.61999999994</v>
      </c>
      <c r="M12" s="4"/>
      <c r="N12" s="12">
        <f t="shared" ref="N12:N50" si="1">IF(H12=0,0,L12/H12)</f>
        <v>-0.4302903063001583</v>
      </c>
      <c r="O12" s="10"/>
      <c r="P12" s="4">
        <f>SUM(OSRRefP13x_0)</f>
        <v>1190812.9299999997</v>
      </c>
      <c r="Q12" s="4"/>
      <c r="R12" s="12"/>
      <c r="S12" s="4"/>
      <c r="T12" s="4">
        <f>SUM(OSRRefT13x_0)</f>
        <v>2171109</v>
      </c>
      <c r="U12" s="4"/>
      <c r="V12" s="12"/>
      <c r="W12" s="4"/>
      <c r="X12" s="4">
        <f t="shared" ref="X12:X50" si="2">+P12-T12</f>
        <v>-980296.0700000003</v>
      </c>
      <c r="Y12" s="4"/>
      <c r="Z12" s="12">
        <f t="shared" ref="Z12:Z50" si="3">IF(T12=0,0,X12/T12)</f>
        <v>-0.4515185879658738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>-11343.01</f>
        <v>-11343.01</v>
      </c>
      <c r="E13" s="2"/>
      <c r="F13" s="22"/>
      <c r="G13" s="2"/>
      <c r="H13" s="2">
        <v>281358</v>
      </c>
      <c r="I13" s="2"/>
      <c r="J13" s="22"/>
      <c r="K13" s="2"/>
      <c r="L13" s="2">
        <f t="shared" si="0"/>
        <v>-292701.01</v>
      </c>
      <c r="M13" s="2"/>
      <c r="N13" s="22">
        <f t="shared" si="1"/>
        <v>-1.0403152211772901</v>
      </c>
      <c r="O13" s="11"/>
      <c r="P13" s="2">
        <f>-92141.28</f>
        <v>-92141.28</v>
      </c>
      <c r="Q13" s="2"/>
      <c r="R13" s="22"/>
      <c r="S13" s="2"/>
      <c r="T13" s="2">
        <v>2171109</v>
      </c>
      <c r="U13" s="2"/>
      <c r="V13" s="22"/>
      <c r="W13" s="2"/>
      <c r="X13" s="2">
        <f t="shared" si="2"/>
        <v>-2263250.2799999998</v>
      </c>
      <c r="Y13" s="2"/>
      <c r="Z13" s="22">
        <f t="shared" si="3"/>
        <v>-1.0424397301102799</v>
      </c>
    </row>
    <row r="14" spans="1:26" s="24" customFormat="1" hidden="1" outlineLevel="1" x14ac:dyDescent="0.3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--34.62</f>
        <v>34.619999999999997</v>
      </c>
      <c r="E14" s="2"/>
      <c r="F14" s="22"/>
      <c r="G14" s="2"/>
      <c r="H14" s="2"/>
      <c r="I14" s="2"/>
      <c r="J14" s="22"/>
      <c r="K14" s="2"/>
      <c r="L14" s="2">
        <f t="shared" si="0"/>
        <v>34.619999999999997</v>
      </c>
      <c r="M14" s="2"/>
      <c r="N14" s="22">
        <f t="shared" si="1"/>
        <v>0</v>
      </c>
      <c r="O14" s="11"/>
      <c r="P14" s="2">
        <f>--389.49</f>
        <v>389.49</v>
      </c>
      <c r="Q14" s="2"/>
      <c r="R14" s="22"/>
      <c r="S14" s="2"/>
      <c r="T14" s="2"/>
      <c r="U14" s="2"/>
      <c r="V14" s="22"/>
      <c r="W14" s="2"/>
      <c r="X14" s="2">
        <f t="shared" si="2"/>
        <v>389.49</v>
      </c>
      <c r="Y14" s="2"/>
      <c r="Z14" s="22">
        <f t="shared" si="3"/>
        <v>0</v>
      </c>
    </row>
    <row r="15" spans="1:26" s="24" customFormat="1" hidden="1" outlineLevel="1" x14ac:dyDescent="0.3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--8701.79</f>
        <v>8701.7900000000009</v>
      </c>
      <c r="E15" s="2"/>
      <c r="F15" s="22"/>
      <c r="G15" s="2"/>
      <c r="H15" s="2"/>
      <c r="I15" s="2"/>
      <c r="J15" s="22"/>
      <c r="K15" s="2"/>
      <c r="L15" s="2">
        <f t="shared" si="0"/>
        <v>8701.7900000000009</v>
      </c>
      <c r="M15" s="2"/>
      <c r="N15" s="22">
        <f t="shared" si="1"/>
        <v>0</v>
      </c>
      <c r="O15" s="11"/>
      <c r="P15" s="2">
        <f>--40685.9</f>
        <v>40685.9</v>
      </c>
      <c r="Q15" s="2"/>
      <c r="R15" s="22"/>
      <c r="S15" s="2"/>
      <c r="T15" s="2"/>
      <c r="U15" s="2"/>
      <c r="V15" s="22"/>
      <c r="W15" s="2"/>
      <c r="X15" s="2">
        <f t="shared" si="2"/>
        <v>40685.9</v>
      </c>
      <c r="Y15" s="2"/>
      <c r="Z15" s="22">
        <f t="shared" si="3"/>
        <v>0</v>
      </c>
    </row>
    <row r="16" spans="1:26" s="24" customFormat="1" hidden="1" outlineLevel="1" x14ac:dyDescent="0.3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>--21773.01</f>
        <v>21773.01</v>
      </c>
      <c r="E16" s="2"/>
      <c r="F16" s="22"/>
      <c r="G16" s="2"/>
      <c r="H16" s="2"/>
      <c r="I16" s="2"/>
      <c r="J16" s="22"/>
      <c r="K16" s="2"/>
      <c r="L16" s="2">
        <f t="shared" si="0"/>
        <v>21773.01</v>
      </c>
      <c r="M16" s="2"/>
      <c r="N16" s="22">
        <f t="shared" si="1"/>
        <v>0</v>
      </c>
      <c r="O16" s="11"/>
      <c r="P16" s="2">
        <f>--26472.77</f>
        <v>26472.77</v>
      </c>
      <c r="Q16" s="2"/>
      <c r="R16" s="22"/>
      <c r="S16" s="2"/>
      <c r="T16" s="2"/>
      <c r="U16" s="2"/>
      <c r="V16" s="22"/>
      <c r="W16" s="2"/>
      <c r="X16" s="2">
        <f t="shared" si="2"/>
        <v>26472.77</v>
      </c>
      <c r="Y16" s="2"/>
      <c r="Z16" s="22">
        <f t="shared" si="3"/>
        <v>0</v>
      </c>
    </row>
    <row r="17" spans="1:26" s="24" customFormat="1" hidden="1" outlineLevel="1" x14ac:dyDescent="0.3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>--477.59</f>
        <v>477.59</v>
      </c>
      <c r="E17" s="2"/>
      <c r="F17" s="22"/>
      <c r="G17" s="2"/>
      <c r="H17" s="2"/>
      <c r="I17" s="2"/>
      <c r="J17" s="22"/>
      <c r="K17" s="2"/>
      <c r="L17" s="2">
        <f t="shared" si="0"/>
        <v>477.59</v>
      </c>
      <c r="M17" s="2"/>
      <c r="N17" s="22">
        <f t="shared" si="1"/>
        <v>0</v>
      </c>
      <c r="O17" s="11"/>
      <c r="P17" s="2">
        <f>--2212.69</f>
        <v>2212.69</v>
      </c>
      <c r="Q17" s="2"/>
      <c r="R17" s="22"/>
      <c r="S17" s="2"/>
      <c r="T17" s="2"/>
      <c r="U17" s="2"/>
      <c r="V17" s="22"/>
      <c r="W17" s="2"/>
      <c r="X17" s="2">
        <f t="shared" si="2"/>
        <v>2212.69</v>
      </c>
      <c r="Y17" s="2"/>
      <c r="Z17" s="22">
        <f t="shared" si="3"/>
        <v>0</v>
      </c>
    </row>
    <row r="18" spans="1:26" s="24" customFormat="1" hidden="1" outlineLevel="1" x14ac:dyDescent="0.35">
      <c r="A18" s="51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--6.78</f>
        <v>6.78</v>
      </c>
      <c r="Q18" s="2"/>
      <c r="R18" s="22"/>
      <c r="S18" s="2"/>
      <c r="T18" s="2"/>
      <c r="U18" s="2"/>
      <c r="V18" s="22"/>
      <c r="W18" s="2"/>
      <c r="X18" s="2">
        <f t="shared" si="2"/>
        <v>6.78</v>
      </c>
      <c r="Y18" s="2"/>
      <c r="Z18" s="22">
        <f t="shared" si="3"/>
        <v>0</v>
      </c>
    </row>
    <row r="19" spans="1:26" s="24" customFormat="1" hidden="1" outlineLevel="1" x14ac:dyDescent="0.35">
      <c r="A19" s="51"/>
      <c r="B19" s="11" t="str">
        <f>CONCATENATE("          ", "4040", " - ", "TAXABLE SALES-LOGO CLOTHING")</f>
        <v xml:space="preserve">          4040 - TAXABLE SALES-LOGO CLOTHING</v>
      </c>
      <c r="C19" s="11"/>
      <c r="D19" s="2">
        <f>--89991.91</f>
        <v>89991.91</v>
      </c>
      <c r="E19" s="2"/>
      <c r="F19" s="22"/>
      <c r="G19" s="2"/>
      <c r="H19" s="2"/>
      <c r="I19" s="2"/>
      <c r="J19" s="22"/>
      <c r="K19" s="2"/>
      <c r="L19" s="2">
        <f t="shared" si="0"/>
        <v>89991.91</v>
      </c>
      <c r="M19" s="2"/>
      <c r="N19" s="22">
        <f t="shared" si="1"/>
        <v>0</v>
      </c>
      <c r="O19" s="11"/>
      <c r="P19" s="2">
        <f>--598102.9</f>
        <v>598102.9</v>
      </c>
      <c r="Q19" s="2"/>
      <c r="R19" s="22"/>
      <c r="S19" s="2"/>
      <c r="T19" s="2"/>
      <c r="U19" s="2"/>
      <c r="V19" s="22"/>
      <c r="W19" s="2"/>
      <c r="X19" s="2">
        <f t="shared" si="2"/>
        <v>598102.9</v>
      </c>
      <c r="Y19" s="2"/>
      <c r="Z19" s="22">
        <f t="shared" si="3"/>
        <v>0</v>
      </c>
    </row>
    <row r="20" spans="1:26" s="24" customFormat="1" hidden="1" outlineLevel="1" x14ac:dyDescent="0.35">
      <c r="A20" s="51"/>
      <c r="B20" s="11" t="str">
        <f>CONCATENATE("          ", "4041", " - ", "TAXABLE SALES-LOGO GIFTS")</f>
        <v xml:space="preserve">          4041 - TAXABLE SALES-LOGO GIFTS</v>
      </c>
      <c r="C20" s="11"/>
      <c r="D20" s="2">
        <f>--23919.25</f>
        <v>23919.25</v>
      </c>
      <c r="E20" s="2"/>
      <c r="F20" s="22"/>
      <c r="G20" s="2"/>
      <c r="H20" s="2"/>
      <c r="I20" s="2"/>
      <c r="J20" s="22"/>
      <c r="K20" s="2"/>
      <c r="L20" s="2">
        <f t="shared" si="0"/>
        <v>23919.25</v>
      </c>
      <c r="M20" s="2"/>
      <c r="N20" s="22">
        <f t="shared" si="1"/>
        <v>0</v>
      </c>
      <c r="O20" s="11"/>
      <c r="P20" s="2">
        <f>--160593.3</f>
        <v>160593.29999999999</v>
      </c>
      <c r="Q20" s="2"/>
      <c r="R20" s="22"/>
      <c r="S20" s="2"/>
      <c r="T20" s="2"/>
      <c r="U20" s="2"/>
      <c r="V20" s="22"/>
      <c r="W20" s="2"/>
      <c r="X20" s="2">
        <f t="shared" si="2"/>
        <v>160593.29999999999</v>
      </c>
      <c r="Y20" s="2"/>
      <c r="Z20" s="22">
        <f t="shared" si="3"/>
        <v>0</v>
      </c>
    </row>
    <row r="21" spans="1:26" s="24" customFormat="1" hidden="1" outlineLevel="1" x14ac:dyDescent="0.35">
      <c r="A21" s="51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--7611.45</f>
        <v>7611.45</v>
      </c>
      <c r="E21" s="2"/>
      <c r="F21" s="22"/>
      <c r="G21" s="2"/>
      <c r="H21" s="2"/>
      <c r="I21" s="2"/>
      <c r="J21" s="22"/>
      <c r="K21" s="2"/>
      <c r="L21" s="2">
        <f t="shared" si="0"/>
        <v>7611.45</v>
      </c>
      <c r="M21" s="2"/>
      <c r="N21" s="22">
        <f t="shared" si="1"/>
        <v>0</v>
      </c>
      <c r="O21" s="11"/>
      <c r="P21" s="2">
        <f>--59655.3</f>
        <v>59655.3</v>
      </c>
      <c r="Q21" s="2"/>
      <c r="R21" s="22"/>
      <c r="S21" s="2"/>
      <c r="T21" s="2"/>
      <c r="U21" s="2"/>
      <c r="V21" s="22"/>
      <c r="W21" s="2"/>
      <c r="X21" s="2">
        <f t="shared" si="2"/>
        <v>59655.3</v>
      </c>
      <c r="Y21" s="2"/>
      <c r="Z21" s="22">
        <f t="shared" si="3"/>
        <v>0</v>
      </c>
    </row>
    <row r="22" spans="1:26" s="24" customFormat="1" hidden="1" outlineLevel="1" x14ac:dyDescent="0.35">
      <c r="A22" s="51"/>
      <c r="B22" s="11" t="str">
        <f>CONCATENATE("          ", "4043", " - ", "TAXABLE SALES-CARDS")</f>
        <v xml:space="preserve">          4043 - TAXABLE SALES-CARDS</v>
      </c>
      <c r="C22" s="11"/>
      <c r="D22" s="2">
        <f>--24827.31</f>
        <v>24827.31</v>
      </c>
      <c r="E22" s="2"/>
      <c r="F22" s="22"/>
      <c r="G22" s="2"/>
      <c r="H22" s="2"/>
      <c r="I22" s="2"/>
      <c r="J22" s="22"/>
      <c r="K22" s="2"/>
      <c r="L22" s="2">
        <f t="shared" si="0"/>
        <v>24827.31</v>
      </c>
      <c r="M22" s="2"/>
      <c r="N22" s="22">
        <f t="shared" si="1"/>
        <v>0</v>
      </c>
      <c r="O22" s="11"/>
      <c r="P22" s="2">
        <f>--117920.5</f>
        <v>117920.5</v>
      </c>
      <c r="Q22" s="2"/>
      <c r="R22" s="22"/>
      <c r="S22" s="2"/>
      <c r="T22" s="2"/>
      <c r="U22" s="2"/>
      <c r="V22" s="22"/>
      <c r="W22" s="2"/>
      <c r="X22" s="2">
        <f t="shared" si="2"/>
        <v>117920.5</v>
      </c>
      <c r="Y22" s="2"/>
      <c r="Z22" s="22">
        <f t="shared" si="3"/>
        <v>0</v>
      </c>
    </row>
    <row r="23" spans="1:26" s="24" customFormat="1" hidden="1" outlineLevel="1" x14ac:dyDescent="0.35">
      <c r="A23" s="51"/>
      <c r="B23" s="11" t="str">
        <f>CONCATENATE("          ", "4044", " - ", "TAXABLE SALES-ACCESSORIES")</f>
        <v xml:space="preserve">          4044 - TAXABLE SALES-ACCESSORIES</v>
      </c>
      <c r="C23" s="11"/>
      <c r="D23" s="2">
        <f>--1261.95</f>
        <v>1261.95</v>
      </c>
      <c r="E23" s="2"/>
      <c r="F23" s="22"/>
      <c r="G23" s="2"/>
      <c r="H23" s="2"/>
      <c r="I23" s="2"/>
      <c r="J23" s="22"/>
      <c r="K23" s="2"/>
      <c r="L23" s="2">
        <f t="shared" si="0"/>
        <v>1261.95</v>
      </c>
      <c r="M23" s="2"/>
      <c r="N23" s="22">
        <f t="shared" si="1"/>
        <v>0</v>
      </c>
      <c r="O23" s="11"/>
      <c r="P23" s="2">
        <f>--27535.62</f>
        <v>27535.62</v>
      </c>
      <c r="Q23" s="2"/>
      <c r="R23" s="22"/>
      <c r="S23" s="2"/>
      <c r="T23" s="2"/>
      <c r="U23" s="2"/>
      <c r="V23" s="22"/>
      <c r="W23" s="2"/>
      <c r="X23" s="2">
        <f t="shared" si="2"/>
        <v>27535.62</v>
      </c>
      <c r="Y23" s="2"/>
      <c r="Z23" s="22">
        <f t="shared" si="3"/>
        <v>0</v>
      </c>
    </row>
    <row r="24" spans="1:26" s="24" customFormat="1" hidden="1" outlineLevel="1" x14ac:dyDescent="0.35">
      <c r="A24" s="51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--3388.52</f>
        <v>3388.52</v>
      </c>
      <c r="E24" s="2"/>
      <c r="F24" s="22"/>
      <c r="G24" s="2"/>
      <c r="H24" s="2"/>
      <c r="I24" s="2"/>
      <c r="J24" s="22"/>
      <c r="K24" s="2"/>
      <c r="L24" s="2">
        <f t="shared" si="0"/>
        <v>3388.52</v>
      </c>
      <c r="M24" s="2"/>
      <c r="N24" s="22">
        <f t="shared" si="1"/>
        <v>0</v>
      </c>
      <c r="O24" s="11"/>
      <c r="P24" s="2">
        <f>--125449.67</f>
        <v>125449.67</v>
      </c>
      <c r="Q24" s="2"/>
      <c r="R24" s="22"/>
      <c r="S24" s="2"/>
      <c r="T24" s="2"/>
      <c r="U24" s="2"/>
      <c r="V24" s="22"/>
      <c r="W24" s="2"/>
      <c r="X24" s="2">
        <f t="shared" si="2"/>
        <v>125449.67</v>
      </c>
      <c r="Y24" s="2"/>
      <c r="Z24" s="22">
        <f t="shared" si="3"/>
        <v>0</v>
      </c>
    </row>
    <row r="25" spans="1:26" s="24" customFormat="1" hidden="1" outlineLevel="1" x14ac:dyDescent="0.35">
      <c r="A25" s="51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--52.68</f>
        <v>52.68</v>
      </c>
      <c r="Q25" s="2"/>
      <c r="R25" s="22"/>
      <c r="S25" s="2"/>
      <c r="T25" s="2"/>
      <c r="U25" s="2"/>
      <c r="V25" s="22"/>
      <c r="W25" s="2"/>
      <c r="X25" s="2">
        <f t="shared" si="2"/>
        <v>52.68</v>
      </c>
      <c r="Y25" s="2"/>
      <c r="Z25" s="22">
        <f t="shared" si="3"/>
        <v>0</v>
      </c>
    </row>
    <row r="26" spans="1:26" s="24" customFormat="1" hidden="1" outlineLevel="1" x14ac:dyDescent="0.35">
      <c r="A26" s="51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--2539.06</f>
        <v>2539.06</v>
      </c>
      <c r="E26" s="2"/>
      <c r="F26" s="22"/>
      <c r="G26" s="2"/>
      <c r="H26" s="2"/>
      <c r="I26" s="2"/>
      <c r="J26" s="22"/>
      <c r="K26" s="2"/>
      <c r="L26" s="2">
        <f t="shared" si="0"/>
        <v>2539.06</v>
      </c>
      <c r="M26" s="2"/>
      <c r="N26" s="22">
        <f t="shared" si="1"/>
        <v>0</v>
      </c>
      <c r="O26" s="11"/>
      <c r="P26" s="2">
        <f>--5745.17</f>
        <v>5745.17</v>
      </c>
      <c r="Q26" s="2"/>
      <c r="R26" s="22"/>
      <c r="S26" s="2"/>
      <c r="T26" s="2"/>
      <c r="U26" s="2"/>
      <c r="V26" s="22"/>
      <c r="W26" s="2"/>
      <c r="X26" s="2">
        <f t="shared" si="2"/>
        <v>5745.17</v>
      </c>
      <c r="Y26" s="2"/>
      <c r="Z26" s="22">
        <f t="shared" si="3"/>
        <v>0</v>
      </c>
    </row>
    <row r="27" spans="1:26" s="24" customFormat="1" hidden="1" outlineLevel="1" x14ac:dyDescent="0.35">
      <c r="A27" s="51"/>
      <c r="B27" s="11" t="str">
        <f>CONCATENATE("          ", "4128", " - ", "NON-TAXABLE SALES-ART/TECH")</f>
        <v xml:space="preserve">          4128 - NON-TAXABLE SALES-ART/TECH</v>
      </c>
      <c r="C27" s="11"/>
      <c r="D27" s="2">
        <f>--4.72</f>
        <v>4.72</v>
      </c>
      <c r="E27" s="2"/>
      <c r="F27" s="22"/>
      <c r="G27" s="2"/>
      <c r="H27" s="2"/>
      <c r="I27" s="2"/>
      <c r="J27" s="22"/>
      <c r="K27" s="2"/>
      <c r="L27" s="2">
        <f t="shared" si="0"/>
        <v>4.72</v>
      </c>
      <c r="M27" s="2"/>
      <c r="N27" s="22">
        <f t="shared" si="1"/>
        <v>0</v>
      </c>
      <c r="O27" s="11"/>
      <c r="P27" s="2">
        <f>--29.5</f>
        <v>29.5</v>
      </c>
      <c r="Q27" s="2"/>
      <c r="R27" s="22"/>
      <c r="S27" s="2"/>
      <c r="T27" s="2"/>
      <c r="U27" s="2"/>
      <c r="V27" s="22"/>
      <c r="W27" s="2"/>
      <c r="X27" s="2">
        <f t="shared" si="2"/>
        <v>29.5</v>
      </c>
      <c r="Y27" s="2"/>
      <c r="Z27" s="22">
        <f t="shared" si="3"/>
        <v>0</v>
      </c>
    </row>
    <row r="28" spans="1:26" s="24" customFormat="1" hidden="1" outlineLevel="1" x14ac:dyDescent="0.35">
      <c r="A28" s="51"/>
      <c r="B28" s="11" t="str">
        <f>CONCATENATE("          ", "4131", " - ", "NON-TAXABLE SALES-FOOD")</f>
        <v xml:space="preserve">          4131 - NON-TAXABLE SALES-FOOD</v>
      </c>
      <c r="C28" s="11"/>
      <c r="D28" s="2">
        <f>--1098.12</f>
        <v>1098.1199999999999</v>
      </c>
      <c r="E28" s="2"/>
      <c r="F28" s="22"/>
      <c r="G28" s="2"/>
      <c r="H28" s="2"/>
      <c r="I28" s="2"/>
      <c r="J28" s="22"/>
      <c r="K28" s="2"/>
      <c r="L28" s="2">
        <f t="shared" si="0"/>
        <v>1098.1199999999999</v>
      </c>
      <c r="M28" s="2"/>
      <c r="N28" s="22">
        <f t="shared" si="1"/>
        <v>0</v>
      </c>
      <c r="O28" s="11"/>
      <c r="P28" s="2">
        <f>--6793.11</f>
        <v>6793.11</v>
      </c>
      <c r="Q28" s="2"/>
      <c r="R28" s="22"/>
      <c r="S28" s="2"/>
      <c r="T28" s="2"/>
      <c r="U28" s="2"/>
      <c r="V28" s="22"/>
      <c r="W28" s="2"/>
      <c r="X28" s="2">
        <f t="shared" si="2"/>
        <v>6793.11</v>
      </c>
      <c r="Y28" s="2"/>
      <c r="Z28" s="22">
        <f t="shared" si="3"/>
        <v>0</v>
      </c>
    </row>
    <row r="29" spans="1:26" s="24" customFormat="1" hidden="1" outlineLevel="1" x14ac:dyDescent="0.35">
      <c r="A29" s="51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ref="D29:D32" si="4">0</f>
        <v>0</v>
      </c>
      <c r="E29" s="2"/>
      <c r="F29" s="22"/>
      <c r="G29" s="2"/>
      <c r="H29" s="2"/>
      <c r="I29" s="2"/>
      <c r="J29" s="22"/>
      <c r="K29" s="2"/>
      <c r="L29" s="2">
        <f t="shared" si="0"/>
        <v>0</v>
      </c>
      <c r="M29" s="2"/>
      <c r="N29" s="22">
        <f t="shared" si="1"/>
        <v>0</v>
      </c>
      <c r="O29" s="11"/>
      <c r="P29" s="2">
        <f>--22.49</f>
        <v>22.49</v>
      </c>
      <c r="Q29" s="2"/>
      <c r="R29" s="22"/>
      <c r="S29" s="2"/>
      <c r="T29" s="2"/>
      <c r="U29" s="2"/>
      <c r="V29" s="22"/>
      <c r="W29" s="2"/>
      <c r="X29" s="2">
        <f t="shared" si="2"/>
        <v>22.49</v>
      </c>
      <c r="Y29" s="2"/>
      <c r="Z29" s="22">
        <f t="shared" si="3"/>
        <v>0</v>
      </c>
    </row>
    <row r="30" spans="1:26" s="24" customFormat="1" hidden="1" outlineLevel="1" x14ac:dyDescent="0.35">
      <c r="A30" s="51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4"/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--80.71</f>
        <v>80.709999999999994</v>
      </c>
      <c r="Q30" s="2"/>
      <c r="R30" s="22"/>
      <c r="S30" s="2"/>
      <c r="T30" s="2"/>
      <c r="U30" s="2"/>
      <c r="V30" s="22"/>
      <c r="W30" s="2"/>
      <c r="X30" s="2">
        <f t="shared" si="2"/>
        <v>80.709999999999994</v>
      </c>
      <c r="Y30" s="2"/>
      <c r="Z30" s="22">
        <f t="shared" si="3"/>
        <v>0</v>
      </c>
    </row>
    <row r="31" spans="1:26" s="24" customFormat="1" hidden="1" outlineLevel="1" x14ac:dyDescent="0.35">
      <c r="A31" s="51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4"/>
        <v>0</v>
      </c>
      <c r="E31" s="2"/>
      <c r="F31" s="22"/>
      <c r="G31" s="2"/>
      <c r="H31" s="2"/>
      <c r="I31" s="2"/>
      <c r="J31" s="22"/>
      <c r="K31" s="2"/>
      <c r="L31" s="2">
        <f t="shared" si="0"/>
        <v>0</v>
      </c>
      <c r="M31" s="2"/>
      <c r="N31" s="22">
        <f t="shared" si="1"/>
        <v>0</v>
      </c>
      <c r="O31" s="11"/>
      <c r="P31" s="2">
        <f>--45.53</f>
        <v>45.53</v>
      </c>
      <c r="Q31" s="2"/>
      <c r="R31" s="22"/>
      <c r="S31" s="2"/>
      <c r="T31" s="2"/>
      <c r="U31" s="2"/>
      <c r="V31" s="22"/>
      <c r="W31" s="2"/>
      <c r="X31" s="2">
        <f t="shared" si="2"/>
        <v>45.53</v>
      </c>
      <c r="Y31" s="2"/>
      <c r="Z31" s="22">
        <f t="shared" si="3"/>
        <v>0</v>
      </c>
    </row>
    <row r="32" spans="1:26" s="24" customFormat="1" hidden="1" outlineLevel="1" x14ac:dyDescent="0.35">
      <c r="A32" s="51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4"/>
        <v>0</v>
      </c>
      <c r="E32" s="2"/>
      <c r="F32" s="22"/>
      <c r="G32" s="2"/>
      <c r="H32" s="2"/>
      <c r="I32" s="2"/>
      <c r="J32" s="22"/>
      <c r="K32" s="2"/>
      <c r="L32" s="2">
        <f t="shared" si="0"/>
        <v>0</v>
      </c>
      <c r="M32" s="2"/>
      <c r="N32" s="22">
        <f t="shared" si="1"/>
        <v>0</v>
      </c>
      <c r="O32" s="11"/>
      <c r="P32" s="2">
        <f>--68.25</f>
        <v>68.25</v>
      </c>
      <c r="Q32" s="2"/>
      <c r="R32" s="22"/>
      <c r="S32" s="2"/>
      <c r="T32" s="2"/>
      <c r="U32" s="2"/>
      <c r="V32" s="22"/>
      <c r="W32" s="2"/>
      <c r="X32" s="2">
        <f t="shared" si="2"/>
        <v>68.25</v>
      </c>
      <c r="Y32" s="2"/>
      <c r="Z32" s="22">
        <f t="shared" si="3"/>
        <v>0</v>
      </c>
    </row>
    <row r="33" spans="1:26" s="24" customFormat="1" hidden="1" outlineLevel="1" x14ac:dyDescent="0.35">
      <c r="A33" s="51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>--9206.45</f>
        <v>9206.4500000000007</v>
      </c>
      <c r="E33" s="2"/>
      <c r="F33" s="22"/>
      <c r="G33" s="2"/>
      <c r="H33" s="2"/>
      <c r="I33" s="2"/>
      <c r="J33" s="22"/>
      <c r="K33" s="2"/>
      <c r="L33" s="2">
        <f t="shared" si="0"/>
        <v>9206.4500000000007</v>
      </c>
      <c r="M33" s="2"/>
      <c r="N33" s="22">
        <f t="shared" si="1"/>
        <v>0</v>
      </c>
      <c r="O33" s="11"/>
      <c r="P33" s="2">
        <f>--113177.42</f>
        <v>113177.42</v>
      </c>
      <c r="Q33" s="2"/>
      <c r="R33" s="22"/>
      <c r="S33" s="2"/>
      <c r="T33" s="2"/>
      <c r="U33" s="2"/>
      <c r="V33" s="22"/>
      <c r="W33" s="2"/>
      <c r="X33" s="2">
        <f t="shared" si="2"/>
        <v>113177.42</v>
      </c>
      <c r="Y33" s="2"/>
      <c r="Z33" s="22">
        <f t="shared" si="3"/>
        <v>0</v>
      </c>
    </row>
    <row r="34" spans="1:26" s="24" customFormat="1" hidden="1" outlineLevel="1" x14ac:dyDescent="0.35">
      <c r="A34" s="51"/>
      <c r="B34" s="11" t="str">
        <f>CONCATENATE("          ", "4141", " - ", "NON-TAXABLE SALES-LOGO GIFTS")</f>
        <v xml:space="preserve">          4141 - NON-TAXABLE SALES-LOGO GIFTS</v>
      </c>
      <c r="C34" s="11"/>
      <c r="D34" s="2">
        <f>--1163.92</f>
        <v>1163.92</v>
      </c>
      <c r="E34" s="2"/>
      <c r="F34" s="22"/>
      <c r="G34" s="2"/>
      <c r="H34" s="2"/>
      <c r="I34" s="2"/>
      <c r="J34" s="22"/>
      <c r="K34" s="2"/>
      <c r="L34" s="2">
        <f t="shared" si="0"/>
        <v>1163.92</v>
      </c>
      <c r="M34" s="2"/>
      <c r="N34" s="22">
        <f t="shared" si="1"/>
        <v>0</v>
      </c>
      <c r="O34" s="11"/>
      <c r="P34" s="2">
        <f>--6613.52</f>
        <v>6613.52</v>
      </c>
      <c r="Q34" s="2"/>
      <c r="R34" s="22"/>
      <c r="S34" s="2"/>
      <c r="T34" s="2"/>
      <c r="U34" s="2"/>
      <c r="V34" s="22"/>
      <c r="W34" s="2"/>
      <c r="X34" s="2">
        <f t="shared" si="2"/>
        <v>6613.52</v>
      </c>
      <c r="Y34" s="2"/>
      <c r="Z34" s="22">
        <f t="shared" si="3"/>
        <v>0</v>
      </c>
    </row>
    <row r="35" spans="1:26" s="24" customFormat="1" hidden="1" outlineLevel="1" x14ac:dyDescent="0.35">
      <c r="A35" s="51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>--51.7</f>
        <v>51.7</v>
      </c>
      <c r="E35" s="2"/>
      <c r="F35" s="22"/>
      <c r="G35" s="2"/>
      <c r="H35" s="2"/>
      <c r="I35" s="2"/>
      <c r="J35" s="22"/>
      <c r="K35" s="2"/>
      <c r="L35" s="2">
        <f t="shared" si="0"/>
        <v>51.7</v>
      </c>
      <c r="M35" s="2"/>
      <c r="N35" s="22">
        <f t="shared" si="1"/>
        <v>0</v>
      </c>
      <c r="O35" s="11"/>
      <c r="P35" s="2">
        <f>--1149.3</f>
        <v>1149.3</v>
      </c>
      <c r="Q35" s="2"/>
      <c r="R35" s="22"/>
      <c r="S35" s="2"/>
      <c r="T35" s="2"/>
      <c r="U35" s="2"/>
      <c r="V35" s="22"/>
      <c r="W35" s="2"/>
      <c r="X35" s="2">
        <f t="shared" si="2"/>
        <v>1149.3</v>
      </c>
      <c r="Y35" s="2"/>
      <c r="Z35" s="22">
        <f t="shared" si="3"/>
        <v>0</v>
      </c>
    </row>
    <row r="36" spans="1:26" s="24" customFormat="1" hidden="1" outlineLevel="1" x14ac:dyDescent="0.35">
      <c r="A36" s="51"/>
      <c r="B36" s="11" t="str">
        <f>CONCATENATE("          ", "4143", " - ", "NON-TAXABLE SALES-CARDS")</f>
        <v xml:space="preserve">          4143 - NON-TAXABLE SALES-CARDS</v>
      </c>
      <c r="C36" s="11"/>
      <c r="D36" s="2">
        <f>--232.71</f>
        <v>232.71</v>
      </c>
      <c r="E36" s="2"/>
      <c r="F36" s="22"/>
      <c r="G36" s="2"/>
      <c r="H36" s="2"/>
      <c r="I36" s="2"/>
      <c r="J36" s="22"/>
      <c r="K36" s="2"/>
      <c r="L36" s="2">
        <f t="shared" si="0"/>
        <v>232.71</v>
      </c>
      <c r="M36" s="2"/>
      <c r="N36" s="22">
        <f t="shared" si="1"/>
        <v>0</v>
      </c>
      <c r="O36" s="11"/>
      <c r="P36" s="2">
        <f>--1969.74</f>
        <v>1969.74</v>
      </c>
      <c r="Q36" s="2"/>
      <c r="R36" s="22"/>
      <c r="S36" s="2"/>
      <c r="T36" s="2"/>
      <c r="U36" s="2"/>
      <c r="V36" s="22"/>
      <c r="W36" s="2"/>
      <c r="X36" s="2">
        <f t="shared" si="2"/>
        <v>1969.74</v>
      </c>
      <c r="Y36" s="2"/>
      <c r="Z36" s="22">
        <f t="shared" si="3"/>
        <v>0</v>
      </c>
    </row>
    <row r="37" spans="1:26" s="24" customFormat="1" hidden="1" outlineLevel="1" x14ac:dyDescent="0.35">
      <c r="A37" s="51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>--119.9</f>
        <v>119.9</v>
      </c>
      <c r="E37" s="2"/>
      <c r="F37" s="22"/>
      <c r="G37" s="2"/>
      <c r="H37" s="2"/>
      <c r="I37" s="2"/>
      <c r="J37" s="22"/>
      <c r="K37" s="2"/>
      <c r="L37" s="2">
        <f t="shared" si="0"/>
        <v>119.9</v>
      </c>
      <c r="M37" s="2"/>
      <c r="N37" s="22">
        <f t="shared" si="1"/>
        <v>0</v>
      </c>
      <c r="O37" s="11"/>
      <c r="P37" s="2">
        <f>--609.4</f>
        <v>609.4</v>
      </c>
      <c r="Q37" s="2"/>
      <c r="R37" s="22"/>
      <c r="S37" s="2"/>
      <c r="T37" s="2"/>
      <c r="U37" s="2"/>
      <c r="V37" s="22"/>
      <c r="W37" s="2"/>
      <c r="X37" s="2">
        <f t="shared" si="2"/>
        <v>609.4</v>
      </c>
      <c r="Y37" s="2"/>
      <c r="Z37" s="22">
        <f t="shared" si="3"/>
        <v>0</v>
      </c>
    </row>
    <row r="38" spans="1:26" s="24" customFormat="1" hidden="1" outlineLevel="1" x14ac:dyDescent="0.35">
      <c r="A38" s="51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>-1677.68</f>
        <v>-1677.68</v>
      </c>
      <c r="E38" s="2"/>
      <c r="F38" s="22"/>
      <c r="G38" s="2"/>
      <c r="H38" s="2"/>
      <c r="I38" s="2"/>
      <c r="J38" s="22"/>
      <c r="K38" s="2"/>
      <c r="L38" s="2">
        <f t="shared" si="0"/>
        <v>-1677.68</v>
      </c>
      <c r="M38" s="2"/>
      <c r="N38" s="22">
        <f t="shared" si="1"/>
        <v>0</v>
      </c>
      <c r="O38" s="11"/>
      <c r="P38" s="2">
        <f>--53716.09</f>
        <v>53716.09</v>
      </c>
      <c r="Q38" s="2"/>
      <c r="R38" s="22"/>
      <c r="S38" s="2"/>
      <c r="T38" s="2"/>
      <c r="U38" s="2"/>
      <c r="V38" s="22"/>
      <c r="W38" s="2"/>
      <c r="X38" s="2">
        <f t="shared" si="2"/>
        <v>53716.09</v>
      </c>
      <c r="Y38" s="2"/>
      <c r="Z38" s="22">
        <f t="shared" si="3"/>
        <v>0</v>
      </c>
    </row>
    <row r="39" spans="1:26" s="24" customFormat="1" hidden="1" outlineLevel="1" x14ac:dyDescent="0.35">
      <c r="A39" s="51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>0</f>
        <v>0</v>
      </c>
      <c r="E39" s="2"/>
      <c r="F39" s="22"/>
      <c r="G39" s="2"/>
      <c r="H39" s="2"/>
      <c r="I39" s="2"/>
      <c r="J39" s="22"/>
      <c r="K39" s="2"/>
      <c r="L39" s="2">
        <f t="shared" si="0"/>
        <v>0</v>
      </c>
      <c r="M39" s="2"/>
      <c r="N39" s="22">
        <f t="shared" si="1"/>
        <v>0</v>
      </c>
      <c r="O39" s="11"/>
      <c r="P39" s="2">
        <f>-34.23</f>
        <v>-34.229999999999997</v>
      </c>
      <c r="Q39" s="2"/>
      <c r="R39" s="22"/>
      <c r="S39" s="2"/>
      <c r="T39" s="2"/>
      <c r="U39" s="2"/>
      <c r="V39" s="22"/>
      <c r="W39" s="2"/>
      <c r="X39" s="2">
        <f t="shared" si="2"/>
        <v>-34.229999999999997</v>
      </c>
      <c r="Y39" s="2"/>
      <c r="Z39" s="22">
        <f t="shared" si="3"/>
        <v>0</v>
      </c>
    </row>
    <row r="40" spans="1:26" s="24" customFormat="1" hidden="1" outlineLevel="1" x14ac:dyDescent="0.35">
      <c r="A40" s="51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>-126.22</f>
        <v>-126.22</v>
      </c>
      <c r="E40" s="2"/>
      <c r="F40" s="22"/>
      <c r="G40" s="2"/>
      <c r="H40" s="2"/>
      <c r="I40" s="2"/>
      <c r="J40" s="22"/>
      <c r="K40" s="2"/>
      <c r="L40" s="2">
        <f t="shared" si="0"/>
        <v>-126.22</v>
      </c>
      <c r="M40" s="2"/>
      <c r="N40" s="22">
        <f t="shared" si="1"/>
        <v>0</v>
      </c>
      <c r="O40" s="11"/>
      <c r="P40" s="2">
        <f>-602.71</f>
        <v>-602.71</v>
      </c>
      <c r="Q40" s="2"/>
      <c r="R40" s="22"/>
      <c r="S40" s="2"/>
      <c r="T40" s="2"/>
      <c r="U40" s="2"/>
      <c r="V40" s="22"/>
      <c r="W40" s="2"/>
      <c r="X40" s="2">
        <f t="shared" si="2"/>
        <v>-602.71</v>
      </c>
      <c r="Y40" s="2"/>
      <c r="Z40" s="22">
        <f t="shared" si="3"/>
        <v>0</v>
      </c>
    </row>
    <row r="41" spans="1:26" s="24" customFormat="1" hidden="1" outlineLevel="1" x14ac:dyDescent="0.35">
      <c r="A41" s="51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-12473.84</f>
        <v>-12473.84</v>
      </c>
      <c r="E41" s="2"/>
      <c r="F41" s="22"/>
      <c r="G41" s="2"/>
      <c r="H41" s="2"/>
      <c r="I41" s="2"/>
      <c r="J41" s="22"/>
      <c r="K41" s="2"/>
      <c r="L41" s="2">
        <f t="shared" si="0"/>
        <v>-12473.84</v>
      </c>
      <c r="M41" s="2"/>
      <c r="N41" s="22">
        <f t="shared" si="1"/>
        <v>0</v>
      </c>
      <c r="O41" s="11"/>
      <c r="P41" s="2">
        <f>-12506.33</f>
        <v>-12506.33</v>
      </c>
      <c r="Q41" s="2"/>
      <c r="R41" s="22"/>
      <c r="S41" s="2"/>
      <c r="T41" s="2"/>
      <c r="U41" s="2"/>
      <c r="V41" s="22"/>
      <c r="W41" s="2"/>
      <c r="X41" s="2">
        <f t="shared" si="2"/>
        <v>-12506.33</v>
      </c>
      <c r="Y41" s="2"/>
      <c r="Z41" s="22">
        <f t="shared" si="3"/>
        <v>0</v>
      </c>
    </row>
    <row r="42" spans="1:26" s="24" customFormat="1" hidden="1" outlineLevel="1" x14ac:dyDescent="0.35">
      <c r="A42" s="51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>-7168.03</f>
        <v>-7168.03</v>
      </c>
      <c r="E42" s="2"/>
      <c r="F42" s="22"/>
      <c r="G42" s="2"/>
      <c r="H42" s="2"/>
      <c r="I42" s="2"/>
      <c r="J42" s="22"/>
      <c r="K42" s="2"/>
      <c r="L42" s="2">
        <f t="shared" si="0"/>
        <v>-7168.03</v>
      </c>
      <c r="M42" s="2"/>
      <c r="N42" s="22">
        <f t="shared" si="1"/>
        <v>0</v>
      </c>
      <c r="O42" s="11"/>
      <c r="P42" s="2">
        <f>-27586.87</f>
        <v>-27586.87</v>
      </c>
      <c r="Q42" s="2"/>
      <c r="R42" s="22"/>
      <c r="S42" s="2"/>
      <c r="T42" s="2"/>
      <c r="U42" s="2"/>
      <c r="V42" s="22"/>
      <c r="W42" s="2"/>
      <c r="X42" s="2">
        <f t="shared" si="2"/>
        <v>-27586.87</v>
      </c>
      <c r="Y42" s="2"/>
      <c r="Z42" s="22">
        <f t="shared" si="3"/>
        <v>0</v>
      </c>
    </row>
    <row r="43" spans="1:26" s="24" customFormat="1" hidden="1" outlineLevel="1" x14ac:dyDescent="0.35">
      <c r="A43" s="51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>-981.71</f>
        <v>-981.71</v>
      </c>
      <c r="E43" s="2"/>
      <c r="F43" s="22"/>
      <c r="G43" s="2"/>
      <c r="H43" s="2"/>
      <c r="I43" s="2"/>
      <c r="J43" s="22"/>
      <c r="K43" s="2"/>
      <c r="L43" s="2">
        <f t="shared" si="0"/>
        <v>-981.71</v>
      </c>
      <c r="M43" s="2"/>
      <c r="N43" s="22">
        <f t="shared" si="1"/>
        <v>0</v>
      </c>
      <c r="O43" s="11"/>
      <c r="P43" s="2">
        <f>-3703.37</f>
        <v>-3703.37</v>
      </c>
      <c r="Q43" s="2"/>
      <c r="R43" s="22"/>
      <c r="S43" s="2"/>
      <c r="T43" s="2"/>
      <c r="U43" s="2"/>
      <c r="V43" s="22"/>
      <c r="W43" s="2"/>
      <c r="X43" s="2">
        <f t="shared" si="2"/>
        <v>-3703.37</v>
      </c>
      <c r="Y43" s="2"/>
      <c r="Z43" s="22">
        <f t="shared" si="3"/>
        <v>0</v>
      </c>
    </row>
    <row r="44" spans="1:26" s="24" customFormat="1" hidden="1" outlineLevel="1" x14ac:dyDescent="0.35">
      <c r="A44" s="51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>-76.86</f>
        <v>-76.86</v>
      </c>
      <c r="E44" s="2"/>
      <c r="F44" s="22"/>
      <c r="G44" s="2"/>
      <c r="H44" s="2"/>
      <c r="I44" s="2"/>
      <c r="J44" s="22"/>
      <c r="K44" s="2"/>
      <c r="L44" s="2">
        <f t="shared" si="0"/>
        <v>-76.86</v>
      </c>
      <c r="M44" s="2"/>
      <c r="N44" s="22">
        <f t="shared" si="1"/>
        <v>0</v>
      </c>
      <c r="O44" s="11"/>
      <c r="P44" s="2">
        <f>-1693.78</f>
        <v>-1693.78</v>
      </c>
      <c r="Q44" s="2"/>
      <c r="R44" s="22"/>
      <c r="S44" s="2"/>
      <c r="T44" s="2"/>
      <c r="U44" s="2"/>
      <c r="V44" s="22"/>
      <c r="W44" s="2"/>
      <c r="X44" s="2">
        <f t="shared" si="2"/>
        <v>-1693.78</v>
      </c>
      <c r="Y44" s="2"/>
      <c r="Z44" s="22">
        <f t="shared" si="3"/>
        <v>0</v>
      </c>
    </row>
    <row r="45" spans="1:26" s="24" customFormat="1" hidden="1" outlineLevel="1" x14ac:dyDescent="0.35">
      <c r="A45" s="51"/>
      <c r="B45" s="11" t="str">
        <f>CONCATENATE("          ", "4243", " - ", "SALES RETURN TAXABLE-CARDS")</f>
        <v xml:space="preserve">          4243 - SALES RETURN TAXABLE-CARDS</v>
      </c>
      <c r="C45" s="11"/>
      <c r="D45" s="2">
        <f>-1422.25</f>
        <v>-1422.25</v>
      </c>
      <c r="E45" s="2"/>
      <c r="F45" s="22"/>
      <c r="G45" s="2"/>
      <c r="H45" s="2"/>
      <c r="I45" s="2"/>
      <c r="J45" s="22"/>
      <c r="K45" s="2"/>
      <c r="L45" s="2">
        <f t="shared" si="0"/>
        <v>-1422.25</v>
      </c>
      <c r="M45" s="2"/>
      <c r="N45" s="22">
        <f t="shared" si="1"/>
        <v>0</v>
      </c>
      <c r="O45" s="11"/>
      <c r="P45" s="2">
        <f>-4999.79</f>
        <v>-4999.79</v>
      </c>
      <c r="Q45" s="2"/>
      <c r="R45" s="22"/>
      <c r="S45" s="2"/>
      <c r="T45" s="2"/>
      <c r="U45" s="2"/>
      <c r="V45" s="22"/>
      <c r="W45" s="2"/>
      <c r="X45" s="2">
        <f t="shared" si="2"/>
        <v>-4999.79</v>
      </c>
      <c r="Y45" s="2"/>
      <c r="Z45" s="22">
        <f t="shared" si="3"/>
        <v>0</v>
      </c>
    </row>
    <row r="46" spans="1:26" s="24" customFormat="1" hidden="1" outlineLevel="1" x14ac:dyDescent="0.35">
      <c r="A46" s="51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>-93.98</f>
        <v>-93.98</v>
      </c>
      <c r="E46" s="2"/>
      <c r="F46" s="22"/>
      <c r="G46" s="2"/>
      <c r="H46" s="2"/>
      <c r="I46" s="2"/>
      <c r="J46" s="22"/>
      <c r="K46" s="2"/>
      <c r="L46" s="2">
        <f t="shared" si="0"/>
        <v>-93.98</v>
      </c>
      <c r="M46" s="2"/>
      <c r="N46" s="22">
        <f t="shared" si="1"/>
        <v>0</v>
      </c>
      <c r="O46" s="11"/>
      <c r="P46" s="2">
        <f>-984.85</f>
        <v>-984.85</v>
      </c>
      <c r="Q46" s="2"/>
      <c r="R46" s="22"/>
      <c r="S46" s="2"/>
      <c r="T46" s="2"/>
      <c r="U46" s="2"/>
      <c r="V46" s="22"/>
      <c r="W46" s="2"/>
      <c r="X46" s="2">
        <f t="shared" si="2"/>
        <v>-984.85</v>
      </c>
      <c r="Y46" s="2"/>
      <c r="Z46" s="22">
        <f t="shared" si="3"/>
        <v>0</v>
      </c>
    </row>
    <row r="47" spans="1:26" s="24" customFormat="1" hidden="1" outlineLevel="1" x14ac:dyDescent="0.35">
      <c r="A47" s="51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>0</f>
        <v>0</v>
      </c>
      <c r="E47" s="2"/>
      <c r="F47" s="22"/>
      <c r="G47" s="2"/>
      <c r="H47" s="2"/>
      <c r="I47" s="2"/>
      <c r="J47" s="22"/>
      <c r="K47" s="2"/>
      <c r="L47" s="2">
        <f t="shared" si="0"/>
        <v>0</v>
      </c>
      <c r="M47" s="2"/>
      <c r="N47" s="22">
        <f t="shared" si="1"/>
        <v>0</v>
      </c>
      <c r="O47" s="11"/>
      <c r="P47" s="2">
        <f>-11345.61</f>
        <v>-11345.61</v>
      </c>
      <c r="Q47" s="2"/>
      <c r="R47" s="22"/>
      <c r="S47" s="2"/>
      <c r="T47" s="2"/>
      <c r="U47" s="2"/>
      <c r="V47" s="22"/>
      <c r="W47" s="2"/>
      <c r="X47" s="2">
        <f t="shared" si="2"/>
        <v>-11345.61</v>
      </c>
      <c r="Y47" s="2"/>
      <c r="Z47" s="22">
        <f t="shared" si="3"/>
        <v>0</v>
      </c>
    </row>
    <row r="48" spans="1:26" s="24" customFormat="1" hidden="1" outlineLevel="1" x14ac:dyDescent="0.35">
      <c r="A48" s="51"/>
      <c r="B48" s="11" t="str">
        <f>CONCATENATE("          ", "4340", " - ", "SALES RETURN NON TAXABLE-LOGO")</f>
        <v xml:space="preserve">          4340 - SALES RETURN NON TAXABLE-LOGO</v>
      </c>
      <c r="C48" s="11"/>
      <c r="D48" s="2">
        <f>-732.22</f>
        <v>-732.22</v>
      </c>
      <c r="E48" s="2"/>
      <c r="F48" s="22"/>
      <c r="G48" s="2"/>
      <c r="H48" s="2"/>
      <c r="I48" s="2"/>
      <c r="J48" s="22"/>
      <c r="K48" s="2"/>
      <c r="L48" s="2">
        <f t="shared" si="0"/>
        <v>-732.22</v>
      </c>
      <c r="M48" s="2"/>
      <c r="N48" s="22">
        <f t="shared" si="1"/>
        <v>0</v>
      </c>
      <c r="O48" s="11"/>
      <c r="P48" s="2">
        <f>-2215.94</f>
        <v>-2215.94</v>
      </c>
      <c r="Q48" s="2"/>
      <c r="R48" s="22"/>
      <c r="S48" s="2"/>
      <c r="T48" s="2"/>
      <c r="U48" s="2"/>
      <c r="V48" s="22"/>
      <c r="W48" s="2"/>
      <c r="X48" s="2">
        <f t="shared" si="2"/>
        <v>-2215.94</v>
      </c>
      <c r="Y48" s="2"/>
      <c r="Z48" s="22">
        <f t="shared" si="3"/>
        <v>0</v>
      </c>
    </row>
    <row r="49" spans="1:26" s="24" customFormat="1" hidden="1" outlineLevel="1" x14ac:dyDescent="0.35">
      <c r="A49" s="51"/>
      <c r="B49" s="11" t="str">
        <f>CONCATENATE("          ", "4341", " - ", "SALES RETURN NON TAXABLE-LOGO")</f>
        <v xml:space="preserve">          4341 - SALES RETURN NON TAXABLE-LOGO</v>
      </c>
      <c r="C49" s="11"/>
      <c r="D49" s="2">
        <f>-15.8</f>
        <v>-15.8</v>
      </c>
      <c r="E49" s="2"/>
      <c r="F49" s="22"/>
      <c r="G49" s="2"/>
      <c r="H49" s="2"/>
      <c r="I49" s="2"/>
      <c r="J49" s="22"/>
      <c r="K49" s="2"/>
      <c r="L49" s="2">
        <f t="shared" si="0"/>
        <v>-15.8</v>
      </c>
      <c r="M49" s="2"/>
      <c r="N49" s="22">
        <f t="shared" si="1"/>
        <v>0</v>
      </c>
      <c r="O49" s="11"/>
      <c r="P49" s="2">
        <f>-351.44</f>
        <v>-351.44</v>
      </c>
      <c r="Q49" s="2"/>
      <c r="R49" s="22"/>
      <c r="S49" s="2"/>
      <c r="T49" s="2"/>
      <c r="U49" s="2"/>
      <c r="V49" s="22"/>
      <c r="W49" s="2"/>
      <c r="X49" s="2">
        <f t="shared" si="2"/>
        <v>-351.44</v>
      </c>
      <c r="Y49" s="2"/>
      <c r="Z49" s="22">
        <f t="shared" si="3"/>
        <v>0</v>
      </c>
    </row>
    <row r="50" spans="1:26" s="24" customFormat="1" hidden="1" outlineLevel="1" x14ac:dyDescent="0.35">
      <c r="A50" s="51"/>
      <c r="B50" s="11" t="str">
        <f>CONCATENATE("          ", "4342", " - ", "SALES RETURN NON TAXABLE-EVERY")</f>
        <v xml:space="preserve">          4342 - SALES RETURN NON TAXABLE-EVERY</v>
      </c>
      <c r="C50" s="11"/>
      <c r="D50" s="2">
        <f>0</f>
        <v>0</v>
      </c>
      <c r="E50" s="2"/>
      <c r="F50" s="22"/>
      <c r="G50" s="2"/>
      <c r="H50" s="2"/>
      <c r="I50" s="2"/>
      <c r="J50" s="22"/>
      <c r="K50" s="2"/>
      <c r="L50" s="2">
        <f t="shared" si="0"/>
        <v>0</v>
      </c>
      <c r="M50" s="2"/>
      <c r="N50" s="22">
        <f t="shared" si="1"/>
        <v>0</v>
      </c>
      <c r="O50" s="11"/>
      <c r="P50" s="2">
        <f>-118.7</f>
        <v>-118.7</v>
      </c>
      <c r="Q50" s="2"/>
      <c r="R50" s="22"/>
      <c r="S50" s="2"/>
      <c r="T50" s="2"/>
      <c r="U50" s="2"/>
      <c r="V50" s="22"/>
      <c r="W50" s="2"/>
      <c r="X50" s="2">
        <f t="shared" si="2"/>
        <v>-118.7</v>
      </c>
      <c r="Y50" s="2"/>
      <c r="Z50" s="22">
        <f t="shared" si="3"/>
        <v>0</v>
      </c>
    </row>
    <row r="51" spans="1:26" x14ac:dyDescent="0.3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35">
      <c r="A52" s="10"/>
      <c r="B52" s="25" t="s">
        <v>8</v>
      </c>
      <c r="C52" s="10"/>
      <c r="D52" s="4">
        <f>SUM(OSRRefD16x_0)</f>
        <v>84702.999999999985</v>
      </c>
      <c r="E52" s="4"/>
      <c r="F52" s="12">
        <f t="shared" ref="F52:F74" si="5">IF(D$12=0,0,D52/D$12)</f>
        <v>0.52842811367577147</v>
      </c>
      <c r="G52" s="4"/>
      <c r="H52" s="4">
        <f>SUM(OSRRefH16x_0)</f>
        <v>127812</v>
      </c>
      <c r="I52" s="4"/>
      <c r="J52" s="12">
        <f t="shared" ref="J52:J74" si="6">IF(H$12=0,0,H52/H$12)</f>
        <v>0.45426822766724245</v>
      </c>
      <c r="K52" s="4"/>
      <c r="L52" s="4">
        <f t="shared" ref="L52:L74" si="7">+D52-H52</f>
        <v>-43109.000000000015</v>
      </c>
      <c r="M52" s="4"/>
      <c r="N52" s="12">
        <f t="shared" ref="N52:N74" si="8">IF(H52=0,0,L52/H52)</f>
        <v>-0.33728444903451954</v>
      </c>
      <c r="O52" s="10"/>
      <c r="P52" s="4">
        <f>SUM(OSRRefP16x_0)</f>
        <v>682910.54</v>
      </c>
      <c r="Q52" s="4"/>
      <c r="R52" s="12">
        <f t="shared" ref="R52:R74" si="9">IF(P$12=0,0,P52/P$12)</f>
        <v>0.57348263761294582</v>
      </c>
      <c r="S52" s="4"/>
      <c r="T52" s="4">
        <f>SUM(OSRRefT16x_0)</f>
        <v>993042.00000000012</v>
      </c>
      <c r="U52" s="4"/>
      <c r="V52" s="12">
        <f t="shared" ref="V52:V74" si="10">IF(T$12=0,0,T52/T$12)</f>
        <v>0.45738928814720964</v>
      </c>
      <c r="W52" s="4"/>
      <c r="X52" s="4">
        <f t="shared" ref="X52:X74" si="11">+P52-T52</f>
        <v>-310131.46000000008</v>
      </c>
      <c r="Y52" s="4"/>
      <c r="Z52" s="12">
        <f t="shared" ref="Z52:Z74" si="12">IF(T52=0,0,X52/T52)</f>
        <v>-0.31230447453380628</v>
      </c>
    </row>
    <row r="53" spans="1:26" s="24" customFormat="1" hidden="1" outlineLevel="1" x14ac:dyDescent="0.35">
      <c r="A53" s="51"/>
      <c r="B53" s="11" t="str">
        <f>CONCATENATE("          ", "5000", " - ", "PURCHASES @ COST")</f>
        <v xml:space="preserve">          5000 - PURCHASES @ COST</v>
      </c>
      <c r="C53" s="11"/>
      <c r="D53" s="2"/>
      <c r="E53" s="2"/>
      <c r="F53" s="22">
        <f t="shared" si="5"/>
        <v>0</v>
      </c>
      <c r="G53" s="2"/>
      <c r="H53" s="2">
        <v>127812</v>
      </c>
      <c r="I53" s="2"/>
      <c r="J53" s="22">
        <f t="shared" si="6"/>
        <v>0.45426822766724245</v>
      </c>
      <c r="K53" s="2"/>
      <c r="L53" s="2">
        <f t="shared" si="7"/>
        <v>-127812</v>
      </c>
      <c r="M53" s="2"/>
      <c r="N53" s="22">
        <f t="shared" si="8"/>
        <v>-1</v>
      </c>
      <c r="O53" s="11"/>
      <c r="P53" s="2"/>
      <c r="Q53" s="2"/>
      <c r="R53" s="22">
        <f t="shared" si="9"/>
        <v>0</v>
      </c>
      <c r="S53" s="2"/>
      <c r="T53" s="2">
        <v>993042.00000000012</v>
      </c>
      <c r="U53" s="2"/>
      <c r="V53" s="22">
        <f t="shared" si="10"/>
        <v>0.45738928814720964</v>
      </c>
      <c r="W53" s="2"/>
      <c r="X53" s="2">
        <f t="shared" si="11"/>
        <v>-993042.00000000012</v>
      </c>
      <c r="Y53" s="2"/>
      <c r="Z53" s="22">
        <f t="shared" si="12"/>
        <v>-1</v>
      </c>
    </row>
    <row r="54" spans="1:26" s="24" customFormat="1" hidden="1" outlineLevel="1" x14ac:dyDescent="0.35">
      <c r="A54" s="51"/>
      <c r="B54" s="11" t="str">
        <f>CONCATENATE("          ", "5025", " - ", "PURCHASES @ COST-TEST FORMS")</f>
        <v xml:space="preserve">          5025 - PURCHASES @ COST-TEST FORMS</v>
      </c>
      <c r="C54" s="11"/>
      <c r="D54" s="2"/>
      <c r="E54" s="2"/>
      <c r="F54" s="22">
        <f t="shared" si="5"/>
        <v>0</v>
      </c>
      <c r="G54" s="2"/>
      <c r="H54" s="2"/>
      <c r="I54" s="2"/>
      <c r="J54" s="22">
        <f t="shared" si="6"/>
        <v>0</v>
      </c>
      <c r="K54" s="2"/>
      <c r="L54" s="2">
        <f t="shared" si="7"/>
        <v>0</v>
      </c>
      <c r="M54" s="2"/>
      <c r="N54" s="22">
        <f t="shared" si="8"/>
        <v>0</v>
      </c>
      <c r="O54" s="11"/>
      <c r="P54" s="2">
        <v>599.29</v>
      </c>
      <c r="Q54" s="2"/>
      <c r="R54" s="22">
        <f t="shared" si="9"/>
        <v>5.0326124691978287E-4</v>
      </c>
      <c r="S54" s="2"/>
      <c r="T54" s="2"/>
      <c r="U54" s="2"/>
      <c r="V54" s="22">
        <f t="shared" si="10"/>
        <v>0</v>
      </c>
      <c r="W54" s="2"/>
      <c r="X54" s="2">
        <f t="shared" si="11"/>
        <v>599.29</v>
      </c>
      <c r="Y54" s="2"/>
      <c r="Z54" s="22">
        <f t="shared" si="12"/>
        <v>0</v>
      </c>
    </row>
    <row r="55" spans="1:26" s="24" customFormat="1" hidden="1" outlineLevel="1" x14ac:dyDescent="0.35">
      <c r="A55" s="51"/>
      <c r="B55" s="11" t="str">
        <f>CONCATENATE("          ", "5026", " - ", "PURCHASES @ COST-WRITING INSTR")</f>
        <v xml:space="preserve">          5026 - PURCHASES @ COST-WRITING INSTR</v>
      </c>
      <c r="C55" s="11"/>
      <c r="D55" s="2"/>
      <c r="E55" s="2"/>
      <c r="F55" s="22">
        <f t="shared" si="5"/>
        <v>0</v>
      </c>
      <c r="G55" s="2"/>
      <c r="H55" s="2"/>
      <c r="I55" s="2"/>
      <c r="J55" s="22">
        <f t="shared" si="6"/>
        <v>0</v>
      </c>
      <c r="K55" s="2"/>
      <c r="L55" s="2">
        <f t="shared" si="7"/>
        <v>0</v>
      </c>
      <c r="M55" s="2"/>
      <c r="N55" s="22">
        <f t="shared" si="8"/>
        <v>0</v>
      </c>
      <c r="O55" s="11"/>
      <c r="P55" s="2">
        <v>10</v>
      </c>
      <c r="Q55" s="2"/>
      <c r="R55" s="22">
        <f t="shared" si="9"/>
        <v>8.3976246378177995E-6</v>
      </c>
      <c r="S55" s="2"/>
      <c r="T55" s="2"/>
      <c r="U55" s="2"/>
      <c r="V55" s="22">
        <f t="shared" si="10"/>
        <v>0</v>
      </c>
      <c r="W55" s="2"/>
      <c r="X55" s="2">
        <f t="shared" si="11"/>
        <v>10</v>
      </c>
      <c r="Y55" s="2"/>
      <c r="Z55" s="22">
        <f t="shared" si="12"/>
        <v>0</v>
      </c>
    </row>
    <row r="56" spans="1:26" s="24" customFormat="1" hidden="1" outlineLevel="1" x14ac:dyDescent="0.35">
      <c r="A56" s="51"/>
      <c r="B56" s="11" t="str">
        <f>CONCATENATE("          ", "5027", " - ", "PURCHASES @ COST-SCHOOL SUPPLI")</f>
        <v xml:space="preserve">          5027 - PURCHASES @ COST-SCHOOL SUPPLI</v>
      </c>
      <c r="C56" s="11"/>
      <c r="D56" s="2"/>
      <c r="E56" s="2"/>
      <c r="F56" s="22">
        <f t="shared" si="5"/>
        <v>0</v>
      </c>
      <c r="G56" s="2"/>
      <c r="H56" s="2"/>
      <c r="I56" s="2"/>
      <c r="J56" s="22">
        <f t="shared" si="6"/>
        <v>0</v>
      </c>
      <c r="K56" s="2"/>
      <c r="L56" s="2">
        <f t="shared" si="7"/>
        <v>0</v>
      </c>
      <c r="M56" s="2"/>
      <c r="N56" s="22">
        <f t="shared" si="8"/>
        <v>0</v>
      </c>
      <c r="O56" s="11"/>
      <c r="P56" s="2">
        <v>18175.88</v>
      </c>
      <c r="Q56" s="2"/>
      <c r="R56" s="22">
        <f t="shared" si="9"/>
        <v>1.526342177020198E-2</v>
      </c>
      <c r="S56" s="2"/>
      <c r="T56" s="2"/>
      <c r="U56" s="2"/>
      <c r="V56" s="22">
        <f t="shared" si="10"/>
        <v>0</v>
      </c>
      <c r="W56" s="2"/>
      <c r="X56" s="2">
        <f t="shared" si="11"/>
        <v>18175.88</v>
      </c>
      <c r="Y56" s="2"/>
      <c r="Z56" s="22">
        <f t="shared" si="12"/>
        <v>0</v>
      </c>
    </row>
    <row r="57" spans="1:26" s="24" customFormat="1" hidden="1" outlineLevel="1" x14ac:dyDescent="0.35">
      <c r="A57" s="51"/>
      <c r="B57" s="11" t="str">
        <f>CONCATENATE("          ", "5028", " - ", "PURCHASES @ COST-ART/TECH")</f>
        <v xml:space="preserve">          5028 - PURCHASES @ COST-ART/TECH</v>
      </c>
      <c r="C57" s="11"/>
      <c r="D57" s="2"/>
      <c r="E57" s="2"/>
      <c r="F57" s="22">
        <f t="shared" si="5"/>
        <v>0</v>
      </c>
      <c r="G57" s="2"/>
      <c r="H57" s="2"/>
      <c r="I57" s="2"/>
      <c r="J57" s="22">
        <f t="shared" si="6"/>
        <v>0</v>
      </c>
      <c r="K57" s="2"/>
      <c r="L57" s="2">
        <f t="shared" si="7"/>
        <v>0</v>
      </c>
      <c r="M57" s="2"/>
      <c r="N57" s="22">
        <f t="shared" si="8"/>
        <v>0</v>
      </c>
      <c r="O57" s="11"/>
      <c r="P57" s="2">
        <v>-83.4</v>
      </c>
      <c r="Q57" s="2"/>
      <c r="R57" s="22">
        <f t="shared" si="9"/>
        <v>-7.003618947940045E-5</v>
      </c>
      <c r="S57" s="2"/>
      <c r="T57" s="2"/>
      <c r="U57" s="2"/>
      <c r="V57" s="22">
        <f t="shared" si="10"/>
        <v>0</v>
      </c>
      <c r="W57" s="2"/>
      <c r="X57" s="2">
        <f t="shared" si="11"/>
        <v>-83.4</v>
      </c>
      <c r="Y57" s="2"/>
      <c r="Z57" s="22">
        <f t="shared" si="12"/>
        <v>0</v>
      </c>
    </row>
    <row r="58" spans="1:26" s="24" customFormat="1" hidden="1" outlineLevel="1" x14ac:dyDescent="0.35">
      <c r="A58" s="51"/>
      <c r="B58" s="11" t="str">
        <f>CONCATENATE("          ", "5031", " - ", "PURCHASES @ COST-FOOD")</f>
        <v xml:space="preserve">          5031 - PURCHASES @ COST-FOOD</v>
      </c>
      <c r="C58" s="11"/>
      <c r="D58" s="2">
        <v>239.16</v>
      </c>
      <c r="E58" s="2"/>
      <c r="F58" s="22">
        <f t="shared" si="5"/>
        <v>1.492023513531959E-3</v>
      </c>
      <c r="G58" s="2"/>
      <c r="H58" s="2"/>
      <c r="I58" s="2"/>
      <c r="J58" s="22">
        <f t="shared" si="6"/>
        <v>0</v>
      </c>
      <c r="K58" s="2"/>
      <c r="L58" s="2">
        <f t="shared" si="7"/>
        <v>239.16</v>
      </c>
      <c r="M58" s="2"/>
      <c r="N58" s="22">
        <f t="shared" si="8"/>
        <v>0</v>
      </c>
      <c r="O58" s="11"/>
      <c r="P58" s="2">
        <v>5072.6899999999996</v>
      </c>
      <c r="Q58" s="2"/>
      <c r="R58" s="22">
        <f t="shared" si="9"/>
        <v>4.2598546524011969E-3</v>
      </c>
      <c r="S58" s="2"/>
      <c r="T58" s="2"/>
      <c r="U58" s="2"/>
      <c r="V58" s="22">
        <f t="shared" si="10"/>
        <v>0</v>
      </c>
      <c r="W58" s="2"/>
      <c r="X58" s="2">
        <f t="shared" si="11"/>
        <v>5072.6899999999996</v>
      </c>
      <c r="Y58" s="2"/>
      <c r="Z58" s="22">
        <f t="shared" si="12"/>
        <v>0</v>
      </c>
    </row>
    <row r="59" spans="1:26" s="24" customFormat="1" hidden="1" outlineLevel="1" x14ac:dyDescent="0.35">
      <c r="A59" s="51"/>
      <c r="B59" s="11" t="str">
        <f>CONCATENATE("          ", "5040", " - ", "PURCHASES @ COST-LOGO CLOTHING")</f>
        <v xml:space="preserve">          5040 - PURCHASES @ COST-LOGO CLOTHING</v>
      </c>
      <c r="C59" s="11"/>
      <c r="D59" s="2">
        <v>34900.79</v>
      </c>
      <c r="E59" s="2"/>
      <c r="F59" s="22">
        <f t="shared" si="5"/>
        <v>0.21773205937799406</v>
      </c>
      <c r="G59" s="2"/>
      <c r="H59" s="2"/>
      <c r="I59" s="2"/>
      <c r="J59" s="22">
        <f t="shared" si="6"/>
        <v>0</v>
      </c>
      <c r="K59" s="2"/>
      <c r="L59" s="2">
        <f t="shared" si="7"/>
        <v>34900.79</v>
      </c>
      <c r="M59" s="2"/>
      <c r="N59" s="22">
        <f t="shared" si="8"/>
        <v>0</v>
      </c>
      <c r="O59" s="11"/>
      <c r="P59" s="2">
        <v>167371.19</v>
      </c>
      <c r="Q59" s="2"/>
      <c r="R59" s="22">
        <f t="shared" si="9"/>
        <v>0.14055204288048842</v>
      </c>
      <c r="S59" s="2"/>
      <c r="T59" s="2"/>
      <c r="U59" s="2"/>
      <c r="V59" s="22">
        <f t="shared" si="10"/>
        <v>0</v>
      </c>
      <c r="W59" s="2"/>
      <c r="X59" s="2">
        <f t="shared" si="11"/>
        <v>167371.19</v>
      </c>
      <c r="Y59" s="2"/>
      <c r="Z59" s="22">
        <f t="shared" si="12"/>
        <v>0</v>
      </c>
    </row>
    <row r="60" spans="1:26" s="24" customFormat="1" hidden="1" outlineLevel="1" x14ac:dyDescent="0.35">
      <c r="A60" s="51"/>
      <c r="B60" s="11" t="str">
        <f>CONCATENATE("          ", "5041", " - ", "PURCHASES @ COST-LOGO GIFTS")</f>
        <v xml:space="preserve">          5041 - PURCHASES @ COST-LOGO GIFTS</v>
      </c>
      <c r="C60" s="11"/>
      <c r="D60" s="2">
        <v>8769.24</v>
      </c>
      <c r="E60" s="2"/>
      <c r="F60" s="22">
        <f t="shared" si="5"/>
        <v>5.4707778373494713E-2</v>
      </c>
      <c r="G60" s="2"/>
      <c r="H60" s="2"/>
      <c r="I60" s="2"/>
      <c r="J60" s="22">
        <f t="shared" si="6"/>
        <v>0</v>
      </c>
      <c r="K60" s="2"/>
      <c r="L60" s="2">
        <f t="shared" si="7"/>
        <v>8769.24</v>
      </c>
      <c r="M60" s="2"/>
      <c r="N60" s="22">
        <f t="shared" si="8"/>
        <v>0</v>
      </c>
      <c r="O60" s="11"/>
      <c r="P60" s="2">
        <v>40971</v>
      </c>
      <c r="Q60" s="2"/>
      <c r="R60" s="22">
        <f t="shared" si="9"/>
        <v>3.4405907903603303E-2</v>
      </c>
      <c r="S60" s="2"/>
      <c r="T60" s="2"/>
      <c r="U60" s="2"/>
      <c r="V60" s="22">
        <f t="shared" si="10"/>
        <v>0</v>
      </c>
      <c r="W60" s="2"/>
      <c r="X60" s="2">
        <f t="shared" si="11"/>
        <v>40971</v>
      </c>
      <c r="Y60" s="2"/>
      <c r="Z60" s="22">
        <f t="shared" si="12"/>
        <v>0</v>
      </c>
    </row>
    <row r="61" spans="1:26" s="24" customFormat="1" hidden="1" outlineLevel="1" x14ac:dyDescent="0.35">
      <c r="A61" s="51"/>
      <c r="B61" s="11" t="str">
        <f>CONCATENATE("          ", "5042", " - ", "PURCHASES @ COST-EVERYDAY GIFT")</f>
        <v xml:space="preserve">          5042 - PURCHASES @ COST-EVERYDAY GIFT</v>
      </c>
      <c r="C61" s="11"/>
      <c r="D61" s="2">
        <v>6760.7</v>
      </c>
      <c r="E61" s="2"/>
      <c r="F61" s="22">
        <f t="shared" si="5"/>
        <v>4.2177301254120732E-2</v>
      </c>
      <c r="G61" s="2"/>
      <c r="H61" s="2"/>
      <c r="I61" s="2"/>
      <c r="J61" s="22">
        <f t="shared" si="6"/>
        <v>0</v>
      </c>
      <c r="K61" s="2"/>
      <c r="L61" s="2">
        <f t="shared" si="7"/>
        <v>6760.7</v>
      </c>
      <c r="M61" s="2"/>
      <c r="N61" s="22">
        <f t="shared" si="8"/>
        <v>0</v>
      </c>
      <c r="O61" s="11"/>
      <c r="P61" s="2">
        <v>17821.98</v>
      </c>
      <c r="Q61" s="2"/>
      <c r="R61" s="22">
        <f t="shared" si="9"/>
        <v>1.4966229834269606E-2</v>
      </c>
      <c r="S61" s="2"/>
      <c r="T61" s="2"/>
      <c r="U61" s="2"/>
      <c r="V61" s="22">
        <f t="shared" si="10"/>
        <v>0</v>
      </c>
      <c r="W61" s="2"/>
      <c r="X61" s="2">
        <f t="shared" si="11"/>
        <v>17821.98</v>
      </c>
      <c r="Y61" s="2"/>
      <c r="Z61" s="22">
        <f t="shared" si="12"/>
        <v>0</v>
      </c>
    </row>
    <row r="62" spans="1:26" s="24" customFormat="1" hidden="1" outlineLevel="1" x14ac:dyDescent="0.35">
      <c r="A62" s="51"/>
      <c r="B62" s="11" t="str">
        <f>CONCATENATE("          ", "5043", " - ", "PURCHASES @ COST-CARDS")</f>
        <v xml:space="preserve">          5043 - PURCHASES @ COST-CARDS</v>
      </c>
      <c r="C62" s="11"/>
      <c r="D62" s="2">
        <v>8743.1</v>
      </c>
      <c r="E62" s="2"/>
      <c r="F62" s="22">
        <f t="shared" si="5"/>
        <v>5.4544701376322426E-2</v>
      </c>
      <c r="G62" s="2"/>
      <c r="H62" s="2"/>
      <c r="I62" s="2"/>
      <c r="J62" s="22">
        <f t="shared" si="6"/>
        <v>0</v>
      </c>
      <c r="K62" s="2"/>
      <c r="L62" s="2">
        <f t="shared" si="7"/>
        <v>8743.1</v>
      </c>
      <c r="M62" s="2"/>
      <c r="N62" s="22">
        <f t="shared" si="8"/>
        <v>0</v>
      </c>
      <c r="O62" s="11"/>
      <c r="P62" s="2">
        <v>55364.33</v>
      </c>
      <c r="Q62" s="2"/>
      <c r="R62" s="22">
        <f t="shared" si="9"/>
        <v>4.6492886166427515E-2</v>
      </c>
      <c r="S62" s="2"/>
      <c r="T62" s="2"/>
      <c r="U62" s="2"/>
      <c r="V62" s="22">
        <f t="shared" si="10"/>
        <v>0</v>
      </c>
      <c r="W62" s="2"/>
      <c r="X62" s="2">
        <f t="shared" si="11"/>
        <v>55364.33</v>
      </c>
      <c r="Y62" s="2"/>
      <c r="Z62" s="22">
        <f t="shared" si="12"/>
        <v>0</v>
      </c>
    </row>
    <row r="63" spans="1:26" s="24" customFormat="1" hidden="1" outlineLevel="1" x14ac:dyDescent="0.35">
      <c r="A63" s="51"/>
      <c r="B63" s="11" t="str">
        <f>CONCATENATE("          ", "5044", " - ", "PURCHASES @ COST-ACCESSORIES")</f>
        <v xml:space="preserve">          5044 - PURCHASES @ COST-ACCESSORIES</v>
      </c>
      <c r="C63" s="11"/>
      <c r="D63" s="2">
        <v>782.5</v>
      </c>
      <c r="E63" s="2"/>
      <c r="F63" s="22">
        <f t="shared" si="5"/>
        <v>4.8817042956128031E-3</v>
      </c>
      <c r="G63" s="2"/>
      <c r="H63" s="2"/>
      <c r="I63" s="2"/>
      <c r="J63" s="22">
        <f t="shared" si="6"/>
        <v>0</v>
      </c>
      <c r="K63" s="2"/>
      <c r="L63" s="2">
        <f t="shared" si="7"/>
        <v>782.5</v>
      </c>
      <c r="M63" s="2"/>
      <c r="N63" s="22">
        <f t="shared" si="8"/>
        <v>0</v>
      </c>
      <c r="O63" s="11"/>
      <c r="P63" s="2">
        <v>1064.83</v>
      </c>
      <c r="Q63" s="2"/>
      <c r="R63" s="22">
        <f t="shared" si="9"/>
        <v>8.9420426430875262E-4</v>
      </c>
      <c r="S63" s="2"/>
      <c r="T63" s="2"/>
      <c r="U63" s="2"/>
      <c r="V63" s="22">
        <f t="shared" si="10"/>
        <v>0</v>
      </c>
      <c r="W63" s="2"/>
      <c r="X63" s="2">
        <f t="shared" si="11"/>
        <v>1064.83</v>
      </c>
      <c r="Y63" s="2"/>
      <c r="Z63" s="22">
        <f t="shared" si="12"/>
        <v>0</v>
      </c>
    </row>
    <row r="64" spans="1:26" s="24" customFormat="1" hidden="1" outlineLevel="1" x14ac:dyDescent="0.35">
      <c r="A64" s="51"/>
      <c r="B64" s="11" t="str">
        <f>CONCATENATE("          ", "5045", " - ", "PURCHASES @ COST-SPECIAL ORDER")</f>
        <v xml:space="preserve">          5045 - PURCHASES @ COST-SPECIAL ORDER</v>
      </c>
      <c r="C64" s="11"/>
      <c r="D64" s="2">
        <v>5855.38</v>
      </c>
      <c r="E64" s="2"/>
      <c r="F64" s="22">
        <f t="shared" si="5"/>
        <v>3.6529372138588236E-2</v>
      </c>
      <c r="G64" s="2"/>
      <c r="H64" s="2"/>
      <c r="I64" s="2"/>
      <c r="J64" s="22">
        <f t="shared" si="6"/>
        <v>0</v>
      </c>
      <c r="K64" s="2"/>
      <c r="L64" s="2">
        <f t="shared" si="7"/>
        <v>5855.38</v>
      </c>
      <c r="M64" s="2"/>
      <c r="N64" s="22">
        <f t="shared" si="8"/>
        <v>0</v>
      </c>
      <c r="O64" s="11"/>
      <c r="P64" s="2">
        <v>93464.38</v>
      </c>
      <c r="Q64" s="2"/>
      <c r="R64" s="22">
        <f t="shared" si="9"/>
        <v>7.8487878024636526E-2</v>
      </c>
      <c r="S64" s="2"/>
      <c r="T64" s="2"/>
      <c r="U64" s="2"/>
      <c r="V64" s="22">
        <f t="shared" si="10"/>
        <v>0</v>
      </c>
      <c r="W64" s="2"/>
      <c r="X64" s="2">
        <f t="shared" si="11"/>
        <v>93464.38</v>
      </c>
      <c r="Y64" s="2"/>
      <c r="Z64" s="22">
        <f t="shared" si="12"/>
        <v>0</v>
      </c>
    </row>
    <row r="65" spans="1:26" s="24" customFormat="1" hidden="1" outlineLevel="1" x14ac:dyDescent="0.35">
      <c r="A65" s="51"/>
      <c r="B65" s="11" t="str">
        <f>CONCATENATE("          ", "5200", " - ", "PURCHASES OFFSET")</f>
        <v xml:space="preserve">          5200 - PURCHASES OFFSET</v>
      </c>
      <c r="C65" s="11"/>
      <c r="D65" s="2">
        <v>-68791.67</v>
      </c>
      <c r="E65" s="2"/>
      <c r="F65" s="22">
        <f t="shared" si="5"/>
        <v>-0.42916369449377428</v>
      </c>
      <c r="G65" s="2"/>
      <c r="H65" s="2"/>
      <c r="I65" s="2"/>
      <c r="J65" s="22">
        <f t="shared" si="6"/>
        <v>0</v>
      </c>
      <c r="K65" s="2"/>
      <c r="L65" s="2">
        <f t="shared" si="7"/>
        <v>-68791.67</v>
      </c>
      <c r="M65" s="2"/>
      <c r="N65" s="22">
        <f t="shared" si="8"/>
        <v>0</v>
      </c>
      <c r="O65" s="11"/>
      <c r="P65" s="2">
        <v>-417276.97000000003</v>
      </c>
      <c r="Q65" s="2"/>
      <c r="R65" s="22">
        <f t="shared" si="9"/>
        <v>-0.35041353640659589</v>
      </c>
      <c r="S65" s="2"/>
      <c r="T65" s="2"/>
      <c r="U65" s="2"/>
      <c r="V65" s="22">
        <f t="shared" si="10"/>
        <v>0</v>
      </c>
      <c r="W65" s="2"/>
      <c r="X65" s="2">
        <f t="shared" si="11"/>
        <v>-417276.97000000003</v>
      </c>
      <c r="Y65" s="2"/>
      <c r="Z65" s="22">
        <f t="shared" si="12"/>
        <v>0</v>
      </c>
    </row>
    <row r="66" spans="1:26" s="24" customFormat="1" hidden="1" outlineLevel="1" x14ac:dyDescent="0.35">
      <c r="A66" s="51"/>
      <c r="B66" s="11" t="str">
        <f>CONCATENATE("          ", "5300", " - ", "COG$ OFFSET")</f>
        <v xml:space="preserve">          5300 - COG$ OFFSET</v>
      </c>
      <c r="C66" s="11"/>
      <c r="D66" s="2">
        <v>84703</v>
      </c>
      <c r="E66" s="2"/>
      <c r="F66" s="22">
        <f t="shared" si="5"/>
        <v>0.52842811367577158</v>
      </c>
      <c r="G66" s="2"/>
      <c r="H66" s="2"/>
      <c r="I66" s="2"/>
      <c r="J66" s="22">
        <f t="shared" si="6"/>
        <v>0</v>
      </c>
      <c r="K66" s="2"/>
      <c r="L66" s="2">
        <f t="shared" si="7"/>
        <v>84703</v>
      </c>
      <c r="M66" s="2"/>
      <c r="N66" s="22">
        <f t="shared" si="8"/>
        <v>0</v>
      </c>
      <c r="O66" s="11"/>
      <c r="P66" s="2">
        <v>681994</v>
      </c>
      <c r="Q66" s="2"/>
      <c r="R66" s="22">
        <f t="shared" si="9"/>
        <v>0.57271296172439123</v>
      </c>
      <c r="S66" s="2"/>
      <c r="T66" s="2"/>
      <c r="U66" s="2"/>
      <c r="V66" s="22">
        <f t="shared" si="10"/>
        <v>0</v>
      </c>
      <c r="W66" s="2"/>
      <c r="X66" s="2">
        <f t="shared" si="11"/>
        <v>681994</v>
      </c>
      <c r="Y66" s="2"/>
      <c r="Z66" s="22">
        <f t="shared" si="12"/>
        <v>0</v>
      </c>
    </row>
    <row r="67" spans="1:26" s="24" customFormat="1" hidden="1" outlineLevel="1" x14ac:dyDescent="0.35">
      <c r="A67" s="51"/>
      <c r="B67" s="11" t="str">
        <f>CONCATENATE("          ", "5525", " - ", "FREIGHT-IN-TEST FORMS")</f>
        <v xml:space="preserve">          5525 - FREIGHT-IN-TEST FORMS</v>
      </c>
      <c r="C67" s="11"/>
      <c r="D67" s="2"/>
      <c r="E67" s="2"/>
      <c r="F67" s="22">
        <f t="shared" si="5"/>
        <v>0</v>
      </c>
      <c r="G67" s="2"/>
      <c r="H67" s="2"/>
      <c r="I67" s="2"/>
      <c r="J67" s="22">
        <f t="shared" si="6"/>
        <v>0</v>
      </c>
      <c r="K67" s="2"/>
      <c r="L67" s="2">
        <f t="shared" si="7"/>
        <v>0</v>
      </c>
      <c r="M67" s="2"/>
      <c r="N67" s="22">
        <f t="shared" si="8"/>
        <v>0</v>
      </c>
      <c r="O67" s="11"/>
      <c r="P67" s="2">
        <v>48.14</v>
      </c>
      <c r="Q67" s="2"/>
      <c r="R67" s="22">
        <f t="shared" si="9"/>
        <v>4.0426165006454886E-5</v>
      </c>
      <c r="S67" s="2"/>
      <c r="T67" s="2"/>
      <c r="U67" s="2"/>
      <c r="V67" s="22">
        <f t="shared" si="10"/>
        <v>0</v>
      </c>
      <c r="W67" s="2"/>
      <c r="X67" s="2">
        <f t="shared" si="11"/>
        <v>48.14</v>
      </c>
      <c r="Y67" s="2"/>
      <c r="Z67" s="22">
        <f t="shared" si="12"/>
        <v>0</v>
      </c>
    </row>
    <row r="68" spans="1:26" s="24" customFormat="1" hidden="1" outlineLevel="1" x14ac:dyDescent="0.35">
      <c r="A68" s="51"/>
      <c r="B68" s="11" t="str">
        <f>CONCATENATE("          ", "5527", " - ", "FREIGHT-IN-SCHOOL SUPPLIES")</f>
        <v xml:space="preserve">          5527 - FREIGHT-IN-SCHOOL SUPPLIES</v>
      </c>
      <c r="C68" s="11"/>
      <c r="D68" s="2"/>
      <c r="E68" s="2"/>
      <c r="F68" s="22">
        <f t="shared" si="5"/>
        <v>0</v>
      </c>
      <c r="G68" s="2"/>
      <c r="H68" s="2"/>
      <c r="I68" s="2"/>
      <c r="J68" s="22">
        <f t="shared" si="6"/>
        <v>0</v>
      </c>
      <c r="K68" s="2"/>
      <c r="L68" s="2">
        <f t="shared" si="7"/>
        <v>0</v>
      </c>
      <c r="M68" s="2"/>
      <c r="N68" s="22">
        <f t="shared" si="8"/>
        <v>0</v>
      </c>
      <c r="O68" s="11"/>
      <c r="P68" s="2">
        <v>177.5</v>
      </c>
      <c r="Q68" s="2"/>
      <c r="R68" s="22">
        <f t="shared" si="9"/>
        <v>1.4905783732126595E-4</v>
      </c>
      <c r="S68" s="2"/>
      <c r="T68" s="2"/>
      <c r="U68" s="2"/>
      <c r="V68" s="22">
        <f t="shared" si="10"/>
        <v>0</v>
      </c>
      <c r="W68" s="2"/>
      <c r="X68" s="2">
        <f t="shared" si="11"/>
        <v>177.5</v>
      </c>
      <c r="Y68" s="2"/>
      <c r="Z68" s="22">
        <f t="shared" si="12"/>
        <v>0</v>
      </c>
    </row>
    <row r="69" spans="1:26" s="24" customFormat="1" hidden="1" outlineLevel="1" x14ac:dyDescent="0.35">
      <c r="A69" s="51"/>
      <c r="B69" s="11" t="str">
        <f>CONCATENATE("          ", "5528", " - ", "FREIGHT-IN-ART/TECH")</f>
        <v xml:space="preserve">          5528 - FREIGHT-IN-ART/TECH</v>
      </c>
      <c r="C69" s="11"/>
      <c r="D69" s="2">
        <v>30.01</v>
      </c>
      <c r="E69" s="2"/>
      <c r="F69" s="22">
        <f t="shared" si="5"/>
        <v>1.8722037816145713E-4</v>
      </c>
      <c r="G69" s="2"/>
      <c r="H69" s="2"/>
      <c r="I69" s="2"/>
      <c r="J69" s="22">
        <f t="shared" si="6"/>
        <v>0</v>
      </c>
      <c r="K69" s="2"/>
      <c r="L69" s="2">
        <f t="shared" si="7"/>
        <v>30.01</v>
      </c>
      <c r="M69" s="2"/>
      <c r="N69" s="22">
        <f t="shared" si="8"/>
        <v>0</v>
      </c>
      <c r="O69" s="11"/>
      <c r="P69" s="2">
        <v>33.950000000000003</v>
      </c>
      <c r="Q69" s="2"/>
      <c r="R69" s="22">
        <f t="shared" si="9"/>
        <v>2.850993564539143E-5</v>
      </c>
      <c r="S69" s="2"/>
      <c r="T69" s="2"/>
      <c r="U69" s="2"/>
      <c r="V69" s="22">
        <f t="shared" si="10"/>
        <v>0</v>
      </c>
      <c r="W69" s="2"/>
      <c r="X69" s="2">
        <f t="shared" si="11"/>
        <v>33.950000000000003</v>
      </c>
      <c r="Y69" s="2"/>
      <c r="Z69" s="22">
        <f t="shared" si="12"/>
        <v>0</v>
      </c>
    </row>
    <row r="70" spans="1:26" s="24" customFormat="1" hidden="1" outlineLevel="1" x14ac:dyDescent="0.35">
      <c r="A70" s="51"/>
      <c r="B70" s="11" t="str">
        <f>CONCATENATE("          ", "5540", " - ", "FREIGHT-IN-LOGO CLOTHING")</f>
        <v xml:space="preserve">          5540 - FREIGHT-IN-LOGO CLOTHING</v>
      </c>
      <c r="C70" s="11"/>
      <c r="D70" s="2">
        <v>347.67</v>
      </c>
      <c r="E70" s="2"/>
      <c r="F70" s="22">
        <f t="shared" si="5"/>
        <v>2.168973971189397E-3</v>
      </c>
      <c r="G70" s="2"/>
      <c r="H70" s="2"/>
      <c r="I70" s="2"/>
      <c r="J70" s="22">
        <f t="shared" si="6"/>
        <v>0</v>
      </c>
      <c r="K70" s="2"/>
      <c r="L70" s="2">
        <f t="shared" si="7"/>
        <v>347.67</v>
      </c>
      <c r="M70" s="2"/>
      <c r="N70" s="22">
        <f t="shared" si="8"/>
        <v>0</v>
      </c>
      <c r="O70" s="11"/>
      <c r="P70" s="2">
        <v>5790.63</v>
      </c>
      <c r="Q70" s="2"/>
      <c r="R70" s="22">
        <f t="shared" si="9"/>
        <v>4.8627537156486888E-3</v>
      </c>
      <c r="S70" s="2"/>
      <c r="T70" s="2"/>
      <c r="U70" s="2"/>
      <c r="V70" s="22">
        <f t="shared" si="10"/>
        <v>0</v>
      </c>
      <c r="W70" s="2"/>
      <c r="X70" s="2">
        <f t="shared" si="11"/>
        <v>5790.63</v>
      </c>
      <c r="Y70" s="2"/>
      <c r="Z70" s="22">
        <f t="shared" si="12"/>
        <v>0</v>
      </c>
    </row>
    <row r="71" spans="1:26" s="24" customFormat="1" hidden="1" outlineLevel="1" x14ac:dyDescent="0.35">
      <c r="A71" s="51"/>
      <c r="B71" s="11" t="str">
        <f>CONCATENATE("          ", "5541", " - ", "FREIGHT-IN-LOGO GIFTS")</f>
        <v xml:space="preserve">          5541 - FREIGHT-IN-LOGO GIFTS</v>
      </c>
      <c r="C71" s="11"/>
      <c r="D71" s="2">
        <v>182.93</v>
      </c>
      <c r="E71" s="2"/>
      <c r="F71" s="22">
        <f t="shared" si="5"/>
        <v>1.1412270502191054E-3</v>
      </c>
      <c r="G71" s="2"/>
      <c r="H71" s="2"/>
      <c r="I71" s="2"/>
      <c r="J71" s="22">
        <f t="shared" si="6"/>
        <v>0</v>
      </c>
      <c r="K71" s="2"/>
      <c r="L71" s="2">
        <f t="shared" si="7"/>
        <v>182.93</v>
      </c>
      <c r="M71" s="2"/>
      <c r="N71" s="22">
        <f t="shared" si="8"/>
        <v>0</v>
      </c>
      <c r="O71" s="11"/>
      <c r="P71" s="2">
        <v>1702.87</v>
      </c>
      <c r="Q71" s="2"/>
      <c r="R71" s="22">
        <f t="shared" si="9"/>
        <v>1.4300063067000796E-3</v>
      </c>
      <c r="S71" s="2"/>
      <c r="T71" s="2"/>
      <c r="U71" s="2"/>
      <c r="V71" s="22">
        <f t="shared" si="10"/>
        <v>0</v>
      </c>
      <c r="W71" s="2"/>
      <c r="X71" s="2">
        <f t="shared" si="11"/>
        <v>1702.87</v>
      </c>
      <c r="Y71" s="2"/>
      <c r="Z71" s="22">
        <f t="shared" si="12"/>
        <v>0</v>
      </c>
    </row>
    <row r="72" spans="1:26" s="24" customFormat="1" hidden="1" outlineLevel="1" x14ac:dyDescent="0.35">
      <c r="A72" s="51"/>
      <c r="B72" s="11" t="str">
        <f>CONCATENATE("          ", "5542", " - ", "FREIGHT-IN-EVERYDAY GIFTS")</f>
        <v xml:space="preserve">          5542 - FREIGHT-IN-EVERYDAY GIFTS</v>
      </c>
      <c r="C72" s="11"/>
      <c r="D72" s="2">
        <v>187.38</v>
      </c>
      <c r="E72" s="2"/>
      <c r="F72" s="22">
        <f t="shared" si="5"/>
        <v>1.1689888190567757E-3</v>
      </c>
      <c r="G72" s="2"/>
      <c r="H72" s="2"/>
      <c r="I72" s="2"/>
      <c r="J72" s="22">
        <f t="shared" si="6"/>
        <v>0</v>
      </c>
      <c r="K72" s="2"/>
      <c r="L72" s="2">
        <f t="shared" si="7"/>
        <v>187.38</v>
      </c>
      <c r="M72" s="2"/>
      <c r="N72" s="22">
        <f t="shared" si="8"/>
        <v>0</v>
      </c>
      <c r="O72" s="11"/>
      <c r="P72" s="2">
        <v>383.93</v>
      </c>
      <c r="Q72" s="2"/>
      <c r="R72" s="22">
        <f t="shared" si="9"/>
        <v>3.2241000271973879E-4</v>
      </c>
      <c r="S72" s="2"/>
      <c r="T72" s="2"/>
      <c r="U72" s="2"/>
      <c r="V72" s="22">
        <f t="shared" si="10"/>
        <v>0</v>
      </c>
      <c r="W72" s="2"/>
      <c r="X72" s="2">
        <f t="shared" si="11"/>
        <v>383.93</v>
      </c>
      <c r="Y72" s="2"/>
      <c r="Z72" s="22">
        <f t="shared" si="12"/>
        <v>0</v>
      </c>
    </row>
    <row r="73" spans="1:26" s="24" customFormat="1" hidden="1" outlineLevel="1" x14ac:dyDescent="0.35">
      <c r="A73" s="51"/>
      <c r="B73" s="11" t="str">
        <f>CONCATENATE("          ", "5543", " - ", "FREIGHT-IN-CARDS")</f>
        <v xml:space="preserve">          5543 - FREIGHT-IN-CARDS</v>
      </c>
      <c r="C73" s="11"/>
      <c r="D73" s="2">
        <v>1992.81</v>
      </c>
      <c r="E73" s="2"/>
      <c r="F73" s="22">
        <f t="shared" si="5"/>
        <v>1.2432343945482618E-2</v>
      </c>
      <c r="G73" s="2"/>
      <c r="H73" s="2"/>
      <c r="I73" s="2"/>
      <c r="J73" s="22">
        <f t="shared" si="6"/>
        <v>0</v>
      </c>
      <c r="K73" s="2"/>
      <c r="L73" s="2">
        <f t="shared" si="7"/>
        <v>1992.81</v>
      </c>
      <c r="M73" s="2"/>
      <c r="N73" s="22">
        <f t="shared" si="8"/>
        <v>0</v>
      </c>
      <c r="O73" s="11"/>
      <c r="P73" s="2">
        <v>9110.5300000000007</v>
      </c>
      <c r="Q73" s="2"/>
      <c r="R73" s="22">
        <f t="shared" si="9"/>
        <v>7.6506811191578202E-3</v>
      </c>
      <c r="S73" s="2"/>
      <c r="T73" s="2"/>
      <c r="U73" s="2"/>
      <c r="V73" s="22">
        <f t="shared" si="10"/>
        <v>0</v>
      </c>
      <c r="W73" s="2"/>
      <c r="X73" s="2">
        <f t="shared" si="11"/>
        <v>9110.5300000000007</v>
      </c>
      <c r="Y73" s="2"/>
      <c r="Z73" s="22">
        <f t="shared" si="12"/>
        <v>0</v>
      </c>
    </row>
    <row r="74" spans="1:26" s="24" customFormat="1" hidden="1" outlineLevel="1" x14ac:dyDescent="0.35">
      <c r="A74" s="51"/>
      <c r="B74" s="11" t="str">
        <f>CONCATENATE("          ", "5545", " - ", "FREIGHT-IN-SPECIAL ORDERS")</f>
        <v xml:space="preserve">          5545 - FREIGHT-IN-SPECIAL ORDERS</v>
      </c>
      <c r="C74" s="11"/>
      <c r="D74" s="2"/>
      <c r="E74" s="2"/>
      <c r="F74" s="22">
        <f t="shared" si="5"/>
        <v>0</v>
      </c>
      <c r="G74" s="2"/>
      <c r="H74" s="2"/>
      <c r="I74" s="2"/>
      <c r="J74" s="22">
        <f t="shared" si="6"/>
        <v>0</v>
      </c>
      <c r="K74" s="2"/>
      <c r="L74" s="2">
        <f t="shared" si="7"/>
        <v>0</v>
      </c>
      <c r="M74" s="2"/>
      <c r="N74" s="22">
        <f t="shared" si="8"/>
        <v>0</v>
      </c>
      <c r="O74" s="11"/>
      <c r="P74" s="2">
        <v>1113.79</v>
      </c>
      <c r="Q74" s="2"/>
      <c r="R74" s="22">
        <f t="shared" si="9"/>
        <v>9.3531903453550867E-4</v>
      </c>
      <c r="S74" s="2"/>
      <c r="T74" s="2"/>
      <c r="U74" s="2"/>
      <c r="V74" s="22">
        <f t="shared" si="10"/>
        <v>0</v>
      </c>
      <c r="W74" s="2"/>
      <c r="X74" s="2">
        <f t="shared" si="11"/>
        <v>1113.79</v>
      </c>
      <c r="Y74" s="2"/>
      <c r="Z74" s="22">
        <f t="shared" si="12"/>
        <v>0</v>
      </c>
    </row>
    <row r="75" spans="1:26" x14ac:dyDescent="0.3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35">
      <c r="A76" s="10"/>
      <c r="B76" s="26" t="s">
        <v>6</v>
      </c>
      <c r="C76" s="26"/>
      <c r="D76" s="19">
        <f>D12-D52</f>
        <v>75589.380000000077</v>
      </c>
      <c r="E76" s="13"/>
      <c r="F76" s="21">
        <f>IF(D$12=0,0,D76/D$12)</f>
        <v>0.47157188632422858</v>
      </c>
      <c r="G76" s="13"/>
      <c r="H76" s="19">
        <f>H12-H52</f>
        <v>153546</v>
      </c>
      <c r="I76" s="13"/>
      <c r="J76" s="21">
        <f>IF(H$12=0,0,H76/H$12)</f>
        <v>0.5457317723327576</v>
      </c>
      <c r="K76" s="16"/>
      <c r="L76" s="19">
        <f>+D76-H76</f>
        <v>-77956.619999999923</v>
      </c>
      <c r="M76" s="16"/>
      <c r="N76" s="21">
        <f>IF(H76=0,0,L76/H76)</f>
        <v>-0.50770856941893583</v>
      </c>
      <c r="O76" s="25"/>
      <c r="P76" s="19">
        <f>P12-P52</f>
        <v>507902.38999999966</v>
      </c>
      <c r="Q76" s="13"/>
      <c r="R76" s="21">
        <f>IF(P$12=0,0,P76/P$12)</f>
        <v>0.42651736238705418</v>
      </c>
      <c r="S76" s="13"/>
      <c r="T76" s="19">
        <f>T12-T52</f>
        <v>1178067</v>
      </c>
      <c r="U76" s="13"/>
      <c r="V76" s="21">
        <f>IF(T$12=0,0,T76/T$12)</f>
        <v>0.54261071185279042</v>
      </c>
      <c r="W76" s="16"/>
      <c r="X76" s="19">
        <f>+P76-T76</f>
        <v>-670164.61000000034</v>
      </c>
      <c r="Y76" s="16"/>
      <c r="Z76" s="21">
        <f>IF(T76=0,0,X76/T76)</f>
        <v>-0.5688679930767947</v>
      </c>
    </row>
    <row r="77" spans="1:26" x14ac:dyDescent="0.35">
      <c r="A77" s="9"/>
      <c r="B77" s="10"/>
      <c r="C77" s="9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35">
      <c r="A78" s="10"/>
      <c r="B78" s="25" t="s">
        <v>9</v>
      </c>
      <c r="C78" s="10"/>
      <c r="D78" s="20">
        <f>SUM(OSRRefD22x_0)</f>
        <v>78964.529999999984</v>
      </c>
      <c r="E78" s="20"/>
      <c r="F78" s="30">
        <f t="shared" ref="F78:F88" si="13">IF(D$12=0,0,D78/D$12)</f>
        <v>0.49262809623264658</v>
      </c>
      <c r="G78" s="20"/>
      <c r="H78" s="20">
        <f>SUM(OSRRefH22x_0)</f>
        <v>136752.58546065385</v>
      </c>
      <c r="I78" s="20"/>
      <c r="J78" s="30">
        <f t="shared" ref="J78:J88" si="14">IF(H$12=0,0,H78/H$12)</f>
        <v>0.48604477377808292</v>
      </c>
      <c r="K78" s="4"/>
      <c r="L78" s="20">
        <f t="shared" ref="L78:L88" si="15">+D78-H78</f>
        <v>-57788.055460653864</v>
      </c>
      <c r="M78" s="4"/>
      <c r="N78" s="30">
        <f t="shared" ref="N78:N88" si="16">IF(H78=0,0,L78/H78)</f>
        <v>-0.42257376901499616</v>
      </c>
      <c r="O78" s="10"/>
      <c r="P78" s="20">
        <f>SUM(OSRRefP22x_0)</f>
        <v>484644.47</v>
      </c>
      <c r="Q78" s="20"/>
      <c r="R78" s="30">
        <f t="shared" ref="R78:R88" si="17">IF(P$12=0,0,P78/P$12)</f>
        <v>0.40698623418541491</v>
      </c>
      <c r="S78" s="20"/>
      <c r="T78" s="20">
        <f>SUM(OSRRefT22x_0)</f>
        <v>880009.6257056538</v>
      </c>
      <c r="U78" s="20"/>
      <c r="V78" s="30">
        <f t="shared" ref="V78:V88" si="18">IF(T$12=0,0,T78/T$12)</f>
        <v>0.40532724322254376</v>
      </c>
      <c r="W78" s="4"/>
      <c r="X78" s="20">
        <f t="shared" ref="X78:X88" si="19">+P78-T78</f>
        <v>-395365.15570565383</v>
      </c>
      <c r="Y78" s="4"/>
      <c r="Z78" s="30">
        <f t="shared" ref="Z78:Z88" si="20">IF(T78=0,0,X78/T78)</f>
        <v>-0.44927367173810417</v>
      </c>
    </row>
    <row r="79" spans="1:26" s="28" customFormat="1" outlineLevel="1" collapsed="1" x14ac:dyDescent="0.35">
      <c r="A79" s="27"/>
      <c r="B79" s="14" t="str">
        <f>CONCATENATE("     ","*Benefits                                         ")</f>
        <v xml:space="preserve">     *Benefits                                         </v>
      </c>
      <c r="C79" s="14"/>
      <c r="D79" s="1">
        <f>SUM(OSRRefD22_0x_0)</f>
        <v>14402.33</v>
      </c>
      <c r="E79" s="1"/>
      <c r="F79" s="5">
        <f t="shared" si="13"/>
        <v>8.9850372176144583E-2</v>
      </c>
      <c r="G79" s="1"/>
      <c r="H79" s="1">
        <f>SUM(OSRRefH22_0x_0)</f>
        <v>15743.90103757691</v>
      </c>
      <c r="I79" s="1"/>
      <c r="J79" s="5">
        <f t="shared" si="14"/>
        <v>5.5956827378560094E-2</v>
      </c>
      <c r="K79" s="1"/>
      <c r="L79" s="1">
        <f t="shared" si="15"/>
        <v>-1341.5710375769104</v>
      </c>
      <c r="M79" s="1"/>
      <c r="N79" s="5">
        <f t="shared" si="16"/>
        <v>-8.521211066907132E-2</v>
      </c>
      <c r="O79" s="14"/>
      <c r="P79" s="1">
        <f>SUM(OSRRefP22_0x_0)</f>
        <v>107382.87999999999</v>
      </c>
      <c r="Q79" s="1"/>
      <c r="R79" s="5">
        <f t="shared" si="17"/>
        <v>9.0176111876783219E-2</v>
      </c>
      <c r="S79" s="1"/>
      <c r="T79" s="1">
        <f>SUM(OSRRefT22_0x_0)</f>
        <v>107474.94128257687</v>
      </c>
      <c r="U79" s="1"/>
      <c r="V79" s="5">
        <f t="shared" si="18"/>
        <v>4.9502324057694419E-2</v>
      </c>
      <c r="W79" s="1"/>
      <c r="X79" s="1">
        <f t="shared" si="19"/>
        <v>-92.061282576876692</v>
      </c>
      <c r="Y79" s="1"/>
      <c r="Z79" s="5">
        <f t="shared" si="20"/>
        <v>-8.5658369735533012E-4</v>
      </c>
    </row>
    <row r="80" spans="1:26" s="24" customFormat="1" hidden="1" outlineLevel="2" x14ac:dyDescent="0.35">
      <c r="A80" s="29"/>
      <c r="B80" s="11" t="str">
        <f>CONCATENATE("          ", "6111", " - ", "F.I.C.A.")</f>
        <v xml:space="preserve">          6111 - F.I.C.A.</v>
      </c>
      <c r="C80" s="11"/>
      <c r="D80" s="7">
        <v>2448.2600000000002</v>
      </c>
      <c r="E80" s="2"/>
      <c r="F80" s="6">
        <f t="shared" si="13"/>
        <v>1.5273714196520129E-2</v>
      </c>
      <c r="G80" s="2"/>
      <c r="H80" s="7">
        <v>2229.0171951923048</v>
      </c>
      <c r="I80" s="2"/>
      <c r="J80" s="6">
        <f t="shared" si="14"/>
        <v>7.922352288516071E-3</v>
      </c>
      <c r="K80" s="2"/>
      <c r="L80" s="7">
        <f t="shared" si="15"/>
        <v>219.24280480769539</v>
      </c>
      <c r="M80" s="2"/>
      <c r="N80" s="6">
        <f t="shared" si="16"/>
        <v>9.8358507633127784E-2</v>
      </c>
      <c r="O80" s="11"/>
      <c r="P80" s="7">
        <v>21295.96</v>
      </c>
      <c r="Q80" s="2"/>
      <c r="R80" s="6">
        <f t="shared" si="17"/>
        <v>1.7883547838198233E-2</v>
      </c>
      <c r="S80" s="2"/>
      <c r="T80" s="7">
        <v>19703.226890192305</v>
      </c>
      <c r="U80" s="2"/>
      <c r="V80" s="6">
        <f t="shared" si="18"/>
        <v>9.0751900941833438E-3</v>
      </c>
      <c r="W80" s="2"/>
      <c r="X80" s="7">
        <f t="shared" si="19"/>
        <v>1592.7331098076938</v>
      </c>
      <c r="Y80" s="2"/>
      <c r="Z80" s="6">
        <f t="shared" si="20"/>
        <v>8.0836155350802477E-2</v>
      </c>
    </row>
    <row r="81" spans="1:26" s="24" customFormat="1" hidden="1" outlineLevel="2" x14ac:dyDescent="0.35">
      <c r="A81" s="29"/>
      <c r="B81" s="11" t="str">
        <f>CONCATENATE("          ", "6112", " - ", "COMPENSATION INSURANCE")</f>
        <v xml:space="preserve">          6112 - COMPENSATION INSURANCE</v>
      </c>
      <c r="C81" s="11"/>
      <c r="D81" s="7">
        <v>265.27</v>
      </c>
      <c r="E81" s="2"/>
      <c r="F81" s="6">
        <f t="shared" si="13"/>
        <v>1.654913352712087E-3</v>
      </c>
      <c r="G81" s="2"/>
      <c r="H81" s="7">
        <v>1470.7107373076951</v>
      </c>
      <c r="I81" s="2"/>
      <c r="J81" s="6">
        <f t="shared" si="14"/>
        <v>5.2271864930362568E-3</v>
      </c>
      <c r="K81" s="2"/>
      <c r="L81" s="7">
        <f t="shared" si="15"/>
        <v>-1205.4407373076951</v>
      </c>
      <c r="M81" s="2"/>
      <c r="N81" s="6">
        <f t="shared" si="16"/>
        <v>-0.81963142494926833</v>
      </c>
      <c r="O81" s="11"/>
      <c r="P81" s="7">
        <v>7740.05</v>
      </c>
      <c r="Q81" s="2"/>
      <c r="R81" s="6">
        <f t="shared" si="17"/>
        <v>6.4998034577941656E-3</v>
      </c>
      <c r="S81" s="2"/>
      <c r="T81" s="7">
        <v>8801.3449873076952</v>
      </c>
      <c r="U81" s="2"/>
      <c r="V81" s="6">
        <f t="shared" si="18"/>
        <v>4.0538475900139953E-3</v>
      </c>
      <c r="W81" s="2"/>
      <c r="X81" s="7">
        <f t="shared" si="19"/>
        <v>-1061.294987307695</v>
      </c>
      <c r="Y81" s="2"/>
      <c r="Z81" s="6">
        <f t="shared" si="20"/>
        <v>-0.1205832732199652</v>
      </c>
    </row>
    <row r="82" spans="1:26" s="24" customFormat="1" hidden="1" outlineLevel="2" x14ac:dyDescent="0.35">
      <c r="A82" s="29"/>
      <c r="B82" s="11" t="str">
        <f>CONCATENATE("          ", "6113", " - ", "GROUP INSURANCE")</f>
        <v xml:space="preserve">          6113 - GROUP INSURANCE</v>
      </c>
      <c r="C82" s="11"/>
      <c r="D82" s="7">
        <v>5528.62</v>
      </c>
      <c r="E82" s="2"/>
      <c r="F82" s="6">
        <f t="shared" si="13"/>
        <v>3.4490847287937193E-2</v>
      </c>
      <c r="G82" s="2"/>
      <c r="H82" s="7">
        <v>6112.3076923076906</v>
      </c>
      <c r="I82" s="2"/>
      <c r="J82" s="6">
        <f t="shared" si="14"/>
        <v>2.1724307438593146E-2</v>
      </c>
      <c r="K82" s="2"/>
      <c r="L82" s="7">
        <f t="shared" si="15"/>
        <v>-583.68769230769067</v>
      </c>
      <c r="M82" s="2"/>
      <c r="N82" s="6">
        <f t="shared" si="16"/>
        <v>-9.5493833375282916E-2</v>
      </c>
      <c r="O82" s="11"/>
      <c r="P82" s="7">
        <v>38945.040000000001</v>
      </c>
      <c r="Q82" s="2"/>
      <c r="R82" s="6">
        <f t="shared" si="17"/>
        <v>3.2704582742479969E-2</v>
      </c>
      <c r="S82" s="2"/>
      <c r="T82" s="7">
        <v>42172.307692307673</v>
      </c>
      <c r="U82" s="2"/>
      <c r="V82" s="6">
        <f t="shared" si="18"/>
        <v>1.9424316186938413E-2</v>
      </c>
      <c r="W82" s="2"/>
      <c r="X82" s="7">
        <f t="shared" si="19"/>
        <v>-3227.2676923076724</v>
      </c>
      <c r="Y82" s="2"/>
      <c r="Z82" s="6">
        <f t="shared" si="20"/>
        <v>-7.6525755143732235E-2</v>
      </c>
    </row>
    <row r="83" spans="1:26" s="24" customFormat="1" hidden="1" outlineLevel="2" x14ac:dyDescent="0.35">
      <c r="A83" s="29"/>
      <c r="B83" s="11" t="str">
        <f>CONCATENATE("          ", "6114", " - ", "STATE UNEMPLOYMENT INSURANCE")</f>
        <v xml:space="preserve">          6114 - STATE UNEMPLOYMENT INSURANCE</v>
      </c>
      <c r="C83" s="11"/>
      <c r="D83" s="7">
        <v>211.03</v>
      </c>
      <c r="E83" s="2"/>
      <c r="F83" s="6">
        <f t="shared" si="13"/>
        <v>1.3165317028794501E-3</v>
      </c>
      <c r="G83" s="2"/>
      <c r="H83" s="7">
        <v>206.69448199999999</v>
      </c>
      <c r="I83" s="2"/>
      <c r="J83" s="6">
        <f t="shared" si="14"/>
        <v>7.3463161523752653E-4</v>
      </c>
      <c r="K83" s="2"/>
      <c r="L83" s="7">
        <f t="shared" si="15"/>
        <v>4.3355180000000075</v>
      </c>
      <c r="M83" s="2"/>
      <c r="N83" s="6">
        <f t="shared" si="16"/>
        <v>2.0975489805286664E-2</v>
      </c>
      <c r="O83" s="11"/>
      <c r="P83" s="7">
        <v>887.68</v>
      </c>
      <c r="Q83" s="2"/>
      <c r="R83" s="6">
        <f t="shared" si="17"/>
        <v>7.4544034384981038E-4</v>
      </c>
      <c r="S83" s="2"/>
      <c r="T83" s="7">
        <v>1236.945782</v>
      </c>
      <c r="U83" s="2"/>
      <c r="V83" s="6">
        <f t="shared" si="18"/>
        <v>5.6972993156953423E-4</v>
      </c>
      <c r="W83" s="2"/>
      <c r="X83" s="7">
        <f t="shared" si="19"/>
        <v>-349.26578200000006</v>
      </c>
      <c r="Y83" s="2"/>
      <c r="Z83" s="6">
        <f t="shared" si="20"/>
        <v>-0.28236143174786305</v>
      </c>
    </row>
    <row r="84" spans="1:26" s="24" customFormat="1" hidden="1" outlineLevel="2" x14ac:dyDescent="0.35">
      <c r="A84" s="29"/>
      <c r="B84" s="11" t="str">
        <f>CONCATENATE("          ", "6115", " - ", "P.E.R.S.")</f>
        <v xml:space="preserve">          6115 - P.E.R.S.</v>
      </c>
      <c r="C84" s="11"/>
      <c r="D84" s="7">
        <v>2835.08</v>
      </c>
      <c r="E84" s="2"/>
      <c r="F84" s="6">
        <f t="shared" si="13"/>
        <v>1.7686929347483636E-2</v>
      </c>
      <c r="G84" s="2"/>
      <c r="H84" s="7">
        <v>1714.264461538457</v>
      </c>
      <c r="I84" s="2"/>
      <c r="J84" s="6">
        <f t="shared" si="14"/>
        <v>6.0928228859263179E-3</v>
      </c>
      <c r="K84" s="2"/>
      <c r="L84" s="7">
        <f t="shared" si="15"/>
        <v>1120.8155384615429</v>
      </c>
      <c r="M84" s="2"/>
      <c r="N84" s="6">
        <f t="shared" si="16"/>
        <v>0.65381716975901916</v>
      </c>
      <c r="O84" s="11"/>
      <c r="P84" s="7">
        <v>14395.2</v>
      </c>
      <c r="Q84" s="2"/>
      <c r="R84" s="6">
        <f t="shared" si="17"/>
        <v>1.2088548618631479E-2</v>
      </c>
      <c r="S84" s="2"/>
      <c r="T84" s="7">
        <v>10442.404461538459</v>
      </c>
      <c r="U84" s="2"/>
      <c r="V84" s="6">
        <f t="shared" si="18"/>
        <v>4.8097099047254002E-3</v>
      </c>
      <c r="W84" s="2"/>
      <c r="X84" s="7">
        <f t="shared" si="19"/>
        <v>3952.7955384615416</v>
      </c>
      <c r="Y84" s="2"/>
      <c r="Z84" s="6">
        <f t="shared" si="20"/>
        <v>0.37853308143928988</v>
      </c>
    </row>
    <row r="85" spans="1:26" s="24" customFormat="1" hidden="1" outlineLevel="2" x14ac:dyDescent="0.35">
      <c r="A85" s="29"/>
      <c r="B85" s="11" t="str">
        <f>CONCATENATE("          ", "6116", " - ", "EDUCATIONAL BENEFITS")</f>
        <v xml:space="preserve">          6116 - EDUCATIONAL BENEFITS</v>
      </c>
      <c r="C85" s="11"/>
      <c r="D85" s="7"/>
      <c r="E85" s="2"/>
      <c r="F85" s="6">
        <f t="shared" si="13"/>
        <v>0</v>
      </c>
      <c r="G85" s="2"/>
      <c r="H85" s="7">
        <v>0</v>
      </c>
      <c r="I85" s="2"/>
      <c r="J85" s="6">
        <f t="shared" si="14"/>
        <v>0</v>
      </c>
      <c r="K85" s="2"/>
      <c r="L85" s="7">
        <f t="shared" si="15"/>
        <v>0</v>
      </c>
      <c r="M85" s="2"/>
      <c r="N85" s="6">
        <f t="shared" si="16"/>
        <v>0</v>
      </c>
      <c r="O85" s="11"/>
      <c r="P85" s="7"/>
      <c r="Q85" s="2"/>
      <c r="R85" s="6">
        <f t="shared" si="17"/>
        <v>0</v>
      </c>
      <c r="S85" s="2"/>
      <c r="T85" s="7">
        <v>0</v>
      </c>
      <c r="U85" s="2"/>
      <c r="V85" s="6">
        <f t="shared" si="18"/>
        <v>0</v>
      </c>
      <c r="W85" s="2"/>
      <c r="X85" s="7">
        <f t="shared" si="19"/>
        <v>0</v>
      </c>
      <c r="Y85" s="2"/>
      <c r="Z85" s="6">
        <f t="shared" si="20"/>
        <v>0</v>
      </c>
    </row>
    <row r="86" spans="1:26" s="24" customFormat="1" hidden="1" outlineLevel="2" x14ac:dyDescent="0.35">
      <c r="A86" s="29"/>
      <c r="B86" s="11" t="str">
        <f>CONCATENATE("          ", "6118", " - ", "VACATION")</f>
        <v xml:space="preserve">          6118 - VACATION</v>
      </c>
      <c r="C86" s="11"/>
      <c r="D86" s="7">
        <v>1729.43</v>
      </c>
      <c r="E86" s="2"/>
      <c r="F86" s="6">
        <f t="shared" si="13"/>
        <v>1.0789221546276869E-2</v>
      </c>
      <c r="G86" s="2"/>
      <c r="H86" s="7">
        <v>1243.8653846153809</v>
      </c>
      <c r="I86" s="2"/>
      <c r="J86" s="6">
        <f t="shared" si="14"/>
        <v>4.4209348396540386E-3</v>
      </c>
      <c r="K86" s="2"/>
      <c r="L86" s="7">
        <f t="shared" si="15"/>
        <v>485.56461538461917</v>
      </c>
      <c r="M86" s="2"/>
      <c r="N86" s="6">
        <f t="shared" si="16"/>
        <v>0.39036749586432296</v>
      </c>
      <c r="O86" s="11"/>
      <c r="P86" s="7">
        <v>11996.23</v>
      </c>
      <c r="Q86" s="2"/>
      <c r="R86" s="6">
        <f t="shared" si="17"/>
        <v>1.0073983660892901E-2</v>
      </c>
      <c r="S86" s="2"/>
      <c r="T86" s="7">
        <v>7566.3653846153757</v>
      </c>
      <c r="U86" s="2"/>
      <c r="V86" s="6">
        <f t="shared" si="18"/>
        <v>3.4850232690368725E-3</v>
      </c>
      <c r="W86" s="2"/>
      <c r="X86" s="7">
        <f t="shared" si="19"/>
        <v>4429.8646153846239</v>
      </c>
      <c r="Y86" s="2"/>
      <c r="Z86" s="6">
        <f t="shared" si="20"/>
        <v>0.5854679744110467</v>
      </c>
    </row>
    <row r="87" spans="1:26" s="24" customFormat="1" hidden="1" outlineLevel="2" x14ac:dyDescent="0.35">
      <c r="A87" s="29"/>
      <c r="B87" s="11" t="str">
        <f>CONCATENATE("          ", "6119", " - ", "SICK LEAVE")</f>
        <v xml:space="preserve">          6119 - SICK LEAVE</v>
      </c>
      <c r="C87" s="11"/>
      <c r="D87" s="7">
        <v>1220.93</v>
      </c>
      <c r="E87" s="2"/>
      <c r="F87" s="6">
        <f t="shared" si="13"/>
        <v>7.6168935790958967E-3</v>
      </c>
      <c r="G87" s="2"/>
      <c r="H87" s="7">
        <v>1892.0410846153809</v>
      </c>
      <c r="I87" s="2"/>
      <c r="J87" s="6">
        <f t="shared" si="14"/>
        <v>6.724674914576379E-3</v>
      </c>
      <c r="K87" s="2"/>
      <c r="L87" s="7">
        <f t="shared" si="15"/>
        <v>-671.11108461538083</v>
      </c>
      <c r="M87" s="2"/>
      <c r="N87" s="6">
        <f t="shared" si="16"/>
        <v>-0.35470217326269426</v>
      </c>
      <c r="O87" s="11"/>
      <c r="P87" s="7">
        <v>9025.4</v>
      </c>
      <c r="Q87" s="2"/>
      <c r="R87" s="6">
        <f t="shared" si="17"/>
        <v>7.5791921406160763E-3</v>
      </c>
      <c r="S87" s="2"/>
      <c r="T87" s="7">
        <v>11427.346084615363</v>
      </c>
      <c r="U87" s="2"/>
      <c r="V87" s="6">
        <f t="shared" si="18"/>
        <v>5.2633682070385981E-3</v>
      </c>
      <c r="W87" s="2"/>
      <c r="X87" s="7">
        <f t="shared" si="19"/>
        <v>-2401.9460846153634</v>
      </c>
      <c r="Y87" s="2"/>
      <c r="Z87" s="6">
        <f t="shared" si="20"/>
        <v>-0.21019281877260229</v>
      </c>
    </row>
    <row r="88" spans="1:26" s="24" customFormat="1" hidden="1" outlineLevel="2" x14ac:dyDescent="0.35">
      <c r="A88" s="29"/>
      <c r="B88" s="11" t="str">
        <f>CONCATENATE("          ", "6156", " - ", "EMPLOYEE MEALS")</f>
        <v xml:space="preserve">          6156 - EMPLOYEE MEALS</v>
      </c>
      <c r="C88" s="11"/>
      <c r="D88" s="7">
        <v>163.71</v>
      </c>
      <c r="E88" s="2"/>
      <c r="F88" s="6">
        <f t="shared" si="13"/>
        <v>1.0213211632393252E-3</v>
      </c>
      <c r="G88" s="2"/>
      <c r="H88" s="7">
        <v>875</v>
      </c>
      <c r="I88" s="2"/>
      <c r="J88" s="6">
        <f t="shared" si="14"/>
        <v>3.1099169030203511E-3</v>
      </c>
      <c r="K88" s="2"/>
      <c r="L88" s="7">
        <f t="shared" si="15"/>
        <v>-711.29</v>
      </c>
      <c r="M88" s="2"/>
      <c r="N88" s="6">
        <f t="shared" si="16"/>
        <v>-0.81290285714285715</v>
      </c>
      <c r="O88" s="11"/>
      <c r="P88" s="7">
        <v>3097.32</v>
      </c>
      <c r="Q88" s="2"/>
      <c r="R88" s="6">
        <f t="shared" si="17"/>
        <v>2.6010130743205828E-3</v>
      </c>
      <c r="S88" s="2"/>
      <c r="T88" s="7">
        <v>6125</v>
      </c>
      <c r="U88" s="2"/>
      <c r="V88" s="6">
        <f t="shared" si="18"/>
        <v>2.8211388741882604E-3</v>
      </c>
      <c r="W88" s="2"/>
      <c r="X88" s="7">
        <f t="shared" si="19"/>
        <v>-3027.68</v>
      </c>
      <c r="Y88" s="2"/>
      <c r="Z88" s="6">
        <f t="shared" si="20"/>
        <v>-0.4943151020408163</v>
      </c>
    </row>
    <row r="89" spans="1:26" s="28" customFormat="1" outlineLevel="1" collapsed="1" x14ac:dyDescent="0.35">
      <c r="A89" s="27"/>
      <c r="B89" s="14" t="str">
        <f>CONCATENATE("     ","*Payroll                                          ")</f>
        <v xml:space="preserve">     *Payroll                                          </v>
      </c>
      <c r="C89" s="14"/>
      <c r="D89" s="1">
        <f>SUM(OSRRefD22_1x_0)</f>
        <v>45208.939999999995</v>
      </c>
      <c r="E89" s="1"/>
      <c r="F89" s="5">
        <f t="shared" ref="F89:F99" si="21">IF(D$12=0,0,D89/D$12)</f>
        <v>0.282040481275529</v>
      </c>
      <c r="G89" s="1"/>
      <c r="H89" s="1">
        <f>SUM(OSRRefH22_1x_0)</f>
        <v>76882.684423076949</v>
      </c>
      <c r="I89" s="1"/>
      <c r="J89" s="5">
        <f t="shared" ref="J89:J99" si="22">IF(H$12=0,0,H89/H$12)</f>
        <v>0.27325572552789312</v>
      </c>
      <c r="K89" s="1"/>
      <c r="L89" s="1">
        <f t="shared" ref="L89:L99" si="23">+D89-H89</f>
        <v>-31673.744423076954</v>
      </c>
      <c r="M89" s="1"/>
      <c r="N89" s="5">
        <f t="shared" ref="N89:N99" si="24">IF(H89=0,0,L89/H89)</f>
        <v>-0.41197500660590652</v>
      </c>
      <c r="O89" s="14"/>
      <c r="P89" s="1">
        <f>SUM(OSRRefP22_1x_0)</f>
        <v>266422.78999999998</v>
      </c>
      <c r="Q89" s="1"/>
      <c r="R89" s="5">
        <f t="shared" ref="R89:R99" si="25">IF(P$12=0,0,P89/P$12)</f>
        <v>0.22373185853801575</v>
      </c>
      <c r="S89" s="1"/>
      <c r="T89" s="1">
        <f>SUM(OSRRefT22_1x_0)</f>
        <v>459844.68442307692</v>
      </c>
      <c r="U89" s="1"/>
      <c r="V89" s="5">
        <f t="shared" ref="V89:V99" si="26">IF(T$12=0,0,T89/T$12)</f>
        <v>0.21180174943914695</v>
      </c>
      <c r="W89" s="1"/>
      <c r="X89" s="1">
        <f t="shared" ref="X89:X99" si="27">+P89-T89</f>
        <v>-193421.89442307694</v>
      </c>
      <c r="Y89" s="1"/>
      <c r="Z89" s="5">
        <f t="shared" ref="Z89:Z99" si="28">IF(T89=0,0,X89/T89)</f>
        <v>-0.42062439987915673</v>
      </c>
    </row>
    <row r="90" spans="1:26" s="24" customFormat="1" hidden="1" outlineLevel="2" x14ac:dyDescent="0.35">
      <c r="A90" s="29"/>
      <c r="B90" s="11" t="str">
        <f>CONCATENATE("          ", "6001", " - ", "ADMINISTRATIVE SALARIES")</f>
        <v xml:space="preserve">          6001 - ADMINISTRATIVE SALARIES</v>
      </c>
      <c r="C90" s="11"/>
      <c r="D90" s="7"/>
      <c r="E90" s="2"/>
      <c r="F90" s="6">
        <f t="shared" si="21"/>
        <v>0</v>
      </c>
      <c r="G90" s="2"/>
      <c r="H90" s="7">
        <v>0</v>
      </c>
      <c r="I90" s="2"/>
      <c r="J90" s="6">
        <f t="shared" si="22"/>
        <v>0</v>
      </c>
      <c r="K90" s="2"/>
      <c r="L90" s="7">
        <f t="shared" si="23"/>
        <v>0</v>
      </c>
      <c r="M90" s="2"/>
      <c r="N90" s="6">
        <f t="shared" si="24"/>
        <v>0</v>
      </c>
      <c r="O90" s="11"/>
      <c r="P90" s="7"/>
      <c r="Q90" s="2"/>
      <c r="R90" s="6">
        <f t="shared" si="25"/>
        <v>0</v>
      </c>
      <c r="S90" s="2"/>
      <c r="T90" s="7">
        <v>0</v>
      </c>
      <c r="U90" s="2"/>
      <c r="V90" s="6">
        <f t="shared" si="26"/>
        <v>0</v>
      </c>
      <c r="W90" s="2"/>
      <c r="X90" s="7">
        <f t="shared" si="27"/>
        <v>0</v>
      </c>
      <c r="Y90" s="2"/>
      <c r="Z90" s="6">
        <f t="shared" si="28"/>
        <v>0</v>
      </c>
    </row>
    <row r="91" spans="1:26" s="24" customFormat="1" hidden="1" outlineLevel="2" x14ac:dyDescent="0.35">
      <c r="A91" s="29"/>
      <c r="B91" s="11" t="str">
        <f>CONCATENATE("          ", "6002", " - ", "STAFF SALARIES")</f>
        <v xml:space="preserve">          6002 - STAFF SALARIES</v>
      </c>
      <c r="C91" s="11"/>
      <c r="D91" s="7">
        <v>23210.36</v>
      </c>
      <c r="E91" s="2"/>
      <c r="F91" s="6">
        <f t="shared" si="21"/>
        <v>0.14480014583350745</v>
      </c>
      <c r="G91" s="2"/>
      <c r="H91" s="7">
        <v>17939.976923076949</v>
      </c>
      <c r="I91" s="2"/>
      <c r="J91" s="6">
        <f t="shared" si="22"/>
        <v>6.3762099968996608E-2</v>
      </c>
      <c r="K91" s="2"/>
      <c r="L91" s="7">
        <f t="shared" si="23"/>
        <v>5270.3830769230517</v>
      </c>
      <c r="M91" s="2"/>
      <c r="N91" s="6">
        <f t="shared" si="24"/>
        <v>0.29377869879774127</v>
      </c>
      <c r="O91" s="11"/>
      <c r="P91" s="7">
        <v>126903.55</v>
      </c>
      <c r="Q91" s="2"/>
      <c r="R91" s="6">
        <f t="shared" si="25"/>
        <v>0.10656883781065431</v>
      </c>
      <c r="S91" s="2"/>
      <c r="T91" s="7">
        <v>109280.97692307693</v>
      </c>
      <c r="U91" s="2"/>
      <c r="V91" s="6">
        <f t="shared" si="26"/>
        <v>5.0334173421544899E-2</v>
      </c>
      <c r="W91" s="2"/>
      <c r="X91" s="7">
        <f t="shared" si="27"/>
        <v>17622.573076923072</v>
      </c>
      <c r="Y91" s="2"/>
      <c r="Z91" s="6">
        <f t="shared" si="28"/>
        <v>0.16125929299961905</v>
      </c>
    </row>
    <row r="92" spans="1:26" s="24" customFormat="1" hidden="1" outlineLevel="2" x14ac:dyDescent="0.35">
      <c r="A92" s="29"/>
      <c r="B92" s="11" t="str">
        <f>CONCATENATE("          ", "6003", " - ", "STAFF HOURLY-9 MONTH")</f>
        <v xml:space="preserve">          6003 - STAFF HOURLY-9 MONTH</v>
      </c>
      <c r="C92" s="11"/>
      <c r="D92" s="7"/>
      <c r="E92" s="2"/>
      <c r="F92" s="6">
        <f t="shared" si="21"/>
        <v>0</v>
      </c>
      <c r="G92" s="2"/>
      <c r="H92" s="7">
        <v>0</v>
      </c>
      <c r="I92" s="2"/>
      <c r="J92" s="6">
        <f t="shared" si="22"/>
        <v>0</v>
      </c>
      <c r="K92" s="2"/>
      <c r="L92" s="7">
        <f t="shared" si="23"/>
        <v>0</v>
      </c>
      <c r="M92" s="2"/>
      <c r="N92" s="6">
        <f t="shared" si="24"/>
        <v>0</v>
      </c>
      <c r="O92" s="11"/>
      <c r="P92" s="7"/>
      <c r="Q92" s="2"/>
      <c r="R92" s="6">
        <f t="shared" si="25"/>
        <v>0</v>
      </c>
      <c r="S92" s="2"/>
      <c r="T92" s="7">
        <v>0</v>
      </c>
      <c r="U92" s="2"/>
      <c r="V92" s="6">
        <f t="shared" si="26"/>
        <v>0</v>
      </c>
      <c r="W92" s="2"/>
      <c r="X92" s="7">
        <f t="shared" si="27"/>
        <v>0</v>
      </c>
      <c r="Y92" s="2"/>
      <c r="Z92" s="6">
        <f t="shared" si="28"/>
        <v>0</v>
      </c>
    </row>
    <row r="93" spans="1:26" s="24" customFormat="1" hidden="1" outlineLevel="2" x14ac:dyDescent="0.35">
      <c r="A93" s="29"/>
      <c r="B93" s="11" t="str">
        <f>CONCATENATE("          ", "6004", " - ", "STAFF HOURLY")</f>
        <v xml:space="preserve">          6004 - STAFF HOURLY</v>
      </c>
      <c r="C93" s="11"/>
      <c r="D93" s="7">
        <v>3770.92</v>
      </c>
      <c r="E93" s="2"/>
      <c r="F93" s="6">
        <f t="shared" si="21"/>
        <v>2.3525260527044383E-2</v>
      </c>
      <c r="G93" s="2"/>
      <c r="H93" s="7">
        <v>8570.8875000000007</v>
      </c>
      <c r="I93" s="2"/>
      <c r="J93" s="6">
        <f t="shared" si="22"/>
        <v>3.0462569040155249E-2</v>
      </c>
      <c r="K93" s="2"/>
      <c r="L93" s="7">
        <f t="shared" si="23"/>
        <v>-4799.9675000000007</v>
      </c>
      <c r="M93" s="2"/>
      <c r="N93" s="6">
        <f t="shared" si="24"/>
        <v>-0.56003156032557888</v>
      </c>
      <c r="O93" s="11"/>
      <c r="P93" s="7">
        <v>45662.67</v>
      </c>
      <c r="Q93" s="2"/>
      <c r="R93" s="6">
        <f t="shared" si="25"/>
        <v>3.8345796262054366E-2</v>
      </c>
      <c r="S93" s="2"/>
      <c r="T93" s="7">
        <v>51841.387499999997</v>
      </c>
      <c r="U93" s="2"/>
      <c r="V93" s="6">
        <f t="shared" si="26"/>
        <v>2.3877837317242016E-2</v>
      </c>
      <c r="W93" s="2"/>
      <c r="X93" s="7">
        <f t="shared" si="27"/>
        <v>-6178.7174999999988</v>
      </c>
      <c r="Y93" s="2"/>
      <c r="Z93" s="6">
        <f t="shared" si="28"/>
        <v>-0.11918503338669319</v>
      </c>
    </row>
    <row r="94" spans="1:26" s="24" customFormat="1" hidden="1" outlineLevel="2" x14ac:dyDescent="0.35">
      <c r="A94" s="29"/>
      <c r="B94" s="11" t="str">
        <f>CONCATENATE("          ", "6005", " - ", "TEMPORARY WAGES-HOURLY")</f>
        <v xml:space="preserve">          6005 - TEMPORARY WAGES-HOURLY</v>
      </c>
      <c r="C94" s="11"/>
      <c r="D94" s="7">
        <v>5750.61</v>
      </c>
      <c r="E94" s="2"/>
      <c r="F94" s="6">
        <f t="shared" si="21"/>
        <v>3.5875754043953913E-2</v>
      </c>
      <c r="G94" s="2"/>
      <c r="H94" s="7">
        <v>0</v>
      </c>
      <c r="I94" s="2"/>
      <c r="J94" s="6">
        <f t="shared" si="22"/>
        <v>0</v>
      </c>
      <c r="K94" s="2"/>
      <c r="L94" s="7">
        <f t="shared" si="23"/>
        <v>5750.61</v>
      </c>
      <c r="M94" s="2"/>
      <c r="N94" s="6">
        <f t="shared" si="24"/>
        <v>0</v>
      </c>
      <c r="O94" s="11"/>
      <c r="P94" s="7">
        <v>37275.939999999995</v>
      </c>
      <c r="Q94" s="2"/>
      <c r="R94" s="6">
        <f t="shared" si="25"/>
        <v>3.1302935214181801E-2</v>
      </c>
      <c r="S94" s="2"/>
      <c r="T94" s="7">
        <v>0</v>
      </c>
      <c r="U94" s="2"/>
      <c r="V94" s="6">
        <f t="shared" si="26"/>
        <v>0</v>
      </c>
      <c r="W94" s="2"/>
      <c r="X94" s="7">
        <f t="shared" si="27"/>
        <v>37275.939999999995</v>
      </c>
      <c r="Y94" s="2"/>
      <c r="Z94" s="6">
        <f t="shared" si="28"/>
        <v>0</v>
      </c>
    </row>
    <row r="95" spans="1:26" s="24" customFormat="1" hidden="1" outlineLevel="2" x14ac:dyDescent="0.35">
      <c r="A95" s="29"/>
      <c r="B95" s="11" t="str">
        <f>CONCATENATE("          ", "6006", " - ", "TEMPORARY PART TIME")</f>
        <v xml:space="preserve">          6006 - TEMPORARY PART TIME</v>
      </c>
      <c r="C95" s="11"/>
      <c r="D95" s="7"/>
      <c r="E95" s="2"/>
      <c r="F95" s="6">
        <f t="shared" si="21"/>
        <v>0</v>
      </c>
      <c r="G95" s="2"/>
      <c r="H95" s="7">
        <v>0</v>
      </c>
      <c r="I95" s="2"/>
      <c r="J95" s="6">
        <f t="shared" si="22"/>
        <v>0</v>
      </c>
      <c r="K95" s="2"/>
      <c r="L95" s="7">
        <f t="shared" si="23"/>
        <v>0</v>
      </c>
      <c r="M95" s="2"/>
      <c r="N95" s="6">
        <f t="shared" si="24"/>
        <v>0</v>
      </c>
      <c r="O95" s="11"/>
      <c r="P95" s="7"/>
      <c r="Q95" s="2"/>
      <c r="R95" s="6">
        <f t="shared" si="25"/>
        <v>0</v>
      </c>
      <c r="S95" s="2"/>
      <c r="T95" s="7">
        <v>0</v>
      </c>
      <c r="U95" s="2"/>
      <c r="V95" s="6">
        <f t="shared" si="26"/>
        <v>0</v>
      </c>
      <c r="W95" s="2"/>
      <c r="X95" s="7">
        <f t="shared" si="27"/>
        <v>0</v>
      </c>
      <c r="Y95" s="2"/>
      <c r="Z95" s="6">
        <f t="shared" si="28"/>
        <v>0</v>
      </c>
    </row>
    <row r="96" spans="1:26" s="24" customFormat="1" hidden="1" outlineLevel="2" x14ac:dyDescent="0.35">
      <c r="A96" s="29"/>
      <c r="B96" s="11" t="str">
        <f>CONCATENATE("          ", "6007", " - ", "STUDENT HOURLY")</f>
        <v xml:space="preserve">          6007 - STUDENT HOURLY</v>
      </c>
      <c r="C96" s="11"/>
      <c r="D96" s="7">
        <v>11914.53</v>
      </c>
      <c r="E96" s="2"/>
      <c r="F96" s="6">
        <f t="shared" si="21"/>
        <v>7.4329983745952219E-2</v>
      </c>
      <c r="G96" s="2"/>
      <c r="H96" s="7">
        <v>0</v>
      </c>
      <c r="I96" s="2"/>
      <c r="J96" s="6">
        <f t="shared" si="22"/>
        <v>0</v>
      </c>
      <c r="K96" s="2"/>
      <c r="L96" s="7">
        <f t="shared" si="23"/>
        <v>11914.53</v>
      </c>
      <c r="M96" s="2"/>
      <c r="N96" s="6">
        <f t="shared" si="24"/>
        <v>0</v>
      </c>
      <c r="O96" s="11"/>
      <c r="P96" s="7">
        <v>51087.66</v>
      </c>
      <c r="Q96" s="2"/>
      <c r="R96" s="6">
        <f t="shared" si="25"/>
        <v>4.2901499230445887E-2</v>
      </c>
      <c r="S96" s="2"/>
      <c r="T96" s="7">
        <v>80431.5</v>
      </c>
      <c r="U96" s="2"/>
      <c r="V96" s="6">
        <f t="shared" si="26"/>
        <v>3.7046274507636423E-2</v>
      </c>
      <c r="W96" s="2"/>
      <c r="X96" s="7">
        <f t="shared" si="27"/>
        <v>-29343.839999999997</v>
      </c>
      <c r="Y96" s="2"/>
      <c r="Z96" s="6">
        <f t="shared" si="28"/>
        <v>-0.36483019712426096</v>
      </c>
    </row>
    <row r="97" spans="1:26" s="24" customFormat="1" hidden="1" outlineLevel="2" x14ac:dyDescent="0.35">
      <c r="A97" s="29"/>
      <c r="B97" s="11" t="str">
        <f>CONCATENATE("          ", "6008", " - ", "STUDENT HOURLY-FICA EXEMPT")</f>
        <v xml:space="preserve">          6008 - STUDENT HOURLY-FICA EXEMPT</v>
      </c>
      <c r="C97" s="11"/>
      <c r="D97" s="7">
        <v>562.52</v>
      </c>
      <c r="E97" s="2"/>
      <c r="F97" s="6">
        <f t="shared" si="21"/>
        <v>3.5093371250710719E-3</v>
      </c>
      <c r="G97" s="2"/>
      <c r="H97" s="7">
        <v>50371.82</v>
      </c>
      <c r="I97" s="2"/>
      <c r="J97" s="6">
        <f t="shared" si="22"/>
        <v>0.17903105651874124</v>
      </c>
      <c r="K97" s="2"/>
      <c r="L97" s="7">
        <f t="shared" si="23"/>
        <v>-49809.3</v>
      </c>
      <c r="M97" s="2"/>
      <c r="N97" s="6">
        <f t="shared" si="24"/>
        <v>-0.98883264491932199</v>
      </c>
      <c r="O97" s="11"/>
      <c r="P97" s="7">
        <v>5492.97</v>
      </c>
      <c r="Q97" s="2"/>
      <c r="R97" s="6">
        <f t="shared" si="25"/>
        <v>4.6127900206794038E-3</v>
      </c>
      <c r="S97" s="2"/>
      <c r="T97" s="7">
        <v>218290.82</v>
      </c>
      <c r="U97" s="2"/>
      <c r="V97" s="6">
        <f t="shared" si="26"/>
        <v>0.10054346419272363</v>
      </c>
      <c r="W97" s="2"/>
      <c r="X97" s="7">
        <f t="shared" si="27"/>
        <v>-212797.85</v>
      </c>
      <c r="Y97" s="2"/>
      <c r="Z97" s="6">
        <f t="shared" si="28"/>
        <v>-0.97483645899538973</v>
      </c>
    </row>
    <row r="98" spans="1:26" s="24" customFormat="1" hidden="1" outlineLevel="2" x14ac:dyDescent="0.35">
      <c r="A98" s="29"/>
      <c r="B98" s="11" t="str">
        <f>CONCATENATE("          ", "6009", " - ", "TEMPORARY-SEASONAL")</f>
        <v xml:space="preserve">          6009 - TEMPORARY-SEASONAL</v>
      </c>
      <c r="C98" s="11"/>
      <c r="D98" s="7"/>
      <c r="E98" s="2"/>
      <c r="F98" s="6">
        <f t="shared" si="21"/>
        <v>0</v>
      </c>
      <c r="G98" s="2"/>
      <c r="H98" s="7">
        <v>0</v>
      </c>
      <c r="I98" s="2"/>
      <c r="J98" s="6">
        <f t="shared" si="22"/>
        <v>0</v>
      </c>
      <c r="K98" s="2"/>
      <c r="L98" s="7">
        <f t="shared" si="23"/>
        <v>0</v>
      </c>
      <c r="M98" s="2"/>
      <c r="N98" s="6">
        <f t="shared" si="24"/>
        <v>0</v>
      </c>
      <c r="O98" s="11"/>
      <c r="P98" s="7"/>
      <c r="Q98" s="2"/>
      <c r="R98" s="6">
        <f t="shared" si="25"/>
        <v>0</v>
      </c>
      <c r="S98" s="2"/>
      <c r="T98" s="7">
        <v>0</v>
      </c>
      <c r="U98" s="2"/>
      <c r="V98" s="6">
        <f t="shared" si="26"/>
        <v>0</v>
      </c>
      <c r="W98" s="2"/>
      <c r="X98" s="7">
        <f t="shared" si="27"/>
        <v>0</v>
      </c>
      <c r="Y98" s="2"/>
      <c r="Z98" s="6">
        <f t="shared" si="28"/>
        <v>0</v>
      </c>
    </row>
    <row r="99" spans="1:26" s="24" customFormat="1" hidden="1" outlineLevel="2" x14ac:dyDescent="0.35">
      <c r="A99" s="29"/>
      <c r="B99" s="11" t="str">
        <f>CONCATENATE("          ", "6010", " - ", "GRATUITY")</f>
        <v xml:space="preserve">          6010 - GRATUITY</v>
      </c>
      <c r="C99" s="11"/>
      <c r="D99" s="7"/>
      <c r="E99" s="2"/>
      <c r="F99" s="6">
        <f t="shared" si="21"/>
        <v>0</v>
      </c>
      <c r="G99" s="2"/>
      <c r="H99" s="7">
        <v>0</v>
      </c>
      <c r="I99" s="2"/>
      <c r="J99" s="6">
        <f t="shared" si="22"/>
        <v>0</v>
      </c>
      <c r="K99" s="2"/>
      <c r="L99" s="7">
        <f t="shared" si="23"/>
        <v>0</v>
      </c>
      <c r="M99" s="2"/>
      <c r="N99" s="6">
        <f t="shared" si="24"/>
        <v>0</v>
      </c>
      <c r="O99" s="11"/>
      <c r="P99" s="7"/>
      <c r="Q99" s="2"/>
      <c r="R99" s="6">
        <f t="shared" si="25"/>
        <v>0</v>
      </c>
      <c r="S99" s="2"/>
      <c r="T99" s="7">
        <v>0</v>
      </c>
      <c r="U99" s="2"/>
      <c r="V99" s="6">
        <f t="shared" si="26"/>
        <v>0</v>
      </c>
      <c r="W99" s="2"/>
      <c r="X99" s="7">
        <f t="shared" si="27"/>
        <v>0</v>
      </c>
      <c r="Y99" s="2"/>
      <c r="Z99" s="6">
        <f t="shared" si="28"/>
        <v>0</v>
      </c>
    </row>
    <row r="100" spans="1:26" s="28" customFormat="1" outlineLevel="1" collapsed="1" x14ac:dyDescent="0.35">
      <c r="A100" s="27"/>
      <c r="B100" s="14" t="str">
        <f>CONCATENATE("     ","Advertising/Promo                                 ")</f>
        <v xml:space="preserve">     Advertising/Promo                                 </v>
      </c>
      <c r="C100" s="14"/>
      <c r="D100" s="1">
        <f>SUM(OSRRefD22_2x_0)</f>
        <v>637.52</v>
      </c>
      <c r="E100" s="1"/>
      <c r="F100" s="5">
        <f t="shared" ref="F100:F114" si="29">IF(D$12=0,0,D100/D$12)</f>
        <v>3.9772321054812442E-3</v>
      </c>
      <c r="G100" s="1"/>
      <c r="H100" s="1">
        <f>SUM(OSRRefH22_2x_0)</f>
        <v>1130</v>
      </c>
      <c r="I100" s="1"/>
      <c r="J100" s="5">
        <f t="shared" ref="J100:J114" si="30">IF(H$12=0,0,H100/H$12)</f>
        <v>4.0162355433291394E-3</v>
      </c>
      <c r="K100" s="1"/>
      <c r="L100" s="1">
        <f t="shared" ref="L100:L114" si="31">+D100-H100</f>
        <v>-492.48</v>
      </c>
      <c r="M100" s="1"/>
      <c r="N100" s="5">
        <f t="shared" ref="N100:N114" si="32">IF(H100=0,0,L100/H100)</f>
        <v>-0.43582300884955755</v>
      </c>
      <c r="O100" s="14"/>
      <c r="P100" s="1">
        <f>SUM(OSRRefP22_2x_0)</f>
        <v>13684.87</v>
      </c>
      <c r="Q100" s="1"/>
      <c r="R100" s="5">
        <f t="shared" ref="R100:R114" si="33">IF(P$12=0,0,P100/P$12)</f>
        <v>1.1492040147733367E-2</v>
      </c>
      <c r="S100" s="1"/>
      <c r="T100" s="1">
        <f>SUM(OSRRefT22_2x_0)</f>
        <v>5410</v>
      </c>
      <c r="U100" s="1"/>
      <c r="V100" s="5">
        <f t="shared" ref="V100:V114" si="34">IF(T$12=0,0,T100/T$12)</f>
        <v>2.491814091323835E-3</v>
      </c>
      <c r="W100" s="1"/>
      <c r="X100" s="1">
        <f t="shared" ref="X100:X114" si="35">+P100-T100</f>
        <v>8274.8700000000008</v>
      </c>
      <c r="Y100" s="1"/>
      <c r="Z100" s="5">
        <f t="shared" ref="Z100:Z114" si="36">IF(T100=0,0,X100/T100)</f>
        <v>1.529550831792976</v>
      </c>
    </row>
    <row r="101" spans="1:26" s="24" customFormat="1" hidden="1" outlineLevel="2" x14ac:dyDescent="0.35">
      <c r="A101" s="29"/>
      <c r="B101" s="11" t="str">
        <f>CONCATENATE("          ", "6362", " - ", "ADVERTISING EXPENSE")</f>
        <v xml:space="preserve">          6362 - ADVERTISING EXPENSE</v>
      </c>
      <c r="C101" s="11"/>
      <c r="D101" s="7">
        <v>637.52</v>
      </c>
      <c r="E101" s="2"/>
      <c r="F101" s="6">
        <f t="shared" si="29"/>
        <v>3.9772321054812442E-3</v>
      </c>
      <c r="G101" s="2"/>
      <c r="H101" s="7">
        <v>1130</v>
      </c>
      <c r="I101" s="2"/>
      <c r="J101" s="6">
        <f t="shared" si="30"/>
        <v>4.0162355433291394E-3</v>
      </c>
      <c r="K101" s="2"/>
      <c r="L101" s="7">
        <f t="shared" si="31"/>
        <v>-492.48</v>
      </c>
      <c r="M101" s="2"/>
      <c r="N101" s="6">
        <f t="shared" si="32"/>
        <v>-0.43582300884955755</v>
      </c>
      <c r="O101" s="11"/>
      <c r="P101" s="7">
        <v>13684.87</v>
      </c>
      <c r="Q101" s="2"/>
      <c r="R101" s="6">
        <f t="shared" si="33"/>
        <v>1.1492040147733367E-2</v>
      </c>
      <c r="S101" s="2"/>
      <c r="T101" s="7">
        <v>5410</v>
      </c>
      <c r="U101" s="2"/>
      <c r="V101" s="6">
        <f t="shared" si="34"/>
        <v>2.491814091323835E-3</v>
      </c>
      <c r="W101" s="2"/>
      <c r="X101" s="7">
        <f t="shared" si="35"/>
        <v>8274.8700000000008</v>
      </c>
      <c r="Y101" s="2"/>
      <c r="Z101" s="6">
        <f t="shared" si="36"/>
        <v>1.529550831792976</v>
      </c>
    </row>
    <row r="102" spans="1:26" s="28" customFormat="1" outlineLevel="1" collapsed="1" x14ac:dyDescent="0.35">
      <c r="A102" s="27"/>
      <c r="B102" s="14" t="str">
        <f>CONCATENATE("     ","Bad Debts/Over/Short                              ")</f>
        <v xml:space="preserve">     Bad Debts/Over/Short                              </v>
      </c>
      <c r="C102" s="14"/>
      <c r="D102" s="1">
        <f>SUM(OSRRefD22_3x_0)</f>
        <v>-0.41</v>
      </c>
      <c r="E102" s="1"/>
      <c r="F102" s="5">
        <f t="shared" si="29"/>
        <v>-2.5578258929089445E-6</v>
      </c>
      <c r="G102" s="1"/>
      <c r="H102" s="1">
        <f>SUM(OSRRefH22_3x_0)</f>
        <v>10</v>
      </c>
      <c r="I102" s="1"/>
      <c r="J102" s="5">
        <f t="shared" si="30"/>
        <v>3.5541907463089729E-5</v>
      </c>
      <c r="K102" s="1"/>
      <c r="L102" s="1">
        <f t="shared" si="31"/>
        <v>-10.41</v>
      </c>
      <c r="M102" s="1"/>
      <c r="N102" s="5">
        <f t="shared" si="32"/>
        <v>-1.0409999999999999</v>
      </c>
      <c r="O102" s="14"/>
      <c r="P102" s="1">
        <f>SUM(OSRRefP22_3x_0)</f>
        <v>-1.8</v>
      </c>
      <c r="Q102" s="1"/>
      <c r="R102" s="5">
        <f t="shared" si="33"/>
        <v>-1.511572434807204E-6</v>
      </c>
      <c r="S102" s="1"/>
      <c r="T102" s="1">
        <f>SUM(OSRRefT22_3x_0)</f>
        <v>70</v>
      </c>
      <c r="U102" s="1"/>
      <c r="V102" s="5">
        <f t="shared" si="34"/>
        <v>3.2241587133580122E-5</v>
      </c>
      <c r="W102" s="1"/>
      <c r="X102" s="1">
        <f t="shared" si="35"/>
        <v>-71.8</v>
      </c>
      <c r="Y102" s="1"/>
      <c r="Z102" s="5">
        <f t="shared" si="36"/>
        <v>-1.0257142857142856</v>
      </c>
    </row>
    <row r="103" spans="1:26" s="24" customFormat="1" hidden="1" outlineLevel="2" x14ac:dyDescent="0.35">
      <c r="A103" s="29"/>
      <c r="B103" s="11" t="str">
        <f>CONCATENATE("          ", "6272", " - ", "CASH (OVER/SHORT)")</f>
        <v xml:space="preserve">          6272 - CASH (OVER/SHORT)</v>
      </c>
      <c r="C103" s="11"/>
      <c r="D103" s="7">
        <v>-0.41</v>
      </c>
      <c r="E103" s="2"/>
      <c r="F103" s="6">
        <f t="shared" si="29"/>
        <v>-2.5578258929089445E-6</v>
      </c>
      <c r="G103" s="2"/>
      <c r="H103" s="7">
        <v>10</v>
      </c>
      <c r="I103" s="2"/>
      <c r="J103" s="6">
        <f t="shared" si="30"/>
        <v>3.5541907463089729E-5</v>
      </c>
      <c r="K103" s="2"/>
      <c r="L103" s="7">
        <f t="shared" si="31"/>
        <v>-10.41</v>
      </c>
      <c r="M103" s="2"/>
      <c r="N103" s="6">
        <f t="shared" si="32"/>
        <v>-1.0409999999999999</v>
      </c>
      <c r="O103" s="11"/>
      <c r="P103" s="7">
        <v>-1.8</v>
      </c>
      <c r="Q103" s="2"/>
      <c r="R103" s="6">
        <f t="shared" si="33"/>
        <v>-1.511572434807204E-6</v>
      </c>
      <c r="S103" s="2"/>
      <c r="T103" s="7">
        <v>70</v>
      </c>
      <c r="U103" s="2"/>
      <c r="V103" s="6">
        <f t="shared" si="34"/>
        <v>3.2241587133580122E-5</v>
      </c>
      <c r="W103" s="2"/>
      <c r="X103" s="7">
        <f t="shared" si="35"/>
        <v>-71.8</v>
      </c>
      <c r="Y103" s="2"/>
      <c r="Z103" s="6">
        <f t="shared" si="36"/>
        <v>-1.0257142857142856</v>
      </c>
    </row>
    <row r="104" spans="1:26" s="28" customFormat="1" outlineLevel="1" collapsed="1" x14ac:dyDescent="0.35">
      <c r="A104" s="27"/>
      <c r="B104" s="14" t="str">
        <f>CONCATENATE("     ","Bank/card Fees                                    ")</f>
        <v xml:space="preserve">     Bank/card Fees                                    </v>
      </c>
      <c r="C104" s="14"/>
      <c r="D104" s="1">
        <f>SUM(OSRRefD22_4x_0)</f>
        <v>244.74</v>
      </c>
      <c r="E104" s="1"/>
      <c r="F104" s="5">
        <f t="shared" si="29"/>
        <v>1.5268349000744758E-3</v>
      </c>
      <c r="G104" s="1"/>
      <c r="H104" s="1">
        <f>SUM(OSRRefH22_4x_0)</f>
        <v>490</v>
      </c>
      <c r="I104" s="1"/>
      <c r="J104" s="5">
        <f t="shared" si="30"/>
        <v>1.7415534656913968E-3</v>
      </c>
      <c r="K104" s="1"/>
      <c r="L104" s="1">
        <f t="shared" si="31"/>
        <v>-245.26</v>
      </c>
      <c r="M104" s="1"/>
      <c r="N104" s="5">
        <f t="shared" si="32"/>
        <v>-0.50053061224489792</v>
      </c>
      <c r="O104" s="14"/>
      <c r="P104" s="1">
        <f>SUM(OSRRefP22_4x_0)</f>
        <v>2559.0100000000002</v>
      </c>
      <c r="Q104" s="1"/>
      <c r="R104" s="5">
        <f t="shared" si="33"/>
        <v>2.1489605424422128E-3</v>
      </c>
      <c r="S104" s="1"/>
      <c r="T104" s="1">
        <f>SUM(OSRRefT22_4x_0)</f>
        <v>4986</v>
      </c>
      <c r="U104" s="1"/>
      <c r="V104" s="5">
        <f t="shared" si="34"/>
        <v>2.2965221921147209E-3</v>
      </c>
      <c r="W104" s="1"/>
      <c r="X104" s="1">
        <f t="shared" si="35"/>
        <v>-2426.9899999999998</v>
      </c>
      <c r="Y104" s="1"/>
      <c r="Z104" s="5">
        <f t="shared" si="36"/>
        <v>-0.48676093060569592</v>
      </c>
    </row>
    <row r="105" spans="1:26" s="24" customFormat="1" hidden="1" outlineLevel="2" x14ac:dyDescent="0.35">
      <c r="A105" s="29"/>
      <c r="B105" s="11" t="str">
        <f>CONCATENATE("          ", "6381", " - ", "BANK/CREDIT CARD FEES")</f>
        <v xml:space="preserve">          6381 - BANK/CREDIT CARD FEES</v>
      </c>
      <c r="C105" s="11"/>
      <c r="D105" s="7">
        <v>244.74</v>
      </c>
      <c r="E105" s="2"/>
      <c r="F105" s="6">
        <f t="shared" si="29"/>
        <v>1.5268349000744758E-3</v>
      </c>
      <c r="G105" s="2"/>
      <c r="H105" s="7">
        <v>490</v>
      </c>
      <c r="I105" s="2"/>
      <c r="J105" s="6">
        <f t="shared" si="30"/>
        <v>1.7415534656913968E-3</v>
      </c>
      <c r="K105" s="2"/>
      <c r="L105" s="7">
        <f t="shared" si="31"/>
        <v>-245.26</v>
      </c>
      <c r="M105" s="2"/>
      <c r="N105" s="6">
        <f t="shared" si="32"/>
        <v>-0.50053061224489792</v>
      </c>
      <c r="O105" s="11"/>
      <c r="P105" s="7">
        <v>2559.0100000000002</v>
      </c>
      <c r="Q105" s="2"/>
      <c r="R105" s="6">
        <f t="shared" si="33"/>
        <v>2.1489605424422128E-3</v>
      </c>
      <c r="S105" s="2"/>
      <c r="T105" s="7">
        <v>4986</v>
      </c>
      <c r="U105" s="2"/>
      <c r="V105" s="6">
        <f t="shared" si="34"/>
        <v>2.2965221921147209E-3</v>
      </c>
      <c r="W105" s="2"/>
      <c r="X105" s="7">
        <f t="shared" si="35"/>
        <v>-2426.9899999999998</v>
      </c>
      <c r="Y105" s="2"/>
      <c r="Z105" s="6">
        <f t="shared" si="36"/>
        <v>-0.48676093060569592</v>
      </c>
    </row>
    <row r="106" spans="1:26" s="28" customFormat="1" outlineLevel="1" collapsed="1" x14ac:dyDescent="0.35">
      <c r="A106" s="27"/>
      <c r="B106" s="14" t="str">
        <f>CONCATENATE("     ","Discounts and Markdowns                           ")</f>
        <v xml:space="preserve">     Discounts and Markdowns                           </v>
      </c>
      <c r="C106" s="14"/>
      <c r="D106" s="1">
        <f>SUM(OSRRefD22_5x_0)</f>
        <v>0</v>
      </c>
      <c r="E106" s="1"/>
      <c r="F106" s="5">
        <f t="shared" si="29"/>
        <v>0</v>
      </c>
      <c r="G106" s="1"/>
      <c r="H106" s="1">
        <f>SUM(OSRRefH22_5x_0)</f>
        <v>22884</v>
      </c>
      <c r="I106" s="1"/>
      <c r="J106" s="5">
        <f t="shared" si="30"/>
        <v>8.1334101038534543E-2</v>
      </c>
      <c r="K106" s="1"/>
      <c r="L106" s="1">
        <f t="shared" si="31"/>
        <v>-22884</v>
      </c>
      <c r="M106" s="1"/>
      <c r="N106" s="5">
        <f t="shared" si="32"/>
        <v>-1</v>
      </c>
      <c r="O106" s="14"/>
      <c r="P106" s="1">
        <f>SUM(OSRRefP22_5x_0)</f>
        <v>0</v>
      </c>
      <c r="Q106" s="1"/>
      <c r="R106" s="5">
        <f t="shared" si="33"/>
        <v>0</v>
      </c>
      <c r="S106" s="1"/>
      <c r="T106" s="1">
        <f>SUM(OSRRefT22_5x_0)</f>
        <v>171369</v>
      </c>
      <c r="U106" s="1"/>
      <c r="V106" s="5">
        <f t="shared" si="34"/>
        <v>7.8931550649921314E-2</v>
      </c>
      <c r="W106" s="1"/>
      <c r="X106" s="1">
        <f t="shared" si="35"/>
        <v>-171369</v>
      </c>
      <c r="Y106" s="1"/>
      <c r="Z106" s="5">
        <f t="shared" si="36"/>
        <v>-1</v>
      </c>
    </row>
    <row r="107" spans="1:26" s="24" customFormat="1" hidden="1" outlineLevel="2" x14ac:dyDescent="0.35">
      <c r="A107" s="29"/>
      <c r="B107" s="11" t="str">
        <f>CONCATENATE("          ", "6382", " - ", "DISCOUNTS/MARK DOWNS")</f>
        <v xml:space="preserve">          6382 - DISCOUNTS/MARK DOWNS</v>
      </c>
      <c r="C107" s="11"/>
      <c r="D107" s="7"/>
      <c r="E107" s="2"/>
      <c r="F107" s="6">
        <f t="shared" si="29"/>
        <v>0</v>
      </c>
      <c r="G107" s="2"/>
      <c r="H107" s="7">
        <v>22884</v>
      </c>
      <c r="I107" s="2"/>
      <c r="J107" s="6">
        <f t="shared" si="30"/>
        <v>8.1334101038534543E-2</v>
      </c>
      <c r="K107" s="2"/>
      <c r="L107" s="7">
        <f t="shared" si="31"/>
        <v>-22884</v>
      </c>
      <c r="M107" s="2"/>
      <c r="N107" s="6">
        <f t="shared" si="32"/>
        <v>-1</v>
      </c>
      <c r="O107" s="11"/>
      <c r="P107" s="7">
        <v>0</v>
      </c>
      <c r="Q107" s="2"/>
      <c r="R107" s="6">
        <f t="shared" si="33"/>
        <v>0</v>
      </c>
      <c r="S107" s="2"/>
      <c r="T107" s="7">
        <v>171369</v>
      </c>
      <c r="U107" s="2"/>
      <c r="V107" s="6">
        <f t="shared" si="34"/>
        <v>7.8931550649921314E-2</v>
      </c>
      <c r="W107" s="2"/>
      <c r="X107" s="7">
        <f t="shared" si="35"/>
        <v>-171369</v>
      </c>
      <c r="Y107" s="2"/>
      <c r="Z107" s="6">
        <f t="shared" si="36"/>
        <v>-1</v>
      </c>
    </row>
    <row r="108" spans="1:26" s="28" customFormat="1" outlineLevel="1" collapsed="1" x14ac:dyDescent="0.35">
      <c r="A108" s="27"/>
      <c r="B108" s="14" t="str">
        <f>CONCATENATE("     ","Donations                                         ")</f>
        <v xml:space="preserve">     Donations                                         </v>
      </c>
      <c r="C108" s="14"/>
      <c r="D108" s="1">
        <f>SUM(OSRRefD22_6x_0)</f>
        <v>0</v>
      </c>
      <c r="E108" s="1"/>
      <c r="F108" s="5">
        <f t="shared" si="29"/>
        <v>0</v>
      </c>
      <c r="G108" s="1"/>
      <c r="H108" s="1">
        <f>SUM(OSRRefH22_6x_0)</f>
        <v>0</v>
      </c>
      <c r="I108" s="1"/>
      <c r="J108" s="5">
        <f t="shared" si="30"/>
        <v>0</v>
      </c>
      <c r="K108" s="1"/>
      <c r="L108" s="1">
        <f t="shared" si="31"/>
        <v>0</v>
      </c>
      <c r="M108" s="1"/>
      <c r="N108" s="5">
        <f t="shared" si="32"/>
        <v>0</v>
      </c>
      <c r="O108" s="14"/>
      <c r="P108" s="1">
        <f>SUM(OSRRefP22_6x_0)</f>
        <v>0</v>
      </c>
      <c r="Q108" s="1"/>
      <c r="R108" s="5">
        <f t="shared" si="33"/>
        <v>0</v>
      </c>
      <c r="S108" s="1"/>
      <c r="T108" s="1">
        <f>SUM(OSRRefT22_6x_0)</f>
        <v>0</v>
      </c>
      <c r="U108" s="1"/>
      <c r="V108" s="5">
        <f t="shared" si="34"/>
        <v>0</v>
      </c>
      <c r="W108" s="1"/>
      <c r="X108" s="1">
        <f t="shared" si="35"/>
        <v>0</v>
      </c>
      <c r="Y108" s="1"/>
      <c r="Z108" s="5">
        <f t="shared" si="36"/>
        <v>0</v>
      </c>
    </row>
    <row r="109" spans="1:26" s="24" customFormat="1" hidden="1" outlineLevel="2" x14ac:dyDescent="0.35">
      <c r="A109" s="29"/>
      <c r="B109" s="11" t="str">
        <f>CONCATENATE("          ", "6395", " - ", "DONATION-OFF CAMPUS")</f>
        <v xml:space="preserve">          6395 - DONATION-OFF CAMPUS</v>
      </c>
      <c r="C109" s="11"/>
      <c r="D109" s="7"/>
      <c r="E109" s="2"/>
      <c r="F109" s="6">
        <f t="shared" si="29"/>
        <v>0</v>
      </c>
      <c r="G109" s="2"/>
      <c r="H109" s="7"/>
      <c r="I109" s="2"/>
      <c r="J109" s="6">
        <f t="shared" si="30"/>
        <v>0</v>
      </c>
      <c r="K109" s="2"/>
      <c r="L109" s="7">
        <f t="shared" si="31"/>
        <v>0</v>
      </c>
      <c r="M109" s="2"/>
      <c r="N109" s="6">
        <f t="shared" si="32"/>
        <v>0</v>
      </c>
      <c r="O109" s="11"/>
      <c r="P109" s="7"/>
      <c r="Q109" s="2"/>
      <c r="R109" s="6">
        <f t="shared" si="33"/>
        <v>0</v>
      </c>
      <c r="S109" s="2"/>
      <c r="T109" s="7">
        <v>0</v>
      </c>
      <c r="U109" s="2"/>
      <c r="V109" s="6">
        <f t="shared" si="34"/>
        <v>0</v>
      </c>
      <c r="W109" s="2"/>
      <c r="X109" s="7">
        <f t="shared" si="35"/>
        <v>0</v>
      </c>
      <c r="Y109" s="2"/>
      <c r="Z109" s="6">
        <f t="shared" si="36"/>
        <v>0</v>
      </c>
    </row>
    <row r="110" spans="1:26" s="28" customFormat="1" outlineLevel="1" collapsed="1" x14ac:dyDescent="0.35">
      <c r="A110" s="27"/>
      <c r="B110" s="14" t="str">
        <f>CONCATENATE("     ","Employees' Appreciation                           ")</f>
        <v xml:space="preserve">     Employees' Appreciation                           </v>
      </c>
      <c r="C110" s="14"/>
      <c r="D110" s="1">
        <f>SUM(OSRRefD22_7x_0)</f>
        <v>0</v>
      </c>
      <c r="E110" s="1"/>
      <c r="F110" s="5">
        <f t="shared" si="29"/>
        <v>0</v>
      </c>
      <c r="G110" s="1"/>
      <c r="H110" s="1">
        <f>SUM(OSRRefH22_7x_0)</f>
        <v>200</v>
      </c>
      <c r="I110" s="1"/>
      <c r="J110" s="5">
        <f t="shared" si="30"/>
        <v>7.1083814926179453E-4</v>
      </c>
      <c r="K110" s="1"/>
      <c r="L110" s="1">
        <f t="shared" si="31"/>
        <v>-200</v>
      </c>
      <c r="M110" s="1"/>
      <c r="N110" s="5">
        <f t="shared" si="32"/>
        <v>-1</v>
      </c>
      <c r="O110" s="14"/>
      <c r="P110" s="1">
        <f>SUM(OSRRefP22_7x_0)</f>
        <v>0</v>
      </c>
      <c r="Q110" s="1"/>
      <c r="R110" s="5">
        <f t="shared" si="33"/>
        <v>0</v>
      </c>
      <c r="S110" s="1"/>
      <c r="T110" s="1">
        <f>SUM(OSRRefT22_7x_0)</f>
        <v>1400</v>
      </c>
      <c r="U110" s="1"/>
      <c r="V110" s="5">
        <f t="shared" si="34"/>
        <v>6.4483174267160239E-4</v>
      </c>
      <c r="W110" s="1"/>
      <c r="X110" s="1">
        <f t="shared" si="35"/>
        <v>-1400</v>
      </c>
      <c r="Y110" s="1"/>
      <c r="Z110" s="5">
        <f t="shared" si="36"/>
        <v>-1</v>
      </c>
    </row>
    <row r="111" spans="1:26" s="24" customFormat="1" hidden="1" outlineLevel="2" x14ac:dyDescent="0.35">
      <c r="A111" s="29"/>
      <c r="B111" s="11" t="str">
        <f>CONCATENATE("          ", "6277", " - ", "EMPLOYEE APPRECIATION")</f>
        <v xml:space="preserve">          6277 - EMPLOYEE APPRECIATION</v>
      </c>
      <c r="C111" s="11"/>
      <c r="D111" s="7"/>
      <c r="E111" s="2"/>
      <c r="F111" s="6">
        <f t="shared" si="29"/>
        <v>0</v>
      </c>
      <c r="G111" s="2"/>
      <c r="H111" s="7">
        <v>200</v>
      </c>
      <c r="I111" s="2"/>
      <c r="J111" s="6">
        <f t="shared" si="30"/>
        <v>7.1083814926179453E-4</v>
      </c>
      <c r="K111" s="2"/>
      <c r="L111" s="7">
        <f t="shared" si="31"/>
        <v>-200</v>
      </c>
      <c r="M111" s="2"/>
      <c r="N111" s="6">
        <f t="shared" si="32"/>
        <v>-1</v>
      </c>
      <c r="O111" s="11"/>
      <c r="P111" s="7"/>
      <c r="Q111" s="2"/>
      <c r="R111" s="6">
        <f t="shared" si="33"/>
        <v>0</v>
      </c>
      <c r="S111" s="2"/>
      <c r="T111" s="7">
        <v>1400</v>
      </c>
      <c r="U111" s="2"/>
      <c r="V111" s="6">
        <f t="shared" si="34"/>
        <v>6.4483174267160239E-4</v>
      </c>
      <c r="W111" s="2"/>
      <c r="X111" s="7">
        <f t="shared" si="35"/>
        <v>-1400</v>
      </c>
      <c r="Y111" s="2"/>
      <c r="Z111" s="6">
        <f t="shared" si="36"/>
        <v>-1</v>
      </c>
    </row>
    <row r="112" spans="1:26" s="28" customFormat="1" outlineLevel="1" collapsed="1" x14ac:dyDescent="0.35">
      <c r="A112" s="27"/>
      <c r="B112" s="14" t="str">
        <f>CONCATENATE("     ","Freight out/Postage                               ")</f>
        <v xml:space="preserve">     Freight out/Postage                               </v>
      </c>
      <c r="C112" s="14"/>
      <c r="D112" s="1">
        <f>SUM(OSRRefD22_8x_0)</f>
        <v>127.18</v>
      </c>
      <c r="E112" s="1"/>
      <c r="F112" s="5">
        <f t="shared" si="29"/>
        <v>7.9342511478087702E-4</v>
      </c>
      <c r="G112" s="1"/>
      <c r="H112" s="1">
        <f>SUM(OSRRefH22_8x_0)</f>
        <v>10</v>
      </c>
      <c r="I112" s="1"/>
      <c r="J112" s="5">
        <f t="shared" si="30"/>
        <v>3.5541907463089729E-5</v>
      </c>
      <c r="K112" s="1"/>
      <c r="L112" s="1">
        <f t="shared" si="31"/>
        <v>117.18</v>
      </c>
      <c r="M112" s="1"/>
      <c r="N112" s="5">
        <f t="shared" si="32"/>
        <v>11.718</v>
      </c>
      <c r="O112" s="14"/>
      <c r="P112" s="1">
        <f>SUM(OSRRefP22_8x_0)</f>
        <v>234.42</v>
      </c>
      <c r="Q112" s="1"/>
      <c r="R112" s="5">
        <f t="shared" si="33"/>
        <v>1.9685711675972484E-4</v>
      </c>
      <c r="S112" s="1"/>
      <c r="T112" s="1">
        <f>SUM(OSRRefT22_8x_0)</f>
        <v>70</v>
      </c>
      <c r="U112" s="1"/>
      <c r="V112" s="5">
        <f t="shared" si="34"/>
        <v>3.2241587133580122E-5</v>
      </c>
      <c r="W112" s="1"/>
      <c r="X112" s="1">
        <f t="shared" si="35"/>
        <v>164.42</v>
      </c>
      <c r="Y112" s="1"/>
      <c r="Z112" s="5">
        <f t="shared" si="36"/>
        <v>2.3488571428571428</v>
      </c>
    </row>
    <row r="113" spans="1:26" s="24" customFormat="1" hidden="1" outlineLevel="2" x14ac:dyDescent="0.35">
      <c r="A113" s="29"/>
      <c r="B113" s="11" t="str">
        <f>CONCATENATE("          ", "6305", " - ", "FREIGHT OUT")</f>
        <v xml:space="preserve">          6305 - FREIGHT OUT</v>
      </c>
      <c r="C113" s="11"/>
      <c r="D113" s="7">
        <v>127.18</v>
      </c>
      <c r="E113" s="2"/>
      <c r="F113" s="6">
        <f t="shared" si="29"/>
        <v>7.9342511478087702E-4</v>
      </c>
      <c r="G113" s="2"/>
      <c r="H113" s="7"/>
      <c r="I113" s="2"/>
      <c r="J113" s="6">
        <f t="shared" si="30"/>
        <v>0</v>
      </c>
      <c r="K113" s="2"/>
      <c r="L113" s="7">
        <f t="shared" si="31"/>
        <v>127.18</v>
      </c>
      <c r="M113" s="2"/>
      <c r="N113" s="6">
        <f t="shared" si="32"/>
        <v>0</v>
      </c>
      <c r="O113" s="11"/>
      <c r="P113" s="7">
        <v>240.42</v>
      </c>
      <c r="Q113" s="2"/>
      <c r="R113" s="6">
        <f t="shared" si="33"/>
        <v>2.0189569154241551E-4</v>
      </c>
      <c r="S113" s="2"/>
      <c r="T113" s="7"/>
      <c r="U113" s="2"/>
      <c r="V113" s="6">
        <f t="shared" si="34"/>
        <v>0</v>
      </c>
      <c r="W113" s="2"/>
      <c r="X113" s="7">
        <f t="shared" si="35"/>
        <v>240.42</v>
      </c>
      <c r="Y113" s="2"/>
      <c r="Z113" s="6">
        <f t="shared" si="36"/>
        <v>0</v>
      </c>
    </row>
    <row r="114" spans="1:26" s="24" customFormat="1" hidden="1" outlineLevel="2" x14ac:dyDescent="0.35">
      <c r="A114" s="29"/>
      <c r="B114" s="11" t="str">
        <f>CONCATENATE("          ", "6307", " - ", "POSTAGE")</f>
        <v xml:space="preserve">          6307 - POSTAGE</v>
      </c>
      <c r="C114" s="11"/>
      <c r="D114" s="7"/>
      <c r="E114" s="2"/>
      <c r="F114" s="6">
        <f t="shared" si="29"/>
        <v>0</v>
      </c>
      <c r="G114" s="2"/>
      <c r="H114" s="7">
        <v>10</v>
      </c>
      <c r="I114" s="2"/>
      <c r="J114" s="6">
        <f t="shared" si="30"/>
        <v>3.5541907463089729E-5</v>
      </c>
      <c r="K114" s="2"/>
      <c r="L114" s="7">
        <f t="shared" si="31"/>
        <v>-10</v>
      </c>
      <c r="M114" s="2"/>
      <c r="N114" s="6">
        <f t="shared" si="32"/>
        <v>-1</v>
      </c>
      <c r="O114" s="11"/>
      <c r="P114" s="7">
        <v>-6</v>
      </c>
      <c r="Q114" s="2"/>
      <c r="R114" s="6">
        <f t="shared" si="33"/>
        <v>-5.0385747826906797E-6</v>
      </c>
      <c r="S114" s="2"/>
      <c r="T114" s="7">
        <v>70</v>
      </c>
      <c r="U114" s="2"/>
      <c r="V114" s="6">
        <f t="shared" si="34"/>
        <v>3.2241587133580122E-5</v>
      </c>
      <c r="W114" s="2"/>
      <c r="X114" s="7">
        <f t="shared" si="35"/>
        <v>-76</v>
      </c>
      <c r="Y114" s="2"/>
      <c r="Z114" s="6">
        <f t="shared" si="36"/>
        <v>-1.0857142857142856</v>
      </c>
    </row>
    <row r="115" spans="1:26" s="28" customFormat="1" outlineLevel="1" collapsed="1" x14ac:dyDescent="0.35">
      <c r="A115" s="27"/>
      <c r="B115" s="14" t="str">
        <f>CONCATENATE("     ","General                                           ")</f>
        <v xml:space="preserve">     General                                           </v>
      </c>
      <c r="C115" s="14"/>
      <c r="D115" s="1">
        <f>SUM(OSRRefD22_9x_0)</f>
        <v>0</v>
      </c>
      <c r="E115" s="1"/>
      <c r="F115" s="5">
        <f t="shared" ref="F115:F117" si="37">IF(D$12=0,0,D115/D$12)</f>
        <v>0</v>
      </c>
      <c r="G115" s="1"/>
      <c r="H115" s="1">
        <f>SUM(OSRRefH22_9x_0)</f>
        <v>500</v>
      </c>
      <c r="I115" s="1"/>
      <c r="J115" s="5">
        <f t="shared" ref="J115:J117" si="38">IF(H$12=0,0,H115/H$12)</f>
        <v>1.7770953731544865E-3</v>
      </c>
      <c r="K115" s="1"/>
      <c r="L115" s="1">
        <f t="shared" ref="L115:L117" si="39">+D115-H115</f>
        <v>-500</v>
      </c>
      <c r="M115" s="1"/>
      <c r="N115" s="5">
        <f t="shared" ref="N115:N117" si="40">IF(H115=0,0,L115/H115)</f>
        <v>-1</v>
      </c>
      <c r="O115" s="14"/>
      <c r="P115" s="1">
        <f>SUM(OSRRefP22_9x_0)</f>
        <v>1285.46</v>
      </c>
      <c r="Q115" s="1"/>
      <c r="R115" s="5">
        <f t="shared" ref="R115:R117" si="41">IF(P$12=0,0,P115/P$12)</f>
        <v>1.0794810566929268E-3</v>
      </c>
      <c r="S115" s="1"/>
      <c r="T115" s="1">
        <f>SUM(OSRRefT22_9x_0)</f>
        <v>2200</v>
      </c>
      <c r="U115" s="1"/>
      <c r="V115" s="5">
        <f t="shared" ref="V115:V117" si="42">IF(T$12=0,0,T115/T$12)</f>
        <v>1.0133070241982324E-3</v>
      </c>
      <c r="W115" s="1"/>
      <c r="X115" s="1">
        <f t="shared" ref="X115:X117" si="43">+P115-T115</f>
        <v>-914.54</v>
      </c>
      <c r="Y115" s="1"/>
      <c r="Z115" s="5">
        <f t="shared" ref="Z115:Z117" si="44">IF(T115=0,0,X115/T115)</f>
        <v>-0.41569999999999996</v>
      </c>
    </row>
    <row r="116" spans="1:26" s="24" customFormat="1" hidden="1" outlineLevel="2" x14ac:dyDescent="0.35">
      <c r="A116" s="29"/>
      <c r="B116" s="11" t="str">
        <f>CONCATENATE("          ", "6276", " - ", "PROPERTY TAX")</f>
        <v xml:space="preserve">          6276 - PROPERTY TAX</v>
      </c>
      <c r="C116" s="11"/>
      <c r="D116" s="7"/>
      <c r="E116" s="2"/>
      <c r="F116" s="6">
        <f t="shared" si="37"/>
        <v>0</v>
      </c>
      <c r="G116" s="2"/>
      <c r="H116" s="7"/>
      <c r="I116" s="2"/>
      <c r="J116" s="6">
        <f t="shared" si="38"/>
        <v>0</v>
      </c>
      <c r="K116" s="2"/>
      <c r="L116" s="7">
        <f t="shared" si="39"/>
        <v>0</v>
      </c>
      <c r="M116" s="2"/>
      <c r="N116" s="6">
        <f t="shared" si="40"/>
        <v>0</v>
      </c>
      <c r="O116" s="11"/>
      <c r="P116" s="7"/>
      <c r="Q116" s="2"/>
      <c r="R116" s="6">
        <f t="shared" si="41"/>
        <v>0</v>
      </c>
      <c r="S116" s="2"/>
      <c r="T116" s="7">
        <v>150</v>
      </c>
      <c r="U116" s="2"/>
      <c r="V116" s="6">
        <f t="shared" si="42"/>
        <v>6.9089115286243119E-5</v>
      </c>
      <c r="W116" s="2"/>
      <c r="X116" s="7">
        <f t="shared" si="43"/>
        <v>-150</v>
      </c>
      <c r="Y116" s="2"/>
      <c r="Z116" s="6">
        <f t="shared" si="44"/>
        <v>-1</v>
      </c>
    </row>
    <row r="117" spans="1:26" s="24" customFormat="1" hidden="1" outlineLevel="2" x14ac:dyDescent="0.35">
      <c r="A117" s="29"/>
      <c r="B117" s="11" t="str">
        <f>CONCATENATE("          ", "6279", " - ", "GENERAL EXPENSE")</f>
        <v xml:space="preserve">          6279 - GENERAL EXPENSE</v>
      </c>
      <c r="C117" s="11"/>
      <c r="D117" s="7"/>
      <c r="E117" s="2"/>
      <c r="F117" s="6">
        <f t="shared" si="37"/>
        <v>0</v>
      </c>
      <c r="G117" s="2"/>
      <c r="H117" s="7">
        <v>500</v>
      </c>
      <c r="I117" s="2"/>
      <c r="J117" s="6">
        <f t="shared" si="38"/>
        <v>1.7770953731544865E-3</v>
      </c>
      <c r="K117" s="2"/>
      <c r="L117" s="7">
        <f t="shared" si="39"/>
        <v>-500</v>
      </c>
      <c r="M117" s="2"/>
      <c r="N117" s="6">
        <f t="shared" si="40"/>
        <v>-1</v>
      </c>
      <c r="O117" s="11"/>
      <c r="P117" s="7">
        <v>1285.46</v>
      </c>
      <c r="Q117" s="2"/>
      <c r="R117" s="6">
        <f t="shared" si="41"/>
        <v>1.0794810566929268E-3</v>
      </c>
      <c r="S117" s="2"/>
      <c r="T117" s="7">
        <v>2050</v>
      </c>
      <c r="U117" s="2"/>
      <c r="V117" s="6">
        <f t="shared" si="42"/>
        <v>9.442179089119892E-4</v>
      </c>
      <c r="W117" s="2"/>
      <c r="X117" s="7">
        <f t="shared" si="43"/>
        <v>-764.54</v>
      </c>
      <c r="Y117" s="2"/>
      <c r="Z117" s="6">
        <f t="shared" si="44"/>
        <v>-0.3729463414634146</v>
      </c>
    </row>
    <row r="118" spans="1:26" s="28" customFormat="1" outlineLevel="1" collapsed="1" x14ac:dyDescent="0.35">
      <c r="A118" s="27"/>
      <c r="B118" s="14" t="str">
        <f>CONCATENATE("     ","Insurance                                         ")</f>
        <v xml:space="preserve">     Insurance                                         </v>
      </c>
      <c r="C118" s="14"/>
      <c r="D118" s="1">
        <f>SUM(OSRRefD22_10x_0)</f>
        <v>161.18</v>
      </c>
      <c r="E118" s="1"/>
      <c r="F118" s="5">
        <f t="shared" ref="F118:F128" si="45">IF(D$12=0,0,D118/D$12)</f>
        <v>1.0055375059001555E-3</v>
      </c>
      <c r="G118" s="1"/>
      <c r="H118" s="1">
        <f>SUM(OSRRefH22_10x_0)</f>
        <v>176</v>
      </c>
      <c r="I118" s="1"/>
      <c r="J118" s="5">
        <f t="shared" ref="J118:J128" si="46">IF(H$12=0,0,H118/H$12)</f>
        <v>6.2553757135037924E-4</v>
      </c>
      <c r="K118" s="1"/>
      <c r="L118" s="1">
        <f t="shared" ref="L118:L128" si="47">+D118-H118</f>
        <v>-14.819999999999993</v>
      </c>
      <c r="M118" s="1"/>
      <c r="N118" s="5">
        <f t="shared" ref="N118:N128" si="48">IF(H118=0,0,L118/H118)</f>
        <v>-8.4204545454545421E-2</v>
      </c>
      <c r="O118" s="14"/>
      <c r="P118" s="1">
        <f>SUM(OSRRefP22_10x_0)</f>
        <v>1128.26</v>
      </c>
      <c r="Q118" s="1"/>
      <c r="R118" s="5">
        <f t="shared" ref="R118:R128" si="49">IF(P$12=0,0,P118/P$12)</f>
        <v>9.4747039738643101E-4</v>
      </c>
      <c r="S118" s="1"/>
      <c r="T118" s="1">
        <f>SUM(OSRRefT22_10x_0)</f>
        <v>1232</v>
      </c>
      <c r="U118" s="1"/>
      <c r="V118" s="5">
        <f t="shared" ref="V118:V128" si="50">IF(T$12=0,0,T118/T$12)</f>
        <v>5.6745193355101011E-4</v>
      </c>
      <c r="W118" s="1"/>
      <c r="X118" s="1">
        <f t="shared" ref="X118:X128" si="51">+P118-T118</f>
        <v>-103.74000000000001</v>
      </c>
      <c r="Y118" s="1"/>
      <c r="Z118" s="5">
        <f t="shared" ref="Z118:Z128" si="52">IF(T118=0,0,X118/T118)</f>
        <v>-8.4204545454545462E-2</v>
      </c>
    </row>
    <row r="119" spans="1:26" s="24" customFormat="1" hidden="1" outlineLevel="2" x14ac:dyDescent="0.35">
      <c r="A119" s="29"/>
      <c r="B119" s="11" t="str">
        <f>CONCATENATE("          ", "6314", " - ", "LIABILITY INSURANCE")</f>
        <v xml:space="preserve">          6314 - LIABILITY INSURANCE</v>
      </c>
      <c r="C119" s="11"/>
      <c r="D119" s="7">
        <v>161.18</v>
      </c>
      <c r="E119" s="2"/>
      <c r="F119" s="6">
        <f t="shared" si="45"/>
        <v>1.0055375059001555E-3</v>
      </c>
      <c r="G119" s="2"/>
      <c r="H119" s="7">
        <v>176</v>
      </c>
      <c r="I119" s="2"/>
      <c r="J119" s="6">
        <f t="shared" si="46"/>
        <v>6.2553757135037924E-4</v>
      </c>
      <c r="K119" s="2"/>
      <c r="L119" s="7">
        <f t="shared" si="47"/>
        <v>-14.819999999999993</v>
      </c>
      <c r="M119" s="2"/>
      <c r="N119" s="6">
        <f t="shared" si="48"/>
        <v>-8.4204545454545421E-2</v>
      </c>
      <c r="O119" s="11"/>
      <c r="P119" s="7">
        <v>1128.26</v>
      </c>
      <c r="Q119" s="2"/>
      <c r="R119" s="6">
        <f t="shared" si="49"/>
        <v>9.4747039738643101E-4</v>
      </c>
      <c r="S119" s="2"/>
      <c r="T119" s="7">
        <v>1232</v>
      </c>
      <c r="U119" s="2"/>
      <c r="V119" s="6">
        <f t="shared" si="50"/>
        <v>5.6745193355101011E-4</v>
      </c>
      <c r="W119" s="2"/>
      <c r="X119" s="7">
        <f t="shared" si="51"/>
        <v>-103.74000000000001</v>
      </c>
      <c r="Y119" s="2"/>
      <c r="Z119" s="6">
        <f t="shared" si="52"/>
        <v>-8.4204545454545462E-2</v>
      </c>
    </row>
    <row r="120" spans="1:26" s="28" customFormat="1" outlineLevel="1" collapsed="1" x14ac:dyDescent="0.35">
      <c r="A120" s="27"/>
      <c r="B120" s="14" t="str">
        <f>CONCATENATE("     ","Inventory Adjustment                              ")</f>
        <v xml:space="preserve">     Inventory Adjustment                              </v>
      </c>
      <c r="C120" s="14"/>
      <c r="D120" s="1">
        <f>SUM(OSRRefD22_11x_0)</f>
        <v>1100</v>
      </c>
      <c r="E120" s="1"/>
      <c r="F120" s="5">
        <f t="shared" si="45"/>
        <v>6.8624597126825341E-3</v>
      </c>
      <c r="G120" s="1"/>
      <c r="H120" s="1">
        <f>SUM(OSRRefH22_11x_0)</f>
        <v>1100</v>
      </c>
      <c r="I120" s="1"/>
      <c r="J120" s="5">
        <f t="shared" si="46"/>
        <v>3.9096098209398704E-3</v>
      </c>
      <c r="K120" s="1"/>
      <c r="L120" s="1">
        <f t="shared" si="47"/>
        <v>0</v>
      </c>
      <c r="M120" s="1"/>
      <c r="N120" s="5">
        <f t="shared" si="48"/>
        <v>0</v>
      </c>
      <c r="O120" s="14"/>
      <c r="P120" s="1">
        <f>SUM(OSRRefP22_11x_0)</f>
        <v>7700</v>
      </c>
      <c r="Q120" s="1"/>
      <c r="R120" s="5">
        <f t="shared" si="49"/>
        <v>6.4661709711197057E-3</v>
      </c>
      <c r="S120" s="1"/>
      <c r="T120" s="1">
        <f>SUM(OSRRefT22_11x_0)</f>
        <v>7700</v>
      </c>
      <c r="U120" s="1"/>
      <c r="V120" s="5">
        <f t="shared" si="50"/>
        <v>3.5465745846938132E-3</v>
      </c>
      <c r="W120" s="1"/>
      <c r="X120" s="1">
        <f t="shared" si="51"/>
        <v>0</v>
      </c>
      <c r="Y120" s="1"/>
      <c r="Z120" s="5">
        <f t="shared" si="52"/>
        <v>0</v>
      </c>
    </row>
    <row r="121" spans="1:26" s="24" customFormat="1" hidden="1" outlineLevel="2" x14ac:dyDescent="0.35">
      <c r="A121" s="29"/>
      <c r="B121" s="11" t="str">
        <f>CONCATENATE("          ", "6408", " - ", "INVENTORY ADJUSTMENT")</f>
        <v xml:space="preserve">          6408 - INVENTORY ADJUSTMENT</v>
      </c>
      <c r="C121" s="11"/>
      <c r="D121" s="7">
        <v>1100</v>
      </c>
      <c r="E121" s="2"/>
      <c r="F121" s="6">
        <f t="shared" si="45"/>
        <v>6.8624597126825341E-3</v>
      </c>
      <c r="G121" s="2"/>
      <c r="H121" s="7">
        <v>1100</v>
      </c>
      <c r="I121" s="2"/>
      <c r="J121" s="6">
        <f t="shared" si="46"/>
        <v>3.9096098209398704E-3</v>
      </c>
      <c r="K121" s="2"/>
      <c r="L121" s="7">
        <f t="shared" si="47"/>
        <v>0</v>
      </c>
      <c r="M121" s="2"/>
      <c r="N121" s="6">
        <f t="shared" si="48"/>
        <v>0</v>
      </c>
      <c r="O121" s="11"/>
      <c r="P121" s="7">
        <v>7700</v>
      </c>
      <c r="Q121" s="2"/>
      <c r="R121" s="6">
        <f t="shared" si="49"/>
        <v>6.4661709711197057E-3</v>
      </c>
      <c r="S121" s="2"/>
      <c r="T121" s="7">
        <v>7700</v>
      </c>
      <c r="U121" s="2"/>
      <c r="V121" s="6">
        <f t="shared" si="50"/>
        <v>3.5465745846938132E-3</v>
      </c>
      <c r="W121" s="2"/>
      <c r="X121" s="7">
        <f t="shared" si="51"/>
        <v>0</v>
      </c>
      <c r="Y121" s="2"/>
      <c r="Z121" s="6">
        <f t="shared" si="52"/>
        <v>0</v>
      </c>
    </row>
    <row r="122" spans="1:26" s="28" customFormat="1" outlineLevel="1" collapsed="1" x14ac:dyDescent="0.35">
      <c r="A122" s="27"/>
      <c r="B122" s="14" t="str">
        <f>CONCATENATE("     ","Professional Services                             ")</f>
        <v xml:space="preserve">     Professional Services                             </v>
      </c>
      <c r="C122" s="14"/>
      <c r="D122" s="1">
        <f>SUM(OSRRefD22_12x_0)</f>
        <v>0</v>
      </c>
      <c r="E122" s="1"/>
      <c r="F122" s="5">
        <f t="shared" si="45"/>
        <v>0</v>
      </c>
      <c r="G122" s="1"/>
      <c r="H122" s="1">
        <f>SUM(OSRRefH22_12x_0)</f>
        <v>250</v>
      </c>
      <c r="I122" s="1"/>
      <c r="J122" s="5">
        <f t="shared" si="46"/>
        <v>8.8854768657724325E-4</v>
      </c>
      <c r="K122" s="1"/>
      <c r="L122" s="1">
        <f t="shared" si="47"/>
        <v>-250</v>
      </c>
      <c r="M122" s="1"/>
      <c r="N122" s="5">
        <f t="shared" si="48"/>
        <v>-1</v>
      </c>
      <c r="O122" s="14"/>
      <c r="P122" s="1">
        <f>SUM(OSRRefP22_12x_0)</f>
        <v>0</v>
      </c>
      <c r="Q122" s="1"/>
      <c r="R122" s="5">
        <f t="shared" si="49"/>
        <v>0</v>
      </c>
      <c r="S122" s="1"/>
      <c r="T122" s="1">
        <f>SUM(OSRRefT22_12x_0)</f>
        <v>6250</v>
      </c>
      <c r="U122" s="1"/>
      <c r="V122" s="5">
        <f t="shared" si="50"/>
        <v>2.8787131369267965E-3</v>
      </c>
      <c r="W122" s="1"/>
      <c r="X122" s="1">
        <f t="shared" si="51"/>
        <v>-6250</v>
      </c>
      <c r="Y122" s="1"/>
      <c r="Z122" s="5">
        <f t="shared" si="52"/>
        <v>-1</v>
      </c>
    </row>
    <row r="123" spans="1:26" s="24" customFormat="1" hidden="1" outlineLevel="2" x14ac:dyDescent="0.35">
      <c r="A123" s="29"/>
      <c r="B123" s="11" t="str">
        <f>CONCATENATE("          ", "6336", " - ", "PROFESSIONAL SERVICES")</f>
        <v xml:space="preserve">          6336 - PROFESSIONAL SERVICES</v>
      </c>
      <c r="C123" s="11"/>
      <c r="D123" s="7"/>
      <c r="E123" s="2"/>
      <c r="F123" s="6">
        <f t="shared" si="45"/>
        <v>0</v>
      </c>
      <c r="G123" s="2"/>
      <c r="H123" s="7">
        <v>250</v>
      </c>
      <c r="I123" s="2"/>
      <c r="J123" s="6">
        <f t="shared" si="46"/>
        <v>8.8854768657724325E-4</v>
      </c>
      <c r="K123" s="2"/>
      <c r="L123" s="7">
        <f t="shared" si="47"/>
        <v>-250</v>
      </c>
      <c r="M123" s="2"/>
      <c r="N123" s="6">
        <f t="shared" si="48"/>
        <v>-1</v>
      </c>
      <c r="O123" s="11"/>
      <c r="P123" s="7"/>
      <c r="Q123" s="2"/>
      <c r="R123" s="6">
        <f t="shared" si="49"/>
        <v>0</v>
      </c>
      <c r="S123" s="2"/>
      <c r="T123" s="7">
        <v>6250</v>
      </c>
      <c r="U123" s="2"/>
      <c r="V123" s="6">
        <f t="shared" si="50"/>
        <v>2.8787131369267965E-3</v>
      </c>
      <c r="W123" s="2"/>
      <c r="X123" s="7">
        <f t="shared" si="51"/>
        <v>-6250</v>
      </c>
      <c r="Y123" s="2"/>
      <c r="Z123" s="6">
        <f t="shared" si="52"/>
        <v>-1</v>
      </c>
    </row>
    <row r="124" spans="1:26" s="28" customFormat="1" outlineLevel="1" collapsed="1" x14ac:dyDescent="0.35">
      <c r="A124" s="27"/>
      <c r="B124" s="14" t="str">
        <f>CONCATENATE("     ","Rent                                              ")</f>
        <v xml:space="preserve">     Rent                                              </v>
      </c>
      <c r="C124" s="14"/>
      <c r="D124" s="1">
        <f>SUM(OSRRefD22_13x_0)</f>
        <v>6900</v>
      </c>
      <c r="E124" s="1"/>
      <c r="F124" s="5">
        <f t="shared" si="45"/>
        <v>4.3046338197735894E-2</v>
      </c>
      <c r="G124" s="1"/>
      <c r="H124" s="1">
        <f>SUM(OSRRefH22_13x_0)</f>
        <v>6900</v>
      </c>
      <c r="I124" s="1"/>
      <c r="J124" s="5">
        <f t="shared" si="46"/>
        <v>2.4523916149531914E-2</v>
      </c>
      <c r="K124" s="1"/>
      <c r="L124" s="1">
        <f t="shared" si="47"/>
        <v>0</v>
      </c>
      <c r="M124" s="1"/>
      <c r="N124" s="5">
        <f t="shared" si="48"/>
        <v>0</v>
      </c>
      <c r="O124" s="14"/>
      <c r="P124" s="1">
        <f>SUM(OSRRefP22_13x_0)</f>
        <v>48300</v>
      </c>
      <c r="Q124" s="1"/>
      <c r="R124" s="5">
        <f t="shared" si="49"/>
        <v>4.0560527000659971E-2</v>
      </c>
      <c r="S124" s="1"/>
      <c r="T124" s="1">
        <f>SUM(OSRRefT22_13x_0)</f>
        <v>48301</v>
      </c>
      <c r="U124" s="1"/>
      <c r="V124" s="5">
        <f t="shared" si="50"/>
        <v>2.2247155716272192E-2</v>
      </c>
      <c r="W124" s="1"/>
      <c r="X124" s="1">
        <f t="shared" si="51"/>
        <v>-1</v>
      </c>
      <c r="Y124" s="1"/>
      <c r="Z124" s="5">
        <f t="shared" si="52"/>
        <v>-2.0703505103414008E-5</v>
      </c>
    </row>
    <row r="125" spans="1:26" s="24" customFormat="1" hidden="1" outlineLevel="2" x14ac:dyDescent="0.35">
      <c r="A125" s="29"/>
      <c r="B125" s="11" t="str">
        <f>CONCATENATE("          ", "6273", " - ", "RENT")</f>
        <v xml:space="preserve">          6273 - RENT</v>
      </c>
      <c r="C125" s="11"/>
      <c r="D125" s="7">
        <v>6900</v>
      </c>
      <c r="E125" s="2"/>
      <c r="F125" s="6">
        <f t="shared" si="45"/>
        <v>4.3046338197735894E-2</v>
      </c>
      <c r="G125" s="2"/>
      <c r="H125" s="7">
        <v>6900</v>
      </c>
      <c r="I125" s="2"/>
      <c r="J125" s="6">
        <f t="shared" si="46"/>
        <v>2.4523916149531914E-2</v>
      </c>
      <c r="K125" s="2"/>
      <c r="L125" s="7">
        <f t="shared" si="47"/>
        <v>0</v>
      </c>
      <c r="M125" s="2"/>
      <c r="N125" s="6">
        <f t="shared" si="48"/>
        <v>0</v>
      </c>
      <c r="O125" s="11"/>
      <c r="P125" s="7">
        <v>48300</v>
      </c>
      <c r="Q125" s="2"/>
      <c r="R125" s="6">
        <f t="shared" si="49"/>
        <v>4.0560527000659971E-2</v>
      </c>
      <c r="S125" s="2"/>
      <c r="T125" s="7">
        <v>48301</v>
      </c>
      <c r="U125" s="2"/>
      <c r="V125" s="6">
        <f t="shared" si="50"/>
        <v>2.2247155716272192E-2</v>
      </c>
      <c r="W125" s="2"/>
      <c r="X125" s="7">
        <f t="shared" si="51"/>
        <v>-1</v>
      </c>
      <c r="Y125" s="2"/>
      <c r="Z125" s="6">
        <f t="shared" si="52"/>
        <v>-2.0703505103414008E-5</v>
      </c>
    </row>
    <row r="126" spans="1:26" s="28" customFormat="1" outlineLevel="1" collapsed="1" x14ac:dyDescent="0.35">
      <c r="A126" s="27"/>
      <c r="B126" s="14" t="str">
        <f>CONCATENATE("     ","Repair and Maintenance                            ")</f>
        <v xml:space="preserve">     Repair and Maintenance                            </v>
      </c>
      <c r="C126" s="14"/>
      <c r="D126" s="1">
        <f>SUM(OSRRefD22_14x_0)</f>
        <v>0</v>
      </c>
      <c r="E126" s="1"/>
      <c r="F126" s="5">
        <f t="shared" si="45"/>
        <v>0</v>
      </c>
      <c r="G126" s="1"/>
      <c r="H126" s="1">
        <f>SUM(OSRRefH22_14x_0)</f>
        <v>150</v>
      </c>
      <c r="I126" s="1"/>
      <c r="J126" s="5">
        <f t="shared" si="46"/>
        <v>5.3312861194634593E-4</v>
      </c>
      <c r="K126" s="1"/>
      <c r="L126" s="1">
        <f t="shared" si="47"/>
        <v>-150</v>
      </c>
      <c r="M126" s="1"/>
      <c r="N126" s="5">
        <f t="shared" si="48"/>
        <v>-1</v>
      </c>
      <c r="O126" s="14"/>
      <c r="P126" s="1">
        <f>SUM(OSRRefP22_14x_0)</f>
        <v>96.44</v>
      </c>
      <c r="Q126" s="1"/>
      <c r="R126" s="5">
        <f t="shared" si="49"/>
        <v>8.098669200711486E-5</v>
      </c>
      <c r="S126" s="1"/>
      <c r="T126" s="1">
        <f>SUM(OSRRefT22_14x_0)</f>
        <v>1550</v>
      </c>
      <c r="U126" s="1"/>
      <c r="V126" s="5">
        <f t="shared" si="50"/>
        <v>7.1392085795784555E-4</v>
      </c>
      <c r="W126" s="1"/>
      <c r="X126" s="1">
        <f t="shared" si="51"/>
        <v>-1453.56</v>
      </c>
      <c r="Y126" s="1"/>
      <c r="Z126" s="5">
        <f t="shared" si="52"/>
        <v>-0.93778064516129034</v>
      </c>
    </row>
    <row r="127" spans="1:26" s="24" customFormat="1" hidden="1" outlineLevel="2" x14ac:dyDescent="0.35">
      <c r="A127" s="29"/>
      <c r="B127" s="11" t="str">
        <f>CONCATENATE("          ", "6373", " - ", "MAINTENANCE CONTRACTS")</f>
        <v xml:space="preserve">          6373 - MAINTENANCE CONTRACTS</v>
      </c>
      <c r="C127" s="11"/>
      <c r="D127" s="7"/>
      <c r="E127" s="2"/>
      <c r="F127" s="6">
        <f t="shared" si="45"/>
        <v>0</v>
      </c>
      <c r="G127" s="2"/>
      <c r="H127" s="7"/>
      <c r="I127" s="2"/>
      <c r="J127" s="6">
        <f t="shared" si="46"/>
        <v>0</v>
      </c>
      <c r="K127" s="2"/>
      <c r="L127" s="7">
        <f t="shared" si="47"/>
        <v>0</v>
      </c>
      <c r="M127" s="2"/>
      <c r="N127" s="6">
        <f t="shared" si="48"/>
        <v>0</v>
      </c>
      <c r="O127" s="11"/>
      <c r="P127" s="7">
        <v>96.44</v>
      </c>
      <c r="Q127" s="2"/>
      <c r="R127" s="6">
        <f t="shared" si="49"/>
        <v>8.098669200711486E-5</v>
      </c>
      <c r="S127" s="2"/>
      <c r="T127" s="7"/>
      <c r="U127" s="2"/>
      <c r="V127" s="6">
        <f t="shared" si="50"/>
        <v>0</v>
      </c>
      <c r="W127" s="2"/>
      <c r="X127" s="7">
        <f t="shared" si="51"/>
        <v>96.44</v>
      </c>
      <c r="Y127" s="2"/>
      <c r="Z127" s="6">
        <f t="shared" si="52"/>
        <v>0</v>
      </c>
    </row>
    <row r="128" spans="1:26" s="24" customFormat="1" hidden="1" outlineLevel="2" x14ac:dyDescent="0.35">
      <c r="A128" s="29"/>
      <c r="B128" s="11" t="str">
        <f>CONCATENATE("          ", "6375", " - ", "OUTSIDE REPAIRS &amp; MAINTENANCE")</f>
        <v xml:space="preserve">          6375 - OUTSIDE REPAIRS &amp; MAINTENANCE</v>
      </c>
      <c r="C128" s="11"/>
      <c r="D128" s="7"/>
      <c r="E128" s="2"/>
      <c r="F128" s="6">
        <f t="shared" si="45"/>
        <v>0</v>
      </c>
      <c r="G128" s="2"/>
      <c r="H128" s="7">
        <v>150</v>
      </c>
      <c r="I128" s="2"/>
      <c r="J128" s="6">
        <f t="shared" si="46"/>
        <v>5.3312861194634593E-4</v>
      </c>
      <c r="K128" s="2"/>
      <c r="L128" s="7">
        <f t="shared" si="47"/>
        <v>-150</v>
      </c>
      <c r="M128" s="2"/>
      <c r="N128" s="6">
        <f t="shared" si="48"/>
        <v>-1</v>
      </c>
      <c r="O128" s="11"/>
      <c r="P128" s="7"/>
      <c r="Q128" s="2"/>
      <c r="R128" s="6">
        <f t="shared" si="49"/>
        <v>0</v>
      </c>
      <c r="S128" s="2"/>
      <c r="T128" s="7">
        <v>1550</v>
      </c>
      <c r="U128" s="2"/>
      <c r="V128" s="6">
        <f t="shared" si="50"/>
        <v>7.1392085795784555E-4</v>
      </c>
      <c r="W128" s="2"/>
      <c r="X128" s="7">
        <f t="shared" si="51"/>
        <v>-1550</v>
      </c>
      <c r="Y128" s="2"/>
      <c r="Z128" s="6">
        <f t="shared" si="52"/>
        <v>-1</v>
      </c>
    </row>
    <row r="129" spans="1:26" s="28" customFormat="1" outlineLevel="1" collapsed="1" x14ac:dyDescent="0.35">
      <c r="A129" s="27"/>
      <c r="B129" s="14" t="str">
        <f>CONCATENATE("     ","Royalty &amp; Commissions                             ")</f>
        <v xml:space="preserve">     Royalty &amp; Commissions                             </v>
      </c>
      <c r="C129" s="14"/>
      <c r="D129" s="1">
        <f>SUM(OSRRefD22_15x_0)</f>
        <v>7785.78</v>
      </c>
      <c r="E129" s="1"/>
      <c r="F129" s="5">
        <f t="shared" ref="F129:F132" si="53">IF(D$12=0,0,D129/D$12)</f>
        <v>4.8572365074372195E-2</v>
      </c>
      <c r="G129" s="1"/>
      <c r="H129" s="1">
        <f>SUM(OSRRefH22_15x_0)</f>
        <v>6271</v>
      </c>
      <c r="I129" s="1"/>
      <c r="J129" s="5">
        <f t="shared" ref="J129:J132" si="54">IF(H$12=0,0,H129/H$12)</f>
        <v>2.2288330170103569E-2</v>
      </c>
      <c r="K129" s="1"/>
      <c r="L129" s="1">
        <f t="shared" ref="L129:L132" si="55">+D129-H129</f>
        <v>1514.7799999999997</v>
      </c>
      <c r="M129" s="1"/>
      <c r="N129" s="5">
        <f t="shared" ref="N129:N132" si="56">IF(H129=0,0,L129/H129)</f>
        <v>0.24155318131079567</v>
      </c>
      <c r="O129" s="14"/>
      <c r="P129" s="1">
        <f>SUM(OSRRefP22_15x_0)</f>
        <v>26197.58</v>
      </c>
      <c r="Q129" s="1"/>
      <c r="R129" s="5">
        <f t="shared" ref="R129:R132" si="57">IF(P$12=0,0,P129/P$12)</f>
        <v>2.1999744325920285E-2</v>
      </c>
      <c r="S129" s="1"/>
      <c r="T129" s="1">
        <f>SUM(OSRRefT22_15x_0)</f>
        <v>43897</v>
      </c>
      <c r="U129" s="1"/>
      <c r="V129" s="5">
        <f t="shared" ref="V129:V132" si="58">IF(T$12=0,0,T129/T$12)</f>
        <v>2.0218699291468092E-2</v>
      </c>
      <c r="W129" s="1"/>
      <c r="X129" s="1">
        <f t="shared" ref="X129:X132" si="59">+P129-T129</f>
        <v>-17699.419999999998</v>
      </c>
      <c r="Y129" s="1"/>
      <c r="Z129" s="5">
        <f t="shared" ref="Z129:Z132" si="60">IF(T129=0,0,X129/T129)</f>
        <v>-0.4032034079777661</v>
      </c>
    </row>
    <row r="130" spans="1:26" s="24" customFormat="1" hidden="1" outlineLevel="2" x14ac:dyDescent="0.35">
      <c r="A130" s="29"/>
      <c r="B130" s="11" t="str">
        <f>CONCATENATE("          ", "6252", " - ", "ROYALTY DUE CSTV")</f>
        <v xml:space="preserve">          6252 - ROYALTY DUE CSTV</v>
      </c>
      <c r="C130" s="11"/>
      <c r="D130" s="7"/>
      <c r="E130" s="2"/>
      <c r="F130" s="6">
        <f t="shared" si="53"/>
        <v>0</v>
      </c>
      <c r="G130" s="2"/>
      <c r="H130" s="7">
        <v>1085</v>
      </c>
      <c r="I130" s="2"/>
      <c r="J130" s="6">
        <f t="shared" si="54"/>
        <v>3.8562969597452355E-3</v>
      </c>
      <c r="K130" s="2"/>
      <c r="L130" s="7">
        <f t="shared" si="55"/>
        <v>-1085</v>
      </c>
      <c r="M130" s="2"/>
      <c r="N130" s="6">
        <f t="shared" si="56"/>
        <v>-1</v>
      </c>
      <c r="O130" s="11"/>
      <c r="P130" s="7"/>
      <c r="Q130" s="2"/>
      <c r="R130" s="6">
        <f t="shared" si="57"/>
        <v>0</v>
      </c>
      <c r="S130" s="2"/>
      <c r="T130" s="7">
        <v>7595</v>
      </c>
      <c r="U130" s="2"/>
      <c r="V130" s="6">
        <f t="shared" si="58"/>
        <v>3.4982122039934429E-3</v>
      </c>
      <c r="W130" s="2"/>
      <c r="X130" s="7">
        <f t="shared" si="59"/>
        <v>-7595</v>
      </c>
      <c r="Y130" s="2"/>
      <c r="Z130" s="6">
        <f t="shared" si="60"/>
        <v>-1</v>
      </c>
    </row>
    <row r="131" spans="1:26" s="24" customFormat="1" hidden="1" outlineLevel="2" x14ac:dyDescent="0.35">
      <c r="A131" s="29"/>
      <c r="B131" s="11" t="str">
        <f>CONCATENATE("          ", "6253", " - ", "ROYALTY DUE ATHLETICS-LRG")</f>
        <v xml:space="preserve">          6253 - ROYALTY DUE ATHLETICS-LRG</v>
      </c>
      <c r="C131" s="11"/>
      <c r="D131" s="7">
        <v>7785.78</v>
      </c>
      <c r="E131" s="2"/>
      <c r="F131" s="6">
        <f t="shared" si="53"/>
        <v>4.8572365074372195E-2</v>
      </c>
      <c r="G131" s="2"/>
      <c r="H131" s="7">
        <v>4037</v>
      </c>
      <c r="I131" s="2"/>
      <c r="J131" s="6">
        <f t="shared" si="54"/>
        <v>1.4348268042849324E-2</v>
      </c>
      <c r="K131" s="2"/>
      <c r="L131" s="7">
        <f t="shared" si="55"/>
        <v>3748.7799999999997</v>
      </c>
      <c r="M131" s="2"/>
      <c r="N131" s="6">
        <f t="shared" si="56"/>
        <v>0.92860540004954173</v>
      </c>
      <c r="O131" s="11"/>
      <c r="P131" s="7">
        <v>26197.58</v>
      </c>
      <c r="Q131" s="2"/>
      <c r="R131" s="6">
        <f t="shared" si="57"/>
        <v>2.1999744325920285E-2</v>
      </c>
      <c r="S131" s="2"/>
      <c r="T131" s="7">
        <v>28259</v>
      </c>
      <c r="U131" s="2"/>
      <c r="V131" s="6">
        <f t="shared" si="58"/>
        <v>1.3015928725826294E-2</v>
      </c>
      <c r="W131" s="2"/>
      <c r="X131" s="7">
        <f t="shared" si="59"/>
        <v>-2061.4199999999983</v>
      </c>
      <c r="Y131" s="2"/>
      <c r="Z131" s="6">
        <f t="shared" si="60"/>
        <v>-7.2947379595880893E-2</v>
      </c>
    </row>
    <row r="132" spans="1:26" s="24" customFormat="1" hidden="1" outlineLevel="2" x14ac:dyDescent="0.35">
      <c r="A132" s="29"/>
      <c r="B132" s="11" t="str">
        <f>CONCATENATE("          ", "6254", " - ", "ROYALTY &amp; COMMISSIONS")</f>
        <v xml:space="preserve">          6254 - ROYALTY &amp; COMMISSIONS</v>
      </c>
      <c r="C132" s="11"/>
      <c r="D132" s="7"/>
      <c r="E132" s="2"/>
      <c r="F132" s="6">
        <f t="shared" si="53"/>
        <v>0</v>
      </c>
      <c r="G132" s="2"/>
      <c r="H132" s="7">
        <v>1149</v>
      </c>
      <c r="I132" s="2"/>
      <c r="J132" s="6">
        <f t="shared" si="54"/>
        <v>4.0837651675090098E-3</v>
      </c>
      <c r="K132" s="2"/>
      <c r="L132" s="7">
        <f t="shared" si="55"/>
        <v>-1149</v>
      </c>
      <c r="M132" s="2"/>
      <c r="N132" s="6">
        <f t="shared" si="56"/>
        <v>-1</v>
      </c>
      <c r="O132" s="11"/>
      <c r="P132" s="7"/>
      <c r="Q132" s="2"/>
      <c r="R132" s="6">
        <f t="shared" si="57"/>
        <v>0</v>
      </c>
      <c r="S132" s="2"/>
      <c r="T132" s="7">
        <v>8043</v>
      </c>
      <c r="U132" s="2"/>
      <c r="V132" s="6">
        <f t="shared" si="58"/>
        <v>3.7045583616483559E-3</v>
      </c>
      <c r="W132" s="2"/>
      <c r="X132" s="7">
        <f t="shared" si="59"/>
        <v>-8043</v>
      </c>
      <c r="Y132" s="2"/>
      <c r="Z132" s="6">
        <f t="shared" si="60"/>
        <v>-1</v>
      </c>
    </row>
    <row r="133" spans="1:26" s="28" customFormat="1" outlineLevel="1" collapsed="1" x14ac:dyDescent="0.35">
      <c r="A133" s="27"/>
      <c r="B133" s="14" t="str">
        <f>CONCATENATE("     ","Services                                          ")</f>
        <v xml:space="preserve">     Services                                          </v>
      </c>
      <c r="C133" s="14"/>
      <c r="D133" s="1">
        <f>SUM(OSRRefD22_16x_0)</f>
        <v>81.84</v>
      </c>
      <c r="E133" s="1"/>
      <c r="F133" s="5">
        <f t="shared" ref="F133:F136" si="61">IF(D$12=0,0,D133/D$12)</f>
        <v>5.1056700262358057E-4</v>
      </c>
      <c r="G133" s="1"/>
      <c r="H133" s="1">
        <f>SUM(OSRRefH22_16x_0)</f>
        <v>480</v>
      </c>
      <c r="I133" s="1"/>
      <c r="J133" s="5">
        <f t="shared" ref="J133:J136" si="62">IF(H$12=0,0,H133/H$12)</f>
        <v>1.706011558228307E-3</v>
      </c>
      <c r="K133" s="1"/>
      <c r="L133" s="1">
        <f t="shared" ref="L133:L136" si="63">+D133-H133</f>
        <v>-398.15999999999997</v>
      </c>
      <c r="M133" s="1"/>
      <c r="N133" s="5">
        <f t="shared" ref="N133:N136" si="64">IF(H133=0,0,L133/H133)</f>
        <v>-0.8294999999999999</v>
      </c>
      <c r="O133" s="14"/>
      <c r="P133" s="1">
        <f>SUM(OSRRefP22_16x_0)</f>
        <v>274.65999999999997</v>
      </c>
      <c r="Q133" s="1"/>
      <c r="R133" s="5">
        <f t="shared" ref="R133:R136" si="65">IF(P$12=0,0,P133/P$12)</f>
        <v>2.3064915830230365E-4</v>
      </c>
      <c r="S133" s="1"/>
      <c r="T133" s="1">
        <f>SUM(OSRRefT22_16x_0)</f>
        <v>1520</v>
      </c>
      <c r="U133" s="1"/>
      <c r="V133" s="5">
        <f t="shared" ref="V133:V136" si="66">IF(T$12=0,0,T133/T$12)</f>
        <v>7.0010303490059683E-4</v>
      </c>
      <c r="W133" s="1"/>
      <c r="X133" s="1">
        <f t="shared" ref="X133:X136" si="67">+P133-T133</f>
        <v>-1245.3400000000001</v>
      </c>
      <c r="Y133" s="1"/>
      <c r="Z133" s="5">
        <f t="shared" ref="Z133:Z136" si="68">IF(T133=0,0,X133/T133)</f>
        <v>-0.81930263157894745</v>
      </c>
    </row>
    <row r="134" spans="1:26" s="24" customFormat="1" hidden="1" outlineLevel="2" x14ac:dyDescent="0.35">
      <c r="A134" s="29"/>
      <c r="B134" s="11" t="str">
        <f>CONCATENATE("          ", "6283", " - ", "PLANT SERVICE")</f>
        <v xml:space="preserve">          6283 - PLANT SERVICE</v>
      </c>
      <c r="C134" s="11"/>
      <c r="D134" s="7"/>
      <c r="E134" s="2"/>
      <c r="F134" s="6">
        <f t="shared" si="61"/>
        <v>0</v>
      </c>
      <c r="G134" s="2"/>
      <c r="H134" s="7">
        <v>0</v>
      </c>
      <c r="I134" s="2"/>
      <c r="J134" s="6">
        <f t="shared" si="62"/>
        <v>0</v>
      </c>
      <c r="K134" s="2"/>
      <c r="L134" s="7">
        <f t="shared" si="63"/>
        <v>0</v>
      </c>
      <c r="M134" s="2"/>
      <c r="N134" s="6">
        <f t="shared" si="64"/>
        <v>0</v>
      </c>
      <c r="O134" s="11"/>
      <c r="P134" s="7">
        <v>41.31</v>
      </c>
      <c r="Q134" s="2"/>
      <c r="R134" s="6">
        <f t="shared" si="65"/>
        <v>3.4690587378825329E-5</v>
      </c>
      <c r="S134" s="2"/>
      <c r="T134" s="7">
        <v>0</v>
      </c>
      <c r="U134" s="2"/>
      <c r="V134" s="6">
        <f t="shared" si="66"/>
        <v>0</v>
      </c>
      <c r="W134" s="2"/>
      <c r="X134" s="7">
        <f t="shared" si="67"/>
        <v>41.31</v>
      </c>
      <c r="Y134" s="2"/>
      <c r="Z134" s="6">
        <f t="shared" si="68"/>
        <v>0</v>
      </c>
    </row>
    <row r="135" spans="1:26" s="24" customFormat="1" hidden="1" outlineLevel="2" x14ac:dyDescent="0.35">
      <c r="A135" s="29"/>
      <c r="B135" s="11" t="str">
        <f>CONCATENATE("          ", "6284", " - ", "TRASH REMOVAL EXPENSE")</f>
        <v xml:space="preserve">          6284 - TRASH REMOVAL EXPENSE</v>
      </c>
      <c r="C135" s="11"/>
      <c r="D135" s="7">
        <v>142.57</v>
      </c>
      <c r="E135" s="2"/>
      <c r="F135" s="6">
        <f t="shared" si="61"/>
        <v>8.8943716476104441E-4</v>
      </c>
      <c r="G135" s="2"/>
      <c r="H135" s="7">
        <v>55</v>
      </c>
      <c r="I135" s="2"/>
      <c r="J135" s="6">
        <f t="shared" si="62"/>
        <v>1.954804910469935E-4</v>
      </c>
      <c r="K135" s="2"/>
      <c r="L135" s="7">
        <f t="shared" si="63"/>
        <v>87.57</v>
      </c>
      <c r="M135" s="2"/>
      <c r="N135" s="6">
        <f t="shared" si="64"/>
        <v>1.5921818181818181</v>
      </c>
      <c r="O135" s="11"/>
      <c r="P135" s="7">
        <v>1013.01</v>
      </c>
      <c r="Q135" s="2"/>
      <c r="R135" s="6">
        <f t="shared" si="65"/>
        <v>8.5068777343558092E-4</v>
      </c>
      <c r="S135" s="2"/>
      <c r="T135" s="7">
        <v>495</v>
      </c>
      <c r="U135" s="2"/>
      <c r="V135" s="6">
        <f t="shared" si="66"/>
        <v>2.2799408044460229E-4</v>
      </c>
      <c r="W135" s="2"/>
      <c r="X135" s="7">
        <f t="shared" si="67"/>
        <v>518.01</v>
      </c>
      <c r="Y135" s="2"/>
      <c r="Z135" s="6">
        <f t="shared" si="68"/>
        <v>1.0464848484848486</v>
      </c>
    </row>
    <row r="136" spans="1:26" s="24" customFormat="1" hidden="1" outlineLevel="2" x14ac:dyDescent="0.35">
      <c r="A136" s="29"/>
      <c r="B136" s="11" t="str">
        <f>CONCATENATE("          ", "6285", " - ", "JANITORIAL SERVICES")</f>
        <v xml:space="preserve">          6285 - JANITORIAL SERVICES</v>
      </c>
      <c r="C136" s="11"/>
      <c r="D136" s="7">
        <v>-60.73</v>
      </c>
      <c r="E136" s="2"/>
      <c r="F136" s="6">
        <f t="shared" si="61"/>
        <v>-3.7887016213746389E-4</v>
      </c>
      <c r="G136" s="2"/>
      <c r="H136" s="7">
        <v>425</v>
      </c>
      <c r="I136" s="2"/>
      <c r="J136" s="6">
        <f t="shared" si="62"/>
        <v>1.5105310671813135E-3</v>
      </c>
      <c r="K136" s="2"/>
      <c r="L136" s="7">
        <f t="shared" si="63"/>
        <v>-485.73</v>
      </c>
      <c r="M136" s="2"/>
      <c r="N136" s="6">
        <f t="shared" si="64"/>
        <v>-1.1428941176470588</v>
      </c>
      <c r="O136" s="11"/>
      <c r="P136" s="7">
        <v>-779.66</v>
      </c>
      <c r="Q136" s="2"/>
      <c r="R136" s="6">
        <f t="shared" si="65"/>
        <v>-6.5472920251210252E-4</v>
      </c>
      <c r="S136" s="2"/>
      <c r="T136" s="7">
        <v>1025</v>
      </c>
      <c r="U136" s="2"/>
      <c r="V136" s="6">
        <f t="shared" si="66"/>
        <v>4.721089544559946E-4</v>
      </c>
      <c r="W136" s="2"/>
      <c r="X136" s="7">
        <f t="shared" si="67"/>
        <v>-1804.6599999999999</v>
      </c>
      <c r="Y136" s="2"/>
      <c r="Z136" s="6">
        <f t="shared" si="68"/>
        <v>-1.7606439024390244</v>
      </c>
    </row>
    <row r="137" spans="1:26" s="28" customFormat="1" outlineLevel="1" collapsed="1" x14ac:dyDescent="0.35">
      <c r="A137" s="27"/>
      <c r="B137" s="14" t="str">
        <f>CONCATENATE("     ","Subscriptions &amp; Dues                              ")</f>
        <v xml:space="preserve">     Subscriptions &amp; Dues                              </v>
      </c>
      <c r="C137" s="14"/>
      <c r="D137" s="1">
        <f>SUM(OSRRefD22_17x_0)</f>
        <v>208.7</v>
      </c>
      <c r="E137" s="1"/>
      <c r="F137" s="5">
        <f t="shared" ref="F137:F139" si="69">IF(D$12=0,0,D137/D$12)</f>
        <v>1.3019957654880408E-3</v>
      </c>
      <c r="G137" s="1"/>
      <c r="H137" s="1">
        <f>SUM(OSRRefH22_17x_0)</f>
        <v>0</v>
      </c>
      <c r="I137" s="1"/>
      <c r="J137" s="5">
        <f t="shared" ref="J137:J139" si="70">IF(H$12=0,0,H137/H$12)</f>
        <v>0</v>
      </c>
      <c r="K137" s="1"/>
      <c r="L137" s="1">
        <f t="shared" ref="L137:L139" si="71">+D137-H137</f>
        <v>208.7</v>
      </c>
      <c r="M137" s="1"/>
      <c r="N137" s="5">
        <f t="shared" ref="N137:N139" si="72">IF(H137=0,0,L137/H137)</f>
        <v>0</v>
      </c>
      <c r="O137" s="14"/>
      <c r="P137" s="1">
        <f>SUM(OSRRefP22_17x_0)</f>
        <v>-67.299999999999955</v>
      </c>
      <c r="Q137" s="1"/>
      <c r="R137" s="5">
        <f t="shared" ref="R137:R139" si="73">IF(P$12=0,0,P137/P$12)</f>
        <v>-5.6516013812513754E-5</v>
      </c>
      <c r="S137" s="1"/>
      <c r="T137" s="1">
        <f>SUM(OSRRefT22_17x_0)</f>
        <v>1395</v>
      </c>
      <c r="U137" s="1"/>
      <c r="V137" s="5">
        <f t="shared" ref="V137:V139" si="74">IF(T$12=0,0,T137/T$12)</f>
        <v>6.4252877216206092E-4</v>
      </c>
      <c r="W137" s="1"/>
      <c r="X137" s="1">
        <f t="shared" ref="X137:X139" si="75">+P137-T137</f>
        <v>-1462.3</v>
      </c>
      <c r="Y137" s="1"/>
      <c r="Z137" s="5">
        <f t="shared" ref="Z137:Z139" si="76">IF(T137=0,0,X137/T137)</f>
        <v>-1.0482437275985663</v>
      </c>
    </row>
    <row r="138" spans="1:26" s="24" customFormat="1" hidden="1" outlineLevel="2" x14ac:dyDescent="0.35">
      <c r="A138" s="29"/>
      <c r="B138" s="11" t="str">
        <f>CONCATENATE("          ", "6258", " - ", "MEMBERSHIP DUES")</f>
        <v xml:space="preserve">          6258 - MEMBERSHIP DUES</v>
      </c>
      <c r="C138" s="11"/>
      <c r="D138" s="7">
        <v>133.69999999999999</v>
      </c>
      <c r="E138" s="2"/>
      <c r="F138" s="6">
        <f t="shared" si="69"/>
        <v>8.341007850778679E-4</v>
      </c>
      <c r="G138" s="2"/>
      <c r="H138" s="7">
        <v>0</v>
      </c>
      <c r="I138" s="2"/>
      <c r="J138" s="6">
        <f t="shared" si="70"/>
        <v>0</v>
      </c>
      <c r="K138" s="2"/>
      <c r="L138" s="7">
        <f t="shared" si="71"/>
        <v>133.69999999999999</v>
      </c>
      <c r="M138" s="2"/>
      <c r="N138" s="6">
        <f t="shared" si="72"/>
        <v>0</v>
      </c>
      <c r="O138" s="11"/>
      <c r="P138" s="7">
        <v>-368.03</v>
      </c>
      <c r="Q138" s="2"/>
      <c r="R138" s="6">
        <f t="shared" si="73"/>
        <v>-3.0905777954560846E-4</v>
      </c>
      <c r="S138" s="2"/>
      <c r="T138" s="7">
        <v>1395</v>
      </c>
      <c r="U138" s="2"/>
      <c r="V138" s="6">
        <f t="shared" si="74"/>
        <v>6.4252877216206092E-4</v>
      </c>
      <c r="W138" s="2"/>
      <c r="X138" s="7">
        <f t="shared" si="75"/>
        <v>-1763.03</v>
      </c>
      <c r="Y138" s="2"/>
      <c r="Z138" s="6">
        <f t="shared" si="76"/>
        <v>-1.263820788530466</v>
      </c>
    </row>
    <row r="139" spans="1:26" s="24" customFormat="1" hidden="1" outlineLevel="2" x14ac:dyDescent="0.35">
      <c r="A139" s="29"/>
      <c r="B139" s="11" t="str">
        <f>CONCATENATE("          ", "6275", " - ", "SUBSCRIPTIONS")</f>
        <v xml:space="preserve">          6275 - SUBSCRIPTIONS</v>
      </c>
      <c r="C139" s="11"/>
      <c r="D139" s="7">
        <v>75</v>
      </c>
      <c r="E139" s="2"/>
      <c r="F139" s="6">
        <f t="shared" si="69"/>
        <v>4.6789498041017275E-4</v>
      </c>
      <c r="G139" s="2"/>
      <c r="H139" s="7">
        <v>0</v>
      </c>
      <c r="I139" s="2"/>
      <c r="J139" s="6">
        <f t="shared" si="70"/>
        <v>0</v>
      </c>
      <c r="K139" s="2"/>
      <c r="L139" s="7">
        <f t="shared" si="71"/>
        <v>75</v>
      </c>
      <c r="M139" s="2"/>
      <c r="N139" s="6">
        <f t="shared" si="72"/>
        <v>0</v>
      </c>
      <c r="O139" s="11"/>
      <c r="P139" s="7">
        <v>300.73</v>
      </c>
      <c r="Q139" s="2"/>
      <c r="R139" s="6">
        <f t="shared" si="73"/>
        <v>2.5254176573309472E-4</v>
      </c>
      <c r="S139" s="2"/>
      <c r="T139" s="7">
        <v>0</v>
      </c>
      <c r="U139" s="2"/>
      <c r="V139" s="6">
        <f t="shared" si="74"/>
        <v>0</v>
      </c>
      <c r="W139" s="2"/>
      <c r="X139" s="7">
        <f t="shared" si="75"/>
        <v>300.73</v>
      </c>
      <c r="Y139" s="2"/>
      <c r="Z139" s="6">
        <f t="shared" si="76"/>
        <v>0</v>
      </c>
    </row>
    <row r="140" spans="1:26" s="28" customFormat="1" outlineLevel="1" collapsed="1" x14ac:dyDescent="0.35">
      <c r="A140" s="27"/>
      <c r="B140" s="14" t="str">
        <f>CONCATENATE("     ","Supplies                                          ")</f>
        <v xml:space="preserve">     Supplies                                          </v>
      </c>
      <c r="C140" s="14"/>
      <c r="D140" s="1">
        <f>SUM(OSRRefD22_18x_0)</f>
        <v>1606.65</v>
      </c>
      <c r="E140" s="1"/>
      <c r="F140" s="5">
        <f t="shared" ref="F140:F148" si="77">IF(D$12=0,0,D140/D$12)</f>
        <v>1.0023246270346722E-2</v>
      </c>
      <c r="G140" s="1"/>
      <c r="H140" s="1">
        <f>SUM(OSRRefH22_18x_0)</f>
        <v>645</v>
      </c>
      <c r="I140" s="1"/>
      <c r="J140" s="5">
        <f t="shared" ref="J140:J148" si="78">IF(H$12=0,0,H140/H$12)</f>
        <v>2.2924530313692877E-3</v>
      </c>
      <c r="K140" s="1"/>
      <c r="L140" s="1">
        <f t="shared" ref="L140:L148" si="79">+D140-H140</f>
        <v>961.65000000000009</v>
      </c>
      <c r="M140" s="1"/>
      <c r="N140" s="5">
        <f t="shared" ref="N140:N148" si="80">IF(H140=0,0,L140/H140)</f>
        <v>1.4909302325581397</v>
      </c>
      <c r="O140" s="14"/>
      <c r="P140" s="1">
        <f>SUM(OSRRefP22_18x_0)</f>
        <v>3851.1400000000003</v>
      </c>
      <c r="Q140" s="1"/>
      <c r="R140" s="5">
        <f t="shared" ref="R140:R148" si="81">IF(P$12=0,0,P140/P$12)</f>
        <v>3.2340428147685642E-3</v>
      </c>
      <c r="S140" s="1"/>
      <c r="T140" s="1">
        <f>SUM(OSRRefT22_18x_0)</f>
        <v>4405</v>
      </c>
      <c r="U140" s="1"/>
      <c r="V140" s="5">
        <f t="shared" ref="V140:V148" si="82">IF(T$12=0,0,T140/T$12)</f>
        <v>2.028917018906006E-3</v>
      </c>
      <c r="W140" s="1"/>
      <c r="X140" s="1">
        <f t="shared" ref="X140:X148" si="83">+P140-T140</f>
        <v>-553.85999999999967</v>
      </c>
      <c r="Y140" s="1"/>
      <c r="Z140" s="5">
        <f t="shared" ref="Z140:Z148" si="84">IF(T140=0,0,X140/T140)</f>
        <v>-0.12573439273552772</v>
      </c>
    </row>
    <row r="141" spans="1:26" s="24" customFormat="1" hidden="1" outlineLevel="2" x14ac:dyDescent="0.35">
      <c r="A141" s="29"/>
      <c r="B141" s="11" t="str">
        <f>CONCATENATE("          ", "6234", " - ", "EXPENDABLE SUPPLIES &amp; EQUIPMEN")</f>
        <v xml:space="preserve">          6234 - EXPENDABLE SUPPLIES &amp; EQUIPMEN</v>
      </c>
      <c r="C141" s="11"/>
      <c r="D141" s="7">
        <v>396.5</v>
      </c>
      <c r="E141" s="2"/>
      <c r="F141" s="6">
        <f t="shared" si="77"/>
        <v>2.4736047964351135E-3</v>
      </c>
      <c r="G141" s="2"/>
      <c r="H141" s="7">
        <v>50</v>
      </c>
      <c r="I141" s="2"/>
      <c r="J141" s="6">
        <f t="shared" si="78"/>
        <v>1.7770953731544863E-4</v>
      </c>
      <c r="K141" s="2"/>
      <c r="L141" s="7">
        <f t="shared" si="79"/>
        <v>346.5</v>
      </c>
      <c r="M141" s="2"/>
      <c r="N141" s="6">
        <f t="shared" si="80"/>
        <v>6.93</v>
      </c>
      <c r="O141" s="11"/>
      <c r="P141" s="7">
        <v>396.5</v>
      </c>
      <c r="Q141" s="2"/>
      <c r="R141" s="6">
        <f t="shared" si="81"/>
        <v>3.3296581688947572E-4</v>
      </c>
      <c r="S141" s="2"/>
      <c r="T141" s="7">
        <v>350</v>
      </c>
      <c r="U141" s="2"/>
      <c r="V141" s="6">
        <f t="shared" si="82"/>
        <v>1.612079356679006E-4</v>
      </c>
      <c r="W141" s="2"/>
      <c r="X141" s="7">
        <f t="shared" si="83"/>
        <v>46.5</v>
      </c>
      <c r="Y141" s="2"/>
      <c r="Z141" s="6">
        <f t="shared" si="84"/>
        <v>0.13285714285714287</v>
      </c>
    </row>
    <row r="142" spans="1:26" s="24" customFormat="1" hidden="1" outlineLevel="2" x14ac:dyDescent="0.35">
      <c r="A142" s="29"/>
      <c r="B142" s="11" t="str">
        <f>CONCATENATE("          ", "6235", " - ", "COVID-19 EXPENSES")</f>
        <v xml:space="preserve">          6235 - COVID-19 EXPENSES</v>
      </c>
      <c r="C142" s="11"/>
      <c r="D142" s="7"/>
      <c r="E142" s="2"/>
      <c r="F142" s="6">
        <f t="shared" si="77"/>
        <v>0</v>
      </c>
      <c r="G142" s="2"/>
      <c r="H142" s="7">
        <v>200</v>
      </c>
      <c r="I142" s="2"/>
      <c r="J142" s="6">
        <f t="shared" si="78"/>
        <v>7.1083814926179453E-4</v>
      </c>
      <c r="K142" s="2"/>
      <c r="L142" s="7">
        <f t="shared" si="79"/>
        <v>-200</v>
      </c>
      <c r="M142" s="2"/>
      <c r="N142" s="6">
        <f t="shared" si="80"/>
        <v>-1</v>
      </c>
      <c r="O142" s="11"/>
      <c r="P142" s="7">
        <v>1292.1300000000001</v>
      </c>
      <c r="Q142" s="2"/>
      <c r="R142" s="6">
        <f t="shared" si="81"/>
        <v>1.0850822723263514E-3</v>
      </c>
      <c r="S142" s="2"/>
      <c r="T142" s="7">
        <v>1400</v>
      </c>
      <c r="U142" s="2"/>
      <c r="V142" s="6">
        <f t="shared" si="82"/>
        <v>6.4483174267160239E-4</v>
      </c>
      <c r="W142" s="2"/>
      <c r="X142" s="7">
        <f t="shared" si="83"/>
        <v>-107.86999999999989</v>
      </c>
      <c r="Y142" s="2"/>
      <c r="Z142" s="6">
        <f t="shared" si="84"/>
        <v>-7.7049999999999924E-2</v>
      </c>
    </row>
    <row r="143" spans="1:26" s="24" customFormat="1" hidden="1" outlineLevel="2" x14ac:dyDescent="0.35">
      <c r="A143" s="29"/>
      <c r="B143" s="11" t="str">
        <f>CONCATENATE("          ", "6237", " - ", "JANITORIAL SUPPLIES")</f>
        <v xml:space="preserve">          6237 - JANITORIAL SUPPLIES</v>
      </c>
      <c r="C143" s="11"/>
      <c r="D143" s="7"/>
      <c r="E143" s="2"/>
      <c r="F143" s="6">
        <f t="shared" si="77"/>
        <v>0</v>
      </c>
      <c r="G143" s="2"/>
      <c r="H143" s="7">
        <v>70</v>
      </c>
      <c r="I143" s="2"/>
      <c r="J143" s="6">
        <f t="shared" si="78"/>
        <v>2.4879335224162809E-4</v>
      </c>
      <c r="K143" s="2"/>
      <c r="L143" s="7">
        <f t="shared" si="79"/>
        <v>-70</v>
      </c>
      <c r="M143" s="2"/>
      <c r="N143" s="6">
        <f t="shared" si="80"/>
        <v>-1</v>
      </c>
      <c r="O143" s="11"/>
      <c r="P143" s="7">
        <v>191.74</v>
      </c>
      <c r="Q143" s="2"/>
      <c r="R143" s="6">
        <f t="shared" si="81"/>
        <v>1.6101605480551849E-4</v>
      </c>
      <c r="S143" s="2"/>
      <c r="T143" s="7">
        <v>480</v>
      </c>
      <c r="U143" s="2"/>
      <c r="V143" s="6">
        <f t="shared" si="82"/>
        <v>2.2108516891597795E-4</v>
      </c>
      <c r="W143" s="2"/>
      <c r="X143" s="7">
        <f t="shared" si="83"/>
        <v>-288.26</v>
      </c>
      <c r="Y143" s="2"/>
      <c r="Z143" s="6">
        <f t="shared" si="84"/>
        <v>-0.60054166666666664</v>
      </c>
    </row>
    <row r="144" spans="1:26" s="24" customFormat="1" hidden="1" outlineLevel="2" x14ac:dyDescent="0.35">
      <c r="A144" s="29"/>
      <c r="B144" s="11" t="str">
        <f>CONCATENATE("          ", "6241", " - ", "OFFICE EXPENSE")</f>
        <v xml:space="preserve">          6241 - OFFICE EXPENSE</v>
      </c>
      <c r="C144" s="11"/>
      <c r="D144" s="7">
        <v>337.04</v>
      </c>
      <c r="E144" s="2"/>
      <c r="F144" s="6">
        <f t="shared" si="77"/>
        <v>2.1026576559659287E-3</v>
      </c>
      <c r="G144" s="2"/>
      <c r="H144" s="7">
        <v>125</v>
      </c>
      <c r="I144" s="2"/>
      <c r="J144" s="6">
        <f t="shared" si="78"/>
        <v>4.4427384328862162E-4</v>
      </c>
      <c r="K144" s="2"/>
      <c r="L144" s="7">
        <f t="shared" si="79"/>
        <v>212.04000000000002</v>
      </c>
      <c r="M144" s="2"/>
      <c r="N144" s="6">
        <f t="shared" si="80"/>
        <v>1.6963200000000003</v>
      </c>
      <c r="O144" s="11"/>
      <c r="P144" s="7">
        <v>904.2</v>
      </c>
      <c r="Q144" s="2"/>
      <c r="R144" s="6">
        <f t="shared" si="81"/>
        <v>7.5931321975148541E-4</v>
      </c>
      <c r="S144" s="2"/>
      <c r="T144" s="7">
        <v>875</v>
      </c>
      <c r="U144" s="2"/>
      <c r="V144" s="6">
        <f t="shared" si="82"/>
        <v>4.0301983916975149E-4</v>
      </c>
      <c r="W144" s="2"/>
      <c r="X144" s="7">
        <f t="shared" si="83"/>
        <v>29.200000000000045</v>
      </c>
      <c r="Y144" s="2"/>
      <c r="Z144" s="6">
        <f t="shared" si="84"/>
        <v>3.3371428571428621E-2</v>
      </c>
    </row>
    <row r="145" spans="1:26" s="24" customFormat="1" hidden="1" outlineLevel="2" x14ac:dyDescent="0.35">
      <c r="A145" s="29"/>
      <c r="B145" s="11" t="str">
        <f>CONCATENATE("          ", "6243", " - ", "PAPER SUPPLIES")</f>
        <v xml:space="preserve">          6243 - PAPER SUPPLIES</v>
      </c>
      <c r="C145" s="11"/>
      <c r="D145" s="7"/>
      <c r="E145" s="2"/>
      <c r="F145" s="6">
        <f t="shared" si="77"/>
        <v>0</v>
      </c>
      <c r="G145" s="2"/>
      <c r="H145" s="7">
        <v>50</v>
      </c>
      <c r="I145" s="2"/>
      <c r="J145" s="6">
        <f t="shared" si="78"/>
        <v>1.7770953731544863E-4</v>
      </c>
      <c r="K145" s="2"/>
      <c r="L145" s="7">
        <f t="shared" si="79"/>
        <v>-50</v>
      </c>
      <c r="M145" s="2"/>
      <c r="N145" s="6">
        <f t="shared" si="80"/>
        <v>-1</v>
      </c>
      <c r="O145" s="11"/>
      <c r="P145" s="7"/>
      <c r="Q145" s="2"/>
      <c r="R145" s="6">
        <f t="shared" si="81"/>
        <v>0</v>
      </c>
      <c r="S145" s="2"/>
      <c r="T145" s="7">
        <v>350</v>
      </c>
      <c r="U145" s="2"/>
      <c r="V145" s="6">
        <f t="shared" si="82"/>
        <v>1.612079356679006E-4</v>
      </c>
      <c r="W145" s="2"/>
      <c r="X145" s="7">
        <f t="shared" si="83"/>
        <v>-350</v>
      </c>
      <c r="Y145" s="2"/>
      <c r="Z145" s="6">
        <f t="shared" si="84"/>
        <v>-1</v>
      </c>
    </row>
    <row r="146" spans="1:26" s="24" customFormat="1" hidden="1" outlineLevel="2" x14ac:dyDescent="0.35">
      <c r="A146" s="29"/>
      <c r="B146" s="11" t="str">
        <f>CONCATENATE("          ", "6244", " - ", "SAFETY SUPPLY EXPENSE")</f>
        <v xml:space="preserve">          6244 - SAFETY SUPPLY EXPENSE</v>
      </c>
      <c r="C146" s="11"/>
      <c r="D146" s="7"/>
      <c r="E146" s="2"/>
      <c r="F146" s="6">
        <f t="shared" si="77"/>
        <v>0</v>
      </c>
      <c r="G146" s="2"/>
      <c r="H146" s="7">
        <v>25</v>
      </c>
      <c r="I146" s="2"/>
      <c r="J146" s="6">
        <f t="shared" si="78"/>
        <v>8.8854768657724317E-5</v>
      </c>
      <c r="K146" s="2"/>
      <c r="L146" s="7">
        <f t="shared" si="79"/>
        <v>-25</v>
      </c>
      <c r="M146" s="2"/>
      <c r="N146" s="6">
        <f t="shared" si="80"/>
        <v>-1</v>
      </c>
      <c r="O146" s="11"/>
      <c r="P146" s="7"/>
      <c r="Q146" s="2"/>
      <c r="R146" s="6">
        <f t="shared" si="81"/>
        <v>0</v>
      </c>
      <c r="S146" s="2"/>
      <c r="T146" s="7">
        <v>75</v>
      </c>
      <c r="U146" s="2"/>
      <c r="V146" s="6">
        <f t="shared" si="82"/>
        <v>3.454455764312156E-5</v>
      </c>
      <c r="W146" s="2"/>
      <c r="X146" s="7">
        <f t="shared" si="83"/>
        <v>-75</v>
      </c>
      <c r="Y146" s="2"/>
      <c r="Z146" s="6">
        <f t="shared" si="84"/>
        <v>-1</v>
      </c>
    </row>
    <row r="147" spans="1:26" s="24" customFormat="1" hidden="1" outlineLevel="2" x14ac:dyDescent="0.35">
      <c r="A147" s="29"/>
      <c r="B147" s="11" t="str">
        <f>CONCATENATE("          ", "6245", " - ", "PRINTING")</f>
        <v xml:space="preserve">          6245 - PRINTING</v>
      </c>
      <c r="C147" s="11"/>
      <c r="D147" s="7"/>
      <c r="E147" s="2"/>
      <c r="F147" s="6">
        <f t="shared" si="77"/>
        <v>0</v>
      </c>
      <c r="G147" s="2"/>
      <c r="H147" s="7">
        <v>50</v>
      </c>
      <c r="I147" s="2"/>
      <c r="J147" s="6">
        <f t="shared" si="78"/>
        <v>1.7770953731544863E-4</v>
      </c>
      <c r="K147" s="2"/>
      <c r="L147" s="7">
        <f t="shared" si="79"/>
        <v>-50</v>
      </c>
      <c r="M147" s="2"/>
      <c r="N147" s="6">
        <f t="shared" si="80"/>
        <v>-1</v>
      </c>
      <c r="O147" s="11"/>
      <c r="P147" s="7"/>
      <c r="Q147" s="2"/>
      <c r="R147" s="6">
        <f t="shared" si="81"/>
        <v>0</v>
      </c>
      <c r="S147" s="2"/>
      <c r="T147" s="7">
        <v>350</v>
      </c>
      <c r="U147" s="2"/>
      <c r="V147" s="6">
        <f t="shared" si="82"/>
        <v>1.612079356679006E-4</v>
      </c>
      <c r="W147" s="2"/>
      <c r="X147" s="7">
        <f t="shared" si="83"/>
        <v>-350</v>
      </c>
      <c r="Y147" s="2"/>
      <c r="Z147" s="6">
        <f t="shared" si="84"/>
        <v>-1</v>
      </c>
    </row>
    <row r="148" spans="1:26" s="24" customFormat="1" hidden="1" outlineLevel="2" x14ac:dyDescent="0.35">
      <c r="A148" s="29"/>
      <c r="B148" s="11" t="str">
        <f>CONCATENATE("          ", "6247", " - ", "STORE SUPPLIES")</f>
        <v xml:space="preserve">          6247 - STORE SUPPLIES</v>
      </c>
      <c r="C148" s="11"/>
      <c r="D148" s="7">
        <v>873.11</v>
      </c>
      <c r="E148" s="2"/>
      <c r="F148" s="6">
        <f t="shared" si="77"/>
        <v>5.4469838179456798E-3</v>
      </c>
      <c r="G148" s="2"/>
      <c r="H148" s="7">
        <v>75</v>
      </c>
      <c r="I148" s="2"/>
      <c r="J148" s="6">
        <f t="shared" si="78"/>
        <v>2.6656430597317296E-4</v>
      </c>
      <c r="K148" s="2"/>
      <c r="L148" s="7">
        <f t="shared" si="79"/>
        <v>798.11</v>
      </c>
      <c r="M148" s="2"/>
      <c r="N148" s="6">
        <f t="shared" si="80"/>
        <v>10.641466666666666</v>
      </c>
      <c r="O148" s="11"/>
      <c r="P148" s="7">
        <v>1066.57</v>
      </c>
      <c r="Q148" s="2"/>
      <c r="R148" s="6">
        <f t="shared" si="81"/>
        <v>8.9566545099573297E-4</v>
      </c>
      <c r="S148" s="2"/>
      <c r="T148" s="7">
        <v>525</v>
      </c>
      <c r="U148" s="2"/>
      <c r="V148" s="6">
        <f t="shared" si="82"/>
        <v>2.418119035018509E-4</v>
      </c>
      <c r="W148" s="2"/>
      <c r="X148" s="7">
        <f t="shared" si="83"/>
        <v>541.56999999999994</v>
      </c>
      <c r="Y148" s="2"/>
      <c r="Z148" s="6">
        <f t="shared" si="84"/>
        <v>1.0315619047619047</v>
      </c>
    </row>
    <row r="149" spans="1:26" s="28" customFormat="1" outlineLevel="1" collapsed="1" x14ac:dyDescent="0.35">
      <c r="A149" s="27"/>
      <c r="B149" s="14" t="str">
        <f>CONCATENATE("     ","Telephone/Data Lines                              ")</f>
        <v xml:space="preserve">     Telephone/Data Lines                              </v>
      </c>
      <c r="C149" s="14"/>
      <c r="D149" s="1">
        <f>SUM(OSRRefD22_19x_0)</f>
        <v>338.09</v>
      </c>
      <c r="E149" s="1"/>
      <c r="F149" s="5">
        <f t="shared" ref="F149:F151" si="85">IF(D$12=0,0,D149/D$12)</f>
        <v>2.1092081856916708E-3</v>
      </c>
      <c r="G149" s="1"/>
      <c r="H149" s="1">
        <f>SUM(OSRRefH22_19x_0)</f>
        <v>830</v>
      </c>
      <c r="I149" s="1"/>
      <c r="J149" s="5">
        <f t="shared" ref="J149:J151" si="86">IF(H$12=0,0,H149/H$12)</f>
        <v>2.9499783194364476E-3</v>
      </c>
      <c r="K149" s="1"/>
      <c r="L149" s="1">
        <f t="shared" ref="L149:L151" si="87">+D149-H149</f>
        <v>-491.91</v>
      </c>
      <c r="M149" s="1"/>
      <c r="N149" s="5">
        <f t="shared" ref="N149:N151" si="88">IF(H149=0,0,L149/H149)</f>
        <v>-0.59266265060240964</v>
      </c>
      <c r="O149" s="14"/>
      <c r="P149" s="1">
        <f>SUM(OSRRefP22_19x_0)</f>
        <v>4967.79</v>
      </c>
      <c r="Q149" s="1"/>
      <c r="R149" s="5">
        <f t="shared" ref="R149:R151" si="89">IF(P$12=0,0,P149/P$12)</f>
        <v>4.1717635699504889E-3</v>
      </c>
      <c r="S149" s="1"/>
      <c r="T149" s="1">
        <f>SUM(OSRRefT22_19x_0)</f>
        <v>5810</v>
      </c>
      <c r="U149" s="1"/>
      <c r="V149" s="5">
        <f t="shared" ref="V149:V151" si="90">IF(T$12=0,0,T149/T$12)</f>
        <v>2.6760517320871501E-3</v>
      </c>
      <c r="W149" s="1"/>
      <c r="X149" s="1">
        <f t="shared" ref="X149:X151" si="91">+P149-T149</f>
        <v>-842.21</v>
      </c>
      <c r="Y149" s="1"/>
      <c r="Z149" s="5">
        <f t="shared" ref="Z149:Z151" si="92">IF(T149=0,0,X149/T149)</f>
        <v>-0.14495869191049915</v>
      </c>
    </row>
    <row r="150" spans="1:26" s="24" customFormat="1" hidden="1" outlineLevel="2" x14ac:dyDescent="0.35">
      <c r="A150" s="29"/>
      <c r="B150" s="11" t="str">
        <f>CONCATENATE("          ", "6303", " - ", "DATA PHONE LINES")</f>
        <v xml:space="preserve">          6303 - DATA PHONE LINES</v>
      </c>
      <c r="C150" s="11"/>
      <c r="D150" s="7"/>
      <c r="E150" s="2"/>
      <c r="F150" s="6">
        <f t="shared" si="85"/>
        <v>0</v>
      </c>
      <c r="G150" s="2"/>
      <c r="H150" s="7">
        <v>230</v>
      </c>
      <c r="I150" s="2"/>
      <c r="J150" s="6">
        <f t="shared" si="86"/>
        <v>8.1746387165106376E-4</v>
      </c>
      <c r="K150" s="2"/>
      <c r="L150" s="7">
        <f t="shared" si="87"/>
        <v>-230</v>
      </c>
      <c r="M150" s="2"/>
      <c r="N150" s="6">
        <f t="shared" si="88"/>
        <v>-1</v>
      </c>
      <c r="O150" s="11"/>
      <c r="P150" s="7"/>
      <c r="Q150" s="2"/>
      <c r="R150" s="6">
        <f t="shared" si="89"/>
        <v>0</v>
      </c>
      <c r="S150" s="2"/>
      <c r="T150" s="7">
        <v>1610</v>
      </c>
      <c r="U150" s="2"/>
      <c r="V150" s="6">
        <f t="shared" si="90"/>
        <v>7.4155650407234277E-4</v>
      </c>
      <c r="W150" s="2"/>
      <c r="X150" s="7">
        <f t="shared" si="91"/>
        <v>-1610</v>
      </c>
      <c r="Y150" s="2"/>
      <c r="Z150" s="6">
        <f t="shared" si="92"/>
        <v>-1</v>
      </c>
    </row>
    <row r="151" spans="1:26" s="24" customFormat="1" hidden="1" outlineLevel="2" x14ac:dyDescent="0.35">
      <c r="A151" s="29"/>
      <c r="B151" s="11" t="str">
        <f>CONCATENATE("          ", "6309", " - ", "TELEPHONE")</f>
        <v xml:space="preserve">          6309 - TELEPHONE</v>
      </c>
      <c r="C151" s="11"/>
      <c r="D151" s="7">
        <v>338.09</v>
      </c>
      <c r="E151" s="2"/>
      <c r="F151" s="6">
        <f t="shared" si="85"/>
        <v>2.1092081856916708E-3</v>
      </c>
      <c r="G151" s="2"/>
      <c r="H151" s="7">
        <v>600</v>
      </c>
      <c r="I151" s="2"/>
      <c r="J151" s="6">
        <f t="shared" si="86"/>
        <v>2.1325144477853837E-3</v>
      </c>
      <c r="K151" s="2"/>
      <c r="L151" s="7">
        <f t="shared" si="87"/>
        <v>-261.91000000000003</v>
      </c>
      <c r="M151" s="2"/>
      <c r="N151" s="6">
        <f t="shared" si="88"/>
        <v>-0.43651666666666672</v>
      </c>
      <c r="O151" s="11"/>
      <c r="P151" s="7">
        <v>4967.79</v>
      </c>
      <c r="Q151" s="2"/>
      <c r="R151" s="6">
        <f t="shared" si="89"/>
        <v>4.1717635699504889E-3</v>
      </c>
      <c r="S151" s="2"/>
      <c r="T151" s="7">
        <v>4200</v>
      </c>
      <c r="U151" s="2"/>
      <c r="V151" s="6">
        <f t="shared" si="90"/>
        <v>1.9344952280148072E-3</v>
      </c>
      <c r="W151" s="2"/>
      <c r="X151" s="7">
        <f t="shared" si="91"/>
        <v>767.79</v>
      </c>
      <c r="Y151" s="2"/>
      <c r="Z151" s="6">
        <f t="shared" si="92"/>
        <v>0.18280714285714283</v>
      </c>
    </row>
    <row r="152" spans="1:26" s="28" customFormat="1" outlineLevel="1" collapsed="1" x14ac:dyDescent="0.35">
      <c r="A152" s="27"/>
      <c r="B152" s="14" t="str">
        <f>CONCATENATE("     ","Training                                          ")</f>
        <v xml:space="preserve">     Training                                          </v>
      </c>
      <c r="C152" s="14"/>
      <c r="D152" s="1">
        <f>SUM(OSRRefD22_20x_0)</f>
        <v>0</v>
      </c>
      <c r="E152" s="1"/>
      <c r="F152" s="5">
        <f t="shared" ref="F152:F156" si="93">IF(D$12=0,0,D152/D$12)</f>
        <v>0</v>
      </c>
      <c r="G152" s="1"/>
      <c r="H152" s="1">
        <f>SUM(OSRRefH22_20x_0)</f>
        <v>1800</v>
      </c>
      <c r="I152" s="1"/>
      <c r="J152" s="5">
        <f t="shared" ref="J152:J156" si="94">IF(H$12=0,0,H152/H$12)</f>
        <v>6.3975433433561511E-3</v>
      </c>
      <c r="K152" s="1"/>
      <c r="L152" s="1">
        <f t="shared" ref="L152:L156" si="95">+D152-H152</f>
        <v>-1800</v>
      </c>
      <c r="M152" s="1"/>
      <c r="N152" s="5">
        <f t="shared" ref="N152:N156" si="96">IF(H152=0,0,L152/H152)</f>
        <v>-1</v>
      </c>
      <c r="O152" s="14"/>
      <c r="P152" s="1">
        <f>SUM(OSRRefP22_20x_0)</f>
        <v>0</v>
      </c>
      <c r="Q152" s="1"/>
      <c r="R152" s="5">
        <f t="shared" ref="R152:R156" si="97">IF(P$12=0,0,P152/P$12)</f>
        <v>0</v>
      </c>
      <c r="S152" s="1"/>
      <c r="T152" s="1">
        <f>SUM(OSRRefT22_20x_0)</f>
        <v>3600</v>
      </c>
      <c r="U152" s="1"/>
      <c r="V152" s="5">
        <f t="shared" ref="V152:V156" si="98">IF(T$12=0,0,T152/T$12)</f>
        <v>1.6581387668698348E-3</v>
      </c>
      <c r="W152" s="1"/>
      <c r="X152" s="1">
        <f t="shared" ref="X152:X156" si="99">+P152-T152</f>
        <v>-3600</v>
      </c>
      <c r="Y152" s="1"/>
      <c r="Z152" s="5">
        <f t="shared" ref="Z152:Z156" si="100">IF(T152=0,0,X152/T152)</f>
        <v>-1</v>
      </c>
    </row>
    <row r="153" spans="1:26" s="24" customFormat="1" hidden="1" outlineLevel="2" x14ac:dyDescent="0.35">
      <c r="A153" s="29"/>
      <c r="B153" s="11" t="str">
        <f>CONCATENATE("          ", "6376", " - ", "TRAINING")</f>
        <v xml:space="preserve">          6376 - TRAINING</v>
      </c>
      <c r="C153" s="11"/>
      <c r="D153" s="7"/>
      <c r="E153" s="2"/>
      <c r="F153" s="6">
        <f t="shared" si="93"/>
        <v>0</v>
      </c>
      <c r="G153" s="2"/>
      <c r="H153" s="7">
        <v>1800</v>
      </c>
      <c r="I153" s="2"/>
      <c r="J153" s="6">
        <f t="shared" si="94"/>
        <v>6.3975433433561511E-3</v>
      </c>
      <c r="K153" s="2"/>
      <c r="L153" s="7">
        <f t="shared" si="95"/>
        <v>-1800</v>
      </c>
      <c r="M153" s="2"/>
      <c r="N153" s="6">
        <f t="shared" si="96"/>
        <v>-1</v>
      </c>
      <c r="O153" s="11"/>
      <c r="P153" s="7"/>
      <c r="Q153" s="2"/>
      <c r="R153" s="6">
        <f t="shared" si="97"/>
        <v>0</v>
      </c>
      <c r="S153" s="2"/>
      <c r="T153" s="7">
        <v>3600</v>
      </c>
      <c r="U153" s="2"/>
      <c r="V153" s="6">
        <f t="shared" si="98"/>
        <v>1.6581387668698348E-3</v>
      </c>
      <c r="W153" s="2"/>
      <c r="X153" s="7">
        <f t="shared" si="99"/>
        <v>-3600</v>
      </c>
      <c r="Y153" s="2"/>
      <c r="Z153" s="6">
        <f t="shared" si="100"/>
        <v>-1</v>
      </c>
    </row>
    <row r="154" spans="1:26" s="28" customFormat="1" outlineLevel="1" collapsed="1" x14ac:dyDescent="0.35">
      <c r="A154" s="27"/>
      <c r="B154" s="14" t="str">
        <f>CONCATENATE("     ","Travel                                            ")</f>
        <v xml:space="preserve">     Travel                                            </v>
      </c>
      <c r="C154" s="14"/>
      <c r="D154" s="1">
        <f>SUM(OSRRefD22_21x_0)</f>
        <v>129.38</v>
      </c>
      <c r="E154" s="1"/>
      <c r="F154" s="5">
        <f t="shared" si="93"/>
        <v>8.0715003420624197E-4</v>
      </c>
      <c r="G154" s="1"/>
      <c r="H154" s="1">
        <f>SUM(OSRRefH22_21x_0)</f>
        <v>75</v>
      </c>
      <c r="I154" s="1"/>
      <c r="J154" s="5">
        <f t="shared" si="94"/>
        <v>2.6656430597317296E-4</v>
      </c>
      <c r="K154" s="1"/>
      <c r="L154" s="1">
        <f t="shared" si="95"/>
        <v>54.379999999999995</v>
      </c>
      <c r="M154" s="1"/>
      <c r="N154" s="5">
        <f t="shared" si="96"/>
        <v>0.72506666666666664</v>
      </c>
      <c r="O154" s="14"/>
      <c r="P154" s="1">
        <f>SUM(OSRRefP22_21x_0)</f>
        <v>451.26</v>
      </c>
      <c r="Q154" s="1"/>
      <c r="R154" s="5">
        <f t="shared" si="97"/>
        <v>3.78951209406166E-4</v>
      </c>
      <c r="S154" s="1"/>
      <c r="T154" s="1">
        <f>SUM(OSRRefT22_21x_0)</f>
        <v>550</v>
      </c>
      <c r="U154" s="1"/>
      <c r="V154" s="5">
        <f t="shared" si="98"/>
        <v>2.5332675604955809E-4</v>
      </c>
      <c r="W154" s="1"/>
      <c r="X154" s="1">
        <f t="shared" si="99"/>
        <v>-98.740000000000009</v>
      </c>
      <c r="Y154" s="1"/>
      <c r="Z154" s="5">
        <f t="shared" si="100"/>
        <v>-0.17952727272727276</v>
      </c>
    </row>
    <row r="155" spans="1:26" s="24" customFormat="1" hidden="1" outlineLevel="2" x14ac:dyDescent="0.35">
      <c r="A155" s="29"/>
      <c r="B155" s="11" t="str">
        <f>CONCATENATE("          ", "6294", " - ", "TRAVEL OPERATIONAL")</f>
        <v xml:space="preserve">          6294 - TRAVEL OPERATIONAL</v>
      </c>
      <c r="C155" s="11"/>
      <c r="D155" s="7">
        <v>129.38</v>
      </c>
      <c r="E155" s="2"/>
      <c r="F155" s="6">
        <f t="shared" si="93"/>
        <v>8.0715003420624197E-4</v>
      </c>
      <c r="G155" s="2"/>
      <c r="H155" s="7">
        <v>25</v>
      </c>
      <c r="I155" s="2"/>
      <c r="J155" s="6">
        <f t="shared" si="94"/>
        <v>8.8854768657724317E-5</v>
      </c>
      <c r="K155" s="2"/>
      <c r="L155" s="7">
        <f t="shared" si="95"/>
        <v>104.38</v>
      </c>
      <c r="M155" s="2"/>
      <c r="N155" s="6">
        <f t="shared" si="96"/>
        <v>4.1752000000000002</v>
      </c>
      <c r="O155" s="11"/>
      <c r="P155" s="7">
        <v>451.26</v>
      </c>
      <c r="Q155" s="2"/>
      <c r="R155" s="6">
        <f t="shared" si="97"/>
        <v>3.78951209406166E-4</v>
      </c>
      <c r="S155" s="2"/>
      <c r="T155" s="7">
        <v>175</v>
      </c>
      <c r="U155" s="2"/>
      <c r="V155" s="6">
        <f t="shared" si="98"/>
        <v>8.0603967833950299E-5</v>
      </c>
      <c r="W155" s="2"/>
      <c r="X155" s="7">
        <f t="shared" si="99"/>
        <v>276.26</v>
      </c>
      <c r="Y155" s="2"/>
      <c r="Z155" s="6">
        <f t="shared" si="100"/>
        <v>1.5786285714285713</v>
      </c>
    </row>
    <row r="156" spans="1:26" s="24" customFormat="1" hidden="1" outlineLevel="2" x14ac:dyDescent="0.35">
      <c r="A156" s="29"/>
      <c r="B156" s="11" t="str">
        <f>CONCATENATE("          ", "6298", " - ", "VEHICLE MILEAGE")</f>
        <v xml:space="preserve">          6298 - VEHICLE MILEAGE</v>
      </c>
      <c r="C156" s="11"/>
      <c r="D156" s="7"/>
      <c r="E156" s="2"/>
      <c r="F156" s="6">
        <f t="shared" si="93"/>
        <v>0</v>
      </c>
      <c r="G156" s="2"/>
      <c r="H156" s="7">
        <v>50</v>
      </c>
      <c r="I156" s="2"/>
      <c r="J156" s="6">
        <f t="shared" si="94"/>
        <v>1.7770953731544863E-4</v>
      </c>
      <c r="K156" s="2"/>
      <c r="L156" s="7">
        <f t="shared" si="95"/>
        <v>-50</v>
      </c>
      <c r="M156" s="2"/>
      <c r="N156" s="6">
        <f t="shared" si="96"/>
        <v>-1</v>
      </c>
      <c r="O156" s="11"/>
      <c r="P156" s="7"/>
      <c r="Q156" s="2"/>
      <c r="R156" s="6">
        <f t="shared" si="97"/>
        <v>0</v>
      </c>
      <c r="S156" s="2"/>
      <c r="T156" s="7">
        <v>375</v>
      </c>
      <c r="U156" s="2"/>
      <c r="V156" s="6">
        <f t="shared" si="98"/>
        <v>1.7272278821560779E-4</v>
      </c>
      <c r="W156" s="2"/>
      <c r="X156" s="7">
        <f t="shared" si="99"/>
        <v>-375</v>
      </c>
      <c r="Y156" s="2"/>
      <c r="Z156" s="6">
        <f t="shared" si="100"/>
        <v>-1</v>
      </c>
    </row>
    <row r="157" spans="1:26" s="28" customFormat="1" outlineLevel="1" collapsed="1" x14ac:dyDescent="0.35">
      <c r="A157" s="27"/>
      <c r="B157" s="14" t="str">
        <f>CONCATENATE("     ","Utilities                                         ")</f>
        <v xml:space="preserve">     Utilities                                         </v>
      </c>
      <c r="C157" s="14"/>
      <c r="D157" s="1">
        <f>SUM(OSRRefD22_22x_0)</f>
        <v>32.61</v>
      </c>
      <c r="E157" s="1"/>
      <c r="F157" s="5">
        <f t="shared" ref="F157:F158" si="101">IF(D$12=0,0,D157/D$12)</f>
        <v>2.0344073748234311E-4</v>
      </c>
      <c r="G157" s="1"/>
      <c r="H157" s="1">
        <f>SUM(OSRRefH22_22x_0)</f>
        <v>225</v>
      </c>
      <c r="I157" s="1"/>
      <c r="J157" s="5">
        <f t="shared" ref="J157:J158" si="102">IF(H$12=0,0,H157/H$12)</f>
        <v>7.9969291791951889E-4</v>
      </c>
      <c r="K157" s="1"/>
      <c r="L157" s="1">
        <f t="shared" ref="L157:L158" si="103">+D157-H157</f>
        <v>-192.39</v>
      </c>
      <c r="M157" s="1"/>
      <c r="N157" s="5">
        <f t="shared" ref="N157:N158" si="104">IF(H157=0,0,L157/H157)</f>
        <v>-0.85506666666666664</v>
      </c>
      <c r="O157" s="14"/>
      <c r="P157" s="1">
        <f>SUM(OSRRefP22_22x_0)</f>
        <v>177.01</v>
      </c>
      <c r="Q157" s="1"/>
      <c r="R157" s="5">
        <f t="shared" ref="R157:R158" si="105">IF(P$12=0,0,P157/P$12)</f>
        <v>1.4864635371401286E-4</v>
      </c>
      <c r="S157" s="1"/>
      <c r="T157" s="1">
        <f>SUM(OSRRefT22_22x_0)</f>
        <v>975</v>
      </c>
      <c r="U157" s="1"/>
      <c r="V157" s="5">
        <f t="shared" ref="V157:V158" si="106">IF(T$12=0,0,T157/T$12)</f>
        <v>4.4907924936058021E-4</v>
      </c>
      <c r="W157" s="1"/>
      <c r="X157" s="1">
        <f t="shared" ref="X157:X158" si="107">+P157-T157</f>
        <v>-797.99</v>
      </c>
      <c r="Y157" s="1"/>
      <c r="Z157" s="5">
        <f t="shared" ref="Z157:Z158" si="108">IF(T157=0,0,X157/T157)</f>
        <v>-0.81845128205128204</v>
      </c>
    </row>
    <row r="158" spans="1:26" s="24" customFormat="1" hidden="1" outlineLevel="2" x14ac:dyDescent="0.35">
      <c r="A158" s="29"/>
      <c r="B158" s="11" t="str">
        <f>CONCATENATE("          ", "6274", " - ", "UTILITIES")</f>
        <v xml:space="preserve">          6274 - UTILITIES</v>
      </c>
      <c r="C158" s="11"/>
      <c r="D158" s="7">
        <v>32.61</v>
      </c>
      <c r="E158" s="2"/>
      <c r="F158" s="6">
        <f t="shared" si="101"/>
        <v>2.0344073748234311E-4</v>
      </c>
      <c r="G158" s="2"/>
      <c r="H158" s="7">
        <v>225</v>
      </c>
      <c r="I158" s="2"/>
      <c r="J158" s="6">
        <f t="shared" si="102"/>
        <v>7.9969291791951889E-4</v>
      </c>
      <c r="K158" s="2"/>
      <c r="L158" s="7">
        <f t="shared" si="103"/>
        <v>-192.39</v>
      </c>
      <c r="M158" s="2"/>
      <c r="N158" s="6">
        <f t="shared" si="104"/>
        <v>-0.85506666666666664</v>
      </c>
      <c r="O158" s="11"/>
      <c r="P158" s="7">
        <v>177.01</v>
      </c>
      <c r="Q158" s="2"/>
      <c r="R158" s="6">
        <f t="shared" si="105"/>
        <v>1.4864635371401286E-4</v>
      </c>
      <c r="S158" s="2"/>
      <c r="T158" s="7">
        <v>975</v>
      </c>
      <c r="U158" s="2"/>
      <c r="V158" s="6">
        <f t="shared" si="106"/>
        <v>4.4907924936058021E-4</v>
      </c>
      <c r="W158" s="2"/>
      <c r="X158" s="7">
        <f t="shared" si="107"/>
        <v>-797.99</v>
      </c>
      <c r="Y158" s="2"/>
      <c r="Z158" s="6">
        <f t="shared" si="108"/>
        <v>-0.81845128205128204</v>
      </c>
    </row>
    <row r="159" spans="1:26" s="55" customFormat="1" x14ac:dyDescent="0.35">
      <c r="A159" s="36"/>
      <c r="B159" s="36"/>
      <c r="C159" s="36"/>
      <c r="D159" s="1"/>
      <c r="E159" s="1"/>
      <c r="F159" s="5"/>
      <c r="G159" s="1"/>
      <c r="H159" s="1"/>
      <c r="I159" s="1"/>
      <c r="J159" s="5"/>
      <c r="K159" s="1"/>
      <c r="L159" s="1"/>
      <c r="M159" s="1"/>
      <c r="N159" s="5"/>
      <c r="O159" s="36"/>
      <c r="P159" s="1"/>
      <c r="Q159" s="1"/>
      <c r="R159" s="5"/>
      <c r="S159" s="1"/>
      <c r="T159" s="1"/>
      <c r="U159" s="1"/>
      <c r="V159" s="5"/>
      <c r="W159" s="1"/>
      <c r="X159" s="1"/>
      <c r="Y159" s="1"/>
      <c r="Z159" s="5"/>
    </row>
    <row r="160" spans="1:26" s="23" customFormat="1" collapsed="1" x14ac:dyDescent="0.35">
      <c r="A160" s="10"/>
      <c r="B160" s="25" t="s">
        <v>0</v>
      </c>
      <c r="C160" s="10"/>
      <c r="D160" s="4">
        <f>SUM(OSRRefD25x_0)</f>
        <v>15571.57</v>
      </c>
      <c r="E160" s="4"/>
      <c r="F160" s="12">
        <f t="shared" ref="F160:F163" si="109">IF(D$12=0,0,D160/D$12)</f>
        <v>9.7144792534741786E-2</v>
      </c>
      <c r="G160" s="4"/>
      <c r="H160" s="4">
        <f>SUM(OSRRefH25x_0)</f>
        <v>8075</v>
      </c>
      <c r="I160" s="4"/>
      <c r="J160" s="12">
        <f t="shared" ref="J160:J163" si="110">IF(H$12=0,0,H160/H$12)</f>
        <v>2.8700090276444955E-2</v>
      </c>
      <c r="K160" s="4"/>
      <c r="L160" s="4">
        <f t="shared" ref="L160:L163" si="111">+D160-H160</f>
        <v>7496.57</v>
      </c>
      <c r="M160" s="4"/>
      <c r="N160" s="12">
        <f t="shared" ref="N160:N163" si="112">IF(H160=0,0,L160/H160)</f>
        <v>0.92836780185758505</v>
      </c>
      <c r="O160" s="10"/>
      <c r="P160" s="4">
        <f>SUM(OSRRefP25x_0)</f>
        <v>221779.15</v>
      </c>
      <c r="Q160" s="4"/>
      <c r="R160" s="12">
        <f t="shared" ref="R160:R163" si="113">IF(P$12=0,0,P160/P$12)</f>
        <v>0.18624180541942895</v>
      </c>
      <c r="S160" s="4"/>
      <c r="T160" s="4">
        <f>SUM(OSRRefT25x_0)</f>
        <v>230145</v>
      </c>
      <c r="U160" s="4"/>
      <c r="V160" s="12">
        <f t="shared" ref="V160:V163" si="114">IF(T$12=0,0,T160/T$12)</f>
        <v>0.10600342958368281</v>
      </c>
      <c r="W160" s="4"/>
      <c r="X160" s="4">
        <f t="shared" ref="X160:X163" si="115">+P160-T160</f>
        <v>-8365.8500000000058</v>
      </c>
      <c r="Y160" s="4"/>
      <c r="Z160" s="12">
        <f t="shared" ref="Z160:Z163" si="116">IF(T160=0,0,X160/T160)</f>
        <v>-3.635034434812838E-2</v>
      </c>
    </row>
    <row r="161" spans="1:26" s="24" customFormat="1" hidden="1" outlineLevel="1" x14ac:dyDescent="0.35">
      <c r="A161" s="51"/>
      <c r="B161" s="11" t="str">
        <f>CONCATENATE("          ", "9150", " - ", "MISC. INCOME")</f>
        <v xml:space="preserve">          9150 - MISC. INCOME</v>
      </c>
      <c r="C161" s="11"/>
      <c r="D161" s="2">
        <f>--15571.57</f>
        <v>15571.57</v>
      </c>
      <c r="E161" s="2"/>
      <c r="F161" s="22">
        <f t="shared" si="109"/>
        <v>9.7144792534741786E-2</v>
      </c>
      <c r="G161" s="2"/>
      <c r="H161" s="2">
        <v>8075</v>
      </c>
      <c r="I161" s="2"/>
      <c r="J161" s="22">
        <f t="shared" si="110"/>
        <v>2.8700090276444955E-2</v>
      </c>
      <c r="K161" s="2"/>
      <c r="L161" s="2">
        <f t="shared" si="111"/>
        <v>7496.57</v>
      </c>
      <c r="M161" s="2"/>
      <c r="N161" s="22">
        <f t="shared" si="112"/>
        <v>0.92836780185758505</v>
      </c>
      <c r="O161" s="11"/>
      <c r="P161" s="2">
        <f>--46373.31</f>
        <v>46373.31</v>
      </c>
      <c r="Q161" s="2"/>
      <c r="R161" s="22">
        <f t="shared" si="113"/>
        <v>3.8942565059316252E-2</v>
      </c>
      <c r="S161" s="2"/>
      <c r="T161" s="2">
        <v>56525</v>
      </c>
      <c r="U161" s="2"/>
      <c r="V161" s="22">
        <f t="shared" si="114"/>
        <v>2.6035081610365947E-2</v>
      </c>
      <c r="W161" s="2"/>
      <c r="X161" s="2">
        <f t="shared" si="115"/>
        <v>-10151.690000000002</v>
      </c>
      <c r="Y161" s="2"/>
      <c r="Z161" s="22">
        <f t="shared" si="116"/>
        <v>-0.17959646174259181</v>
      </c>
    </row>
    <row r="162" spans="1:26" s="24" customFormat="1" hidden="1" outlineLevel="1" x14ac:dyDescent="0.35">
      <c r="A162" s="51"/>
      <c r="B162" s="11" t="str">
        <f>CONCATENATE("          ", "9151", " - ", "MISC. INCOME")</f>
        <v xml:space="preserve">          9151 - MISC. INCOME</v>
      </c>
      <c r="C162" s="11"/>
      <c r="D162" s="2">
        <f t="shared" ref="D162:D163" si="117">0</f>
        <v>0</v>
      </c>
      <c r="E162" s="2"/>
      <c r="F162" s="22">
        <f t="shared" si="109"/>
        <v>0</v>
      </c>
      <c r="G162" s="2"/>
      <c r="H162" s="2">
        <v>0</v>
      </c>
      <c r="I162" s="2"/>
      <c r="J162" s="22">
        <f t="shared" si="110"/>
        <v>0</v>
      </c>
      <c r="K162" s="2"/>
      <c r="L162" s="2">
        <f t="shared" si="111"/>
        <v>0</v>
      </c>
      <c r="M162" s="2"/>
      <c r="N162" s="22">
        <f t="shared" si="112"/>
        <v>0</v>
      </c>
      <c r="O162" s="11"/>
      <c r="P162" s="2">
        <f>0</f>
        <v>0</v>
      </c>
      <c r="Q162" s="2"/>
      <c r="R162" s="22">
        <f t="shared" si="113"/>
        <v>0</v>
      </c>
      <c r="S162" s="2"/>
      <c r="T162" s="2">
        <v>173620</v>
      </c>
      <c r="U162" s="2"/>
      <c r="V162" s="22">
        <f t="shared" si="114"/>
        <v>7.9968347973316867E-2</v>
      </c>
      <c r="W162" s="2"/>
      <c r="X162" s="2">
        <f t="shared" si="115"/>
        <v>-173620</v>
      </c>
      <c r="Y162" s="2"/>
      <c r="Z162" s="22">
        <f t="shared" si="116"/>
        <v>-1</v>
      </c>
    </row>
    <row r="163" spans="1:26" s="24" customFormat="1" hidden="1" outlineLevel="1" x14ac:dyDescent="0.35">
      <c r="A163" s="51"/>
      <c r="B163" s="11" t="str">
        <f>CONCATENATE("          ", "9163", " - ", "MISC. INCOME")</f>
        <v xml:space="preserve">          9163 - MISC. INCOME</v>
      </c>
      <c r="C163" s="11"/>
      <c r="D163" s="2">
        <f t="shared" si="117"/>
        <v>0</v>
      </c>
      <c r="E163" s="2"/>
      <c r="F163" s="22">
        <f t="shared" si="109"/>
        <v>0</v>
      </c>
      <c r="G163" s="2"/>
      <c r="H163" s="2"/>
      <c r="I163" s="2"/>
      <c r="J163" s="22">
        <f t="shared" si="110"/>
        <v>0</v>
      </c>
      <c r="K163" s="2"/>
      <c r="L163" s="2">
        <f t="shared" si="111"/>
        <v>0</v>
      </c>
      <c r="M163" s="2"/>
      <c r="N163" s="22">
        <f t="shared" si="112"/>
        <v>0</v>
      </c>
      <c r="O163" s="11"/>
      <c r="P163" s="2">
        <f>--175405.84</f>
        <v>175405.84</v>
      </c>
      <c r="Q163" s="2"/>
      <c r="R163" s="22">
        <f t="shared" si="113"/>
        <v>0.14729924036011269</v>
      </c>
      <c r="S163" s="2"/>
      <c r="T163" s="2"/>
      <c r="U163" s="2"/>
      <c r="V163" s="22">
        <f t="shared" si="114"/>
        <v>0</v>
      </c>
      <c r="W163" s="2"/>
      <c r="X163" s="2">
        <f t="shared" si="115"/>
        <v>175405.84</v>
      </c>
      <c r="Y163" s="2"/>
      <c r="Z163" s="22">
        <f t="shared" si="116"/>
        <v>0</v>
      </c>
    </row>
    <row r="164" spans="1:26" x14ac:dyDescent="0.35">
      <c r="A164" s="9"/>
      <c r="B164" s="10"/>
      <c r="C164" s="10"/>
      <c r="D164" s="3"/>
      <c r="E164" s="3"/>
      <c r="F164" s="8"/>
      <c r="G164" s="3"/>
      <c r="H164" s="3"/>
      <c r="I164" s="3"/>
      <c r="J164" s="8"/>
      <c r="K164" s="3"/>
      <c r="L164" s="3"/>
      <c r="M164" s="3"/>
      <c r="N164" s="8"/>
      <c r="O164" s="10"/>
      <c r="P164" s="3"/>
      <c r="Q164" s="3"/>
      <c r="R164" s="8"/>
      <c r="S164" s="3"/>
      <c r="T164" s="3"/>
      <c r="U164" s="3"/>
      <c r="V164" s="8"/>
      <c r="W164" s="3"/>
      <c r="X164" s="3"/>
      <c r="Y164" s="3"/>
      <c r="Z164" s="8"/>
    </row>
    <row r="165" spans="1:26" s="23" customFormat="1" x14ac:dyDescent="0.35">
      <c r="A165" s="10"/>
      <c r="B165" s="26" t="s">
        <v>3</v>
      </c>
      <c r="C165" s="26"/>
      <c r="D165" s="19">
        <f>+D76-D78+D160</f>
        <v>12196.420000000093</v>
      </c>
      <c r="E165" s="13"/>
      <c r="F165" s="21">
        <f>IF(D$12=0,0,D165/D$12)</f>
        <v>7.6088582626323772E-2</v>
      </c>
      <c r="G165" s="13"/>
      <c r="H165" s="19">
        <f>+H76-H78+H160</f>
        <v>24868.414539346151</v>
      </c>
      <c r="I165" s="13"/>
      <c r="J165" s="21">
        <f>IF(H$12=0,0,H165/H$12)</f>
        <v>8.8387088831119606E-2</v>
      </c>
      <c r="K165" s="16"/>
      <c r="L165" s="19">
        <f>+D165-H165</f>
        <v>-12671.994539346058</v>
      </c>
      <c r="M165" s="16"/>
      <c r="N165" s="21">
        <f>IF(H165=0,0,L165/H165)</f>
        <v>-0.50956181863933314</v>
      </c>
      <c r="O165" s="25"/>
      <c r="P165" s="19">
        <f>+P76-P78+P160</f>
        <v>245037.06999999969</v>
      </c>
      <c r="Q165" s="13"/>
      <c r="R165" s="21">
        <f>IF(P$12=0,0,P165/P$12)</f>
        <v>0.20577293362106822</v>
      </c>
      <c r="S165" s="13"/>
      <c r="T165" s="19">
        <f>+T76-T78+T160</f>
        <v>528202.3742943462</v>
      </c>
      <c r="U165" s="13"/>
      <c r="V165" s="21">
        <f>IF(T$12=0,0,T165/T$12)</f>
        <v>0.24328689821392946</v>
      </c>
      <c r="W165" s="16"/>
      <c r="X165" s="19">
        <f>+P165-T165</f>
        <v>-283165.30429434648</v>
      </c>
      <c r="Y165" s="16"/>
      <c r="Z165" s="21">
        <f>IF(T165=0,0,X165/T165)</f>
        <v>-0.53609244879416185</v>
      </c>
    </row>
    <row r="166" spans="1:26" x14ac:dyDescent="0.35">
      <c r="A166" s="9"/>
      <c r="B166" s="10"/>
      <c r="C166" s="9"/>
      <c r="D166" s="3"/>
      <c r="E166" s="3"/>
      <c r="F166" s="8"/>
      <c r="G166" s="3"/>
      <c r="H166" s="3"/>
      <c r="I166" s="3"/>
      <c r="J166" s="8"/>
      <c r="K166" s="3"/>
      <c r="L166" s="3"/>
      <c r="M166" s="3"/>
      <c r="N166" s="8"/>
      <c r="P166" s="3"/>
      <c r="Q166" s="3"/>
      <c r="R166" s="8"/>
      <c r="S166" s="3"/>
      <c r="T166" s="3"/>
      <c r="U166" s="3"/>
      <c r="V166" s="8"/>
      <c r="W166" s="3"/>
      <c r="X166" s="3"/>
      <c r="Y166" s="3"/>
      <c r="Z166" s="8"/>
    </row>
    <row r="167" spans="1:26" s="23" customFormat="1" x14ac:dyDescent="0.35">
      <c r="A167" s="52"/>
      <c r="B167" s="10" t="s">
        <v>14</v>
      </c>
      <c r="C167" s="10"/>
      <c r="D167" s="4">
        <v>19759.310000000001</v>
      </c>
      <c r="E167" s="4"/>
      <c r="F167" s="12">
        <f>IF(D$12=0,0,D167/D$12)</f>
        <v>0.12327042620491376</v>
      </c>
      <c r="G167" s="4"/>
      <c r="H167" s="4">
        <v>18310</v>
      </c>
      <c r="I167" s="4"/>
      <c r="J167" s="12">
        <f>IF(H$12=0,0,H167/H$12)</f>
        <v>6.5077232564917292E-2</v>
      </c>
      <c r="K167" s="4"/>
      <c r="L167" s="4">
        <f>+D167-H167</f>
        <v>1449.3100000000013</v>
      </c>
      <c r="M167" s="4"/>
      <c r="N167" s="12">
        <f>IF(H167=0,0,L167/H167)</f>
        <v>7.9154014199890835E-2</v>
      </c>
      <c r="O167" s="10"/>
      <c r="P167" s="4">
        <v>216164.05000000002</v>
      </c>
      <c r="Q167" s="4"/>
      <c r="R167" s="12">
        <f>IF(P$12=0,0,P167/P$12)</f>
        <v>0.18152645520904789</v>
      </c>
      <c r="S167" s="4"/>
      <c r="T167" s="4">
        <v>376780</v>
      </c>
      <c r="U167" s="4"/>
      <c r="V167" s="12">
        <f>IF(T$12=0,0,T167/T$12)</f>
        <v>0.17354264571700453</v>
      </c>
      <c r="W167" s="4"/>
      <c r="X167" s="4">
        <f>+P167-T167</f>
        <v>-160615.94999999998</v>
      </c>
      <c r="Y167" s="4"/>
      <c r="Z167" s="12">
        <f>IF(T167=0,0,X167/T167)</f>
        <v>-0.42628576357556131</v>
      </c>
    </row>
    <row r="168" spans="1:26" x14ac:dyDescent="0.35">
      <c r="A168" s="9"/>
      <c r="B168" s="10"/>
      <c r="C168" s="10"/>
      <c r="D168" s="3"/>
      <c r="E168" s="3"/>
      <c r="F168" s="8"/>
      <c r="G168" s="3"/>
      <c r="H168" s="3"/>
      <c r="I168" s="3"/>
      <c r="J168" s="8"/>
      <c r="K168" s="3"/>
      <c r="L168" s="3"/>
      <c r="M168" s="3"/>
      <c r="N168" s="8"/>
      <c r="O168" s="10"/>
      <c r="P168" s="3"/>
      <c r="Q168" s="3"/>
      <c r="R168" s="8"/>
      <c r="S168" s="3"/>
      <c r="T168" s="3"/>
      <c r="U168" s="3"/>
      <c r="V168" s="8"/>
      <c r="W168" s="3"/>
      <c r="X168" s="3"/>
      <c r="Y168" s="3"/>
      <c r="Z168" s="8"/>
    </row>
    <row r="169" spans="1:26" s="23" customFormat="1" ht="15" thickBot="1" x14ac:dyDescent="0.4">
      <c r="A169" s="10"/>
      <c r="B169" s="26" t="s">
        <v>4</v>
      </c>
      <c r="C169" s="26"/>
      <c r="D169" s="33">
        <f>+D165-D167</f>
        <v>-7562.8899999999085</v>
      </c>
      <c r="E169" s="13"/>
      <c r="F169" s="31">
        <f>IF(D$12=0,0,D169/D$12)</f>
        <v>-4.7181843578589983E-2</v>
      </c>
      <c r="G169" s="13"/>
      <c r="H169" s="33">
        <f>+H165-H167</f>
        <v>6558.4145393461513</v>
      </c>
      <c r="I169" s="13"/>
      <c r="J169" s="31">
        <f>IF(H$12=0,0,H169/H$12)</f>
        <v>2.3309856266202317E-2</v>
      </c>
      <c r="K169" s="16"/>
      <c r="L169" s="33">
        <f>D169-H169</f>
        <v>-14121.30453934606</v>
      </c>
      <c r="M169" s="16"/>
      <c r="N169" s="31">
        <f>IF(H169=0,0,L169/H169)</f>
        <v>-2.1531582754684946</v>
      </c>
      <c r="O169" s="25"/>
      <c r="P169" s="33">
        <f>+P165-P167</f>
        <v>28873.019999999669</v>
      </c>
      <c r="Q169" s="13"/>
      <c r="R169" s="31">
        <f>IF(P$12=0,0,P169/P$12)</f>
        <v>2.4246478412020329E-2</v>
      </c>
      <c r="S169" s="13"/>
      <c r="T169" s="33">
        <f>+T165-T167</f>
        <v>151422.3742943462</v>
      </c>
      <c r="U169" s="13"/>
      <c r="V169" s="31">
        <f>IF(T$12=0,0,T169/T$12)</f>
        <v>6.9744252496924938E-2</v>
      </c>
      <c r="W169" s="16"/>
      <c r="X169" s="33">
        <f>P169-T169</f>
        <v>-122549.35429434653</v>
      </c>
      <c r="Y169" s="16"/>
      <c r="Z169" s="31">
        <f>IF(T169=0,0,X169/T169)</f>
        <v>-0.80932130978296435</v>
      </c>
    </row>
    <row r="170" spans="1:26" ht="15" thickTop="1" x14ac:dyDescent="0.35">
      <c r="A170" s="9"/>
      <c r="B170" s="9"/>
      <c r="C170" s="9"/>
      <c r="D170" s="3"/>
      <c r="E170" s="3"/>
      <c r="F170" s="8"/>
      <c r="G170" s="3"/>
      <c r="H170" s="3"/>
      <c r="I170" s="3"/>
      <c r="J170" s="8"/>
      <c r="K170" s="3"/>
      <c r="L170" s="3"/>
      <c r="M170" s="3"/>
      <c r="N170" s="8"/>
      <c r="P170" s="3"/>
      <c r="Q170" s="3"/>
      <c r="R170" s="8"/>
      <c r="S170" s="3"/>
      <c r="T170" s="3"/>
      <c r="U170" s="3"/>
      <c r="V170" s="8"/>
      <c r="W170" s="3"/>
      <c r="X170" s="3"/>
      <c r="Y170" s="3"/>
      <c r="Z170" s="8"/>
    </row>
    <row r="171" spans="1:26" x14ac:dyDescent="0.35">
      <c r="A171" s="9"/>
      <c r="B171" s="9"/>
      <c r="C171" s="9"/>
      <c r="D171" s="3"/>
      <c r="E171" s="3"/>
      <c r="F171" s="8"/>
      <c r="G171" s="3"/>
      <c r="H171" s="3"/>
      <c r="I171" s="3"/>
      <c r="J171" s="8"/>
      <c r="K171" s="3"/>
      <c r="L171" s="3"/>
      <c r="M171" s="3"/>
      <c r="N171" s="8"/>
      <c r="P171" s="3"/>
      <c r="Q171" s="3"/>
      <c r="R171" s="8"/>
      <c r="S171" s="3"/>
      <c r="T171" s="3"/>
      <c r="U171" s="3"/>
      <c r="V171" s="8"/>
      <c r="W171" s="3"/>
      <c r="X171" s="3"/>
      <c r="Y171" s="3"/>
      <c r="Z171" s="8"/>
    </row>
    <row r="172" spans="1:26" s="23" customFormat="1" ht="15" thickBot="1" x14ac:dyDescent="0.4">
      <c r="A172" s="10"/>
      <c r="B172" s="26" t="s">
        <v>5</v>
      </c>
      <c r="C172" s="26"/>
      <c r="D172" s="34">
        <f>SUM(D169:D171)</f>
        <v>-7562.8899999999085</v>
      </c>
      <c r="E172" s="13"/>
      <c r="F172" s="32">
        <f>IF(D$12=0,0,D172/D$12)</f>
        <v>-4.7181843578589983E-2</v>
      </c>
      <c r="G172" s="13"/>
      <c r="H172" s="34">
        <f>SUM(H169:H171)</f>
        <v>6558.4145393461513</v>
      </c>
      <c r="I172" s="13"/>
      <c r="J172" s="32">
        <f>IF(H$12=0,0,H172/H$12)</f>
        <v>2.3309856266202317E-2</v>
      </c>
      <c r="K172" s="16"/>
      <c r="L172" s="34">
        <f>+D172-H172</f>
        <v>-14121.30453934606</v>
      </c>
      <c r="M172" s="16"/>
      <c r="N172" s="32">
        <f>IF(H172=0,0,L172/H172)</f>
        <v>-2.1531582754684946</v>
      </c>
      <c r="O172" s="25"/>
      <c r="P172" s="34">
        <f>SUM(P169:P171)</f>
        <v>28873.019999999669</v>
      </c>
      <c r="Q172" s="13"/>
      <c r="R172" s="32">
        <f>IF(P$12=0,0,P172/P$12)</f>
        <v>2.4246478412020329E-2</v>
      </c>
      <c r="S172" s="13"/>
      <c r="T172" s="34">
        <f>SUM(T169:T171)</f>
        <v>151422.3742943462</v>
      </c>
      <c r="U172" s="13"/>
      <c r="V172" s="32">
        <f>IF(T$12=0,0,T172/T$12)</f>
        <v>6.9744252496924938E-2</v>
      </c>
      <c r="W172" s="16"/>
      <c r="X172" s="34">
        <f>+P172-T172</f>
        <v>-122549.35429434653</v>
      </c>
      <c r="Y172" s="16"/>
      <c r="Z172" s="32">
        <f>IF(T172=0,0,X172/T172)</f>
        <v>-0.80932130978296435</v>
      </c>
    </row>
    <row r="173" spans="1:26" ht="15" thickTop="1" x14ac:dyDescent="0.35">
      <c r="A173" s="9"/>
      <c r="C173" s="9"/>
      <c r="D173" s="18"/>
      <c r="E173" s="18"/>
      <c r="G173" s="18"/>
      <c r="H173" s="18"/>
      <c r="I173" s="18"/>
      <c r="J173" s="43"/>
      <c r="K173" s="18"/>
      <c r="L173" s="18"/>
      <c r="M173" s="18"/>
      <c r="P173" s="18"/>
      <c r="Q173" s="18"/>
      <c r="R173" s="43"/>
      <c r="S173" s="18"/>
      <c r="T173" s="18"/>
      <c r="U173" s="18"/>
      <c r="V173" s="43"/>
      <c r="W173" s="18"/>
      <c r="X173" s="18"/>
    </row>
    <row r="174" spans="1:26" x14ac:dyDescent="0.35">
      <c r="A174" s="9"/>
      <c r="B174" s="60">
        <v>44238.490142395836</v>
      </c>
      <c r="D174" s="18"/>
      <c r="E174" s="18"/>
      <c r="G174" s="18"/>
      <c r="H174" s="18"/>
      <c r="I174" s="18"/>
      <c r="J174" s="43"/>
      <c r="K174" s="18"/>
      <c r="L174" s="18"/>
      <c r="M174" s="18"/>
      <c r="P174" s="18"/>
      <c r="Q174" s="18"/>
      <c r="R174" s="43"/>
      <c r="S174" s="18"/>
      <c r="T174" s="18"/>
      <c r="U174" s="18"/>
      <c r="V174" s="43"/>
      <c r="W174" s="18"/>
      <c r="X174" s="18"/>
    </row>
    <row r="175" spans="1:26" x14ac:dyDescent="0.35">
      <c r="A175" s="9"/>
      <c r="B175" s="59" t="s">
        <v>314</v>
      </c>
      <c r="D175" s="18"/>
      <c r="E175" s="18"/>
      <c r="G175" s="18"/>
      <c r="H175" s="18"/>
      <c r="I175" s="18"/>
      <c r="J175" s="43"/>
      <c r="K175" s="18"/>
      <c r="L175" s="18"/>
      <c r="M175" s="18"/>
      <c r="P175" s="18"/>
      <c r="Q175" s="18"/>
      <c r="R175" s="43"/>
      <c r="S175" s="18"/>
      <c r="T175" s="18"/>
      <c r="U175" s="18"/>
      <c r="V175" s="43"/>
      <c r="W175" s="18"/>
      <c r="X175" s="18"/>
    </row>
    <row r="176" spans="1:26" x14ac:dyDescent="0.35">
      <c r="A176" s="9"/>
      <c r="B176" s="58"/>
      <c r="D176" s="18"/>
      <c r="E176" s="18"/>
      <c r="G176" s="18"/>
      <c r="H176" s="18"/>
      <c r="I176" s="18"/>
      <c r="J176" s="43"/>
      <c r="K176" s="18"/>
      <c r="L176" s="18"/>
      <c r="M176" s="18"/>
      <c r="P176" s="18"/>
      <c r="Q176" s="18"/>
      <c r="R176" s="43"/>
      <c r="S176" s="18"/>
      <c r="T176" s="18"/>
      <c r="U176" s="18"/>
      <c r="V176" s="43"/>
      <c r="W176" s="18"/>
      <c r="X176" s="18"/>
    </row>
    <row r="177" spans="4:24" x14ac:dyDescent="0.35">
      <c r="D177" s="18"/>
      <c r="E177" s="18"/>
      <c r="G177" s="18"/>
      <c r="H177" s="18"/>
      <c r="I177" s="18"/>
      <c r="J177" s="43"/>
      <c r="K177" s="18"/>
      <c r="L177" s="18"/>
      <c r="M177" s="18"/>
      <c r="P177" s="18"/>
      <c r="Q177" s="18"/>
      <c r="R177" s="43"/>
      <c r="S177" s="18"/>
      <c r="T177" s="18"/>
      <c r="U177" s="18"/>
      <c r="V177" s="43"/>
      <c r="W177" s="18"/>
      <c r="X177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","315", " - ", "Beach Shop")</f>
        <v>Department 315 - Beach Shop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141539.27000000002</v>
      </c>
      <c r="E12" s="4"/>
      <c r="F12" s="12"/>
      <c r="G12" s="4"/>
      <c r="H12" s="4">
        <f>SUM(OSRRefH13x_0)</f>
        <v>210088</v>
      </c>
      <c r="I12" s="4"/>
      <c r="J12" s="12"/>
      <c r="K12" s="4"/>
      <c r="L12" s="4">
        <f t="shared" ref="L12:L50" si="0">+D12-H12</f>
        <v>-68548.729999999981</v>
      </c>
      <c r="M12" s="4"/>
      <c r="N12" s="12">
        <f t="shared" ref="N12:N50" si="1">IF(H12=0,0,L12/H12)</f>
        <v>-0.32628579452419931</v>
      </c>
      <c r="O12" s="10"/>
      <c r="P12" s="4">
        <f>SUM(OSRRefP13x_0)</f>
        <v>1027142.7300000001</v>
      </c>
      <c r="Q12" s="4"/>
      <c r="R12" s="12"/>
      <c r="S12" s="4"/>
      <c r="T12" s="4">
        <f>SUM(OSRRefT13x_0)</f>
        <v>1829694</v>
      </c>
      <c r="U12" s="4"/>
      <c r="V12" s="12"/>
      <c r="W12" s="4"/>
      <c r="X12" s="4">
        <f t="shared" ref="X12:X50" si="2">+P12-T12</f>
        <v>-802551.2699999999</v>
      </c>
      <c r="Y12" s="4"/>
      <c r="Z12" s="12">
        <f t="shared" ref="Z12:Z50" si="3">IF(T12=0,0,X12/T12)</f>
        <v>-0.43862595056878356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>-10320.6</f>
        <v>-10320.6</v>
      </c>
      <c r="E13" s="2"/>
      <c r="F13" s="22"/>
      <c r="G13" s="2"/>
      <c r="H13" s="2">
        <v>210088</v>
      </c>
      <c r="I13" s="2"/>
      <c r="J13" s="22"/>
      <c r="K13" s="2"/>
      <c r="L13" s="2">
        <f t="shared" si="0"/>
        <v>-220408.6</v>
      </c>
      <c r="M13" s="2"/>
      <c r="N13" s="22">
        <f t="shared" si="1"/>
        <v>-1.0491251285175736</v>
      </c>
      <c r="O13" s="11"/>
      <c r="P13" s="2">
        <f>-87775.16</f>
        <v>-87775.16</v>
      </c>
      <c r="Q13" s="2"/>
      <c r="R13" s="22"/>
      <c r="S13" s="2"/>
      <c r="T13" s="2">
        <v>1829694</v>
      </c>
      <c r="U13" s="2"/>
      <c r="V13" s="22"/>
      <c r="W13" s="2"/>
      <c r="X13" s="2">
        <f t="shared" si="2"/>
        <v>-1917469.16</v>
      </c>
      <c r="Y13" s="2"/>
      <c r="Z13" s="22">
        <f t="shared" si="3"/>
        <v>-1.0479725899521997</v>
      </c>
    </row>
    <row r="14" spans="1:26" s="24" customFormat="1" hidden="1" outlineLevel="1" x14ac:dyDescent="0.3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0</f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--221.99</f>
        <v>221.99</v>
      </c>
      <c r="Q14" s="2"/>
      <c r="R14" s="22"/>
      <c r="S14" s="2"/>
      <c r="T14" s="2"/>
      <c r="U14" s="2"/>
      <c r="V14" s="22"/>
      <c r="W14" s="2"/>
      <c r="X14" s="2">
        <f t="shared" si="2"/>
        <v>221.99</v>
      </c>
      <c r="Y14" s="2"/>
      <c r="Z14" s="22">
        <f t="shared" si="3"/>
        <v>0</v>
      </c>
    </row>
    <row r="15" spans="1:26" s="24" customFormat="1" hidden="1" outlineLevel="1" x14ac:dyDescent="0.3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--8641.35</f>
        <v>8641.35</v>
      </c>
      <c r="E15" s="2"/>
      <c r="F15" s="22"/>
      <c r="G15" s="2"/>
      <c r="H15" s="2"/>
      <c r="I15" s="2"/>
      <c r="J15" s="22"/>
      <c r="K15" s="2"/>
      <c r="L15" s="2">
        <f t="shared" si="0"/>
        <v>8641.35</v>
      </c>
      <c r="M15" s="2"/>
      <c r="N15" s="22">
        <f t="shared" si="1"/>
        <v>0</v>
      </c>
      <c r="O15" s="11"/>
      <c r="P15" s="2">
        <f>--40394.79</f>
        <v>40394.79</v>
      </c>
      <c r="Q15" s="2"/>
      <c r="R15" s="22"/>
      <c r="S15" s="2"/>
      <c r="T15" s="2"/>
      <c r="U15" s="2"/>
      <c r="V15" s="22"/>
      <c r="W15" s="2"/>
      <c r="X15" s="2">
        <f t="shared" si="2"/>
        <v>40394.79</v>
      </c>
      <c r="Y15" s="2"/>
      <c r="Z15" s="22">
        <f t="shared" si="3"/>
        <v>0</v>
      </c>
    </row>
    <row r="16" spans="1:26" s="24" customFormat="1" hidden="1" outlineLevel="1" x14ac:dyDescent="0.3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>--21770.01</f>
        <v>21770.01</v>
      </c>
      <c r="E16" s="2"/>
      <c r="F16" s="22"/>
      <c r="G16" s="2"/>
      <c r="H16" s="2"/>
      <c r="I16" s="2"/>
      <c r="J16" s="22"/>
      <c r="K16" s="2"/>
      <c r="L16" s="2">
        <f t="shared" si="0"/>
        <v>21770.01</v>
      </c>
      <c r="M16" s="2"/>
      <c r="N16" s="22">
        <f t="shared" si="1"/>
        <v>0</v>
      </c>
      <c r="O16" s="11"/>
      <c r="P16" s="2">
        <f>--26443.53</f>
        <v>26443.53</v>
      </c>
      <c r="Q16" s="2"/>
      <c r="R16" s="22"/>
      <c r="S16" s="2"/>
      <c r="T16" s="2"/>
      <c r="U16" s="2"/>
      <c r="V16" s="22"/>
      <c r="W16" s="2"/>
      <c r="X16" s="2">
        <f t="shared" si="2"/>
        <v>26443.53</v>
      </c>
      <c r="Y16" s="2"/>
      <c r="Z16" s="22">
        <f t="shared" si="3"/>
        <v>0</v>
      </c>
    </row>
    <row r="17" spans="1:26" s="24" customFormat="1" hidden="1" outlineLevel="1" x14ac:dyDescent="0.3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>--477.59</f>
        <v>477.59</v>
      </c>
      <c r="E17" s="2"/>
      <c r="F17" s="22"/>
      <c r="G17" s="2"/>
      <c r="H17" s="2"/>
      <c r="I17" s="2"/>
      <c r="J17" s="22"/>
      <c r="K17" s="2"/>
      <c r="L17" s="2">
        <f t="shared" si="0"/>
        <v>477.59</v>
      </c>
      <c r="M17" s="2"/>
      <c r="N17" s="22">
        <f t="shared" si="1"/>
        <v>0</v>
      </c>
      <c r="O17" s="11"/>
      <c r="P17" s="2">
        <f>--2212.69</f>
        <v>2212.69</v>
      </c>
      <c r="Q17" s="2"/>
      <c r="R17" s="22"/>
      <c r="S17" s="2"/>
      <c r="T17" s="2"/>
      <c r="U17" s="2"/>
      <c r="V17" s="22"/>
      <c r="W17" s="2"/>
      <c r="X17" s="2">
        <f t="shared" si="2"/>
        <v>2212.69</v>
      </c>
      <c r="Y17" s="2"/>
      <c r="Z17" s="22">
        <f t="shared" si="3"/>
        <v>0</v>
      </c>
    </row>
    <row r="18" spans="1:26" s="24" customFormat="1" hidden="1" outlineLevel="1" x14ac:dyDescent="0.35">
      <c r="A18" s="51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--6.78</f>
        <v>6.78</v>
      </c>
      <c r="Q18" s="2"/>
      <c r="R18" s="22"/>
      <c r="S18" s="2"/>
      <c r="T18" s="2"/>
      <c r="U18" s="2"/>
      <c r="V18" s="22"/>
      <c r="W18" s="2"/>
      <c r="X18" s="2">
        <f t="shared" si="2"/>
        <v>6.78</v>
      </c>
      <c r="Y18" s="2"/>
      <c r="Z18" s="22">
        <f t="shared" si="3"/>
        <v>0</v>
      </c>
    </row>
    <row r="19" spans="1:26" s="24" customFormat="1" hidden="1" outlineLevel="1" x14ac:dyDescent="0.35">
      <c r="A19" s="51"/>
      <c r="B19" s="11" t="str">
        <f>CONCATENATE("          ", "4040", " - ", "TAXABLE SALES-LOGO CLOTHING")</f>
        <v xml:space="preserve">          4040 - TAXABLE SALES-LOGO CLOTHING</v>
      </c>
      <c r="C19" s="11"/>
      <c r="D19" s="2">
        <f>--72874.93</f>
        <v>72874.929999999993</v>
      </c>
      <c r="E19" s="2"/>
      <c r="F19" s="22"/>
      <c r="G19" s="2"/>
      <c r="H19" s="2"/>
      <c r="I19" s="2"/>
      <c r="J19" s="22"/>
      <c r="K19" s="2"/>
      <c r="L19" s="2">
        <f t="shared" si="0"/>
        <v>72874.929999999993</v>
      </c>
      <c r="M19" s="2"/>
      <c r="N19" s="22">
        <f t="shared" si="1"/>
        <v>0</v>
      </c>
      <c r="O19" s="11"/>
      <c r="P19" s="2">
        <f>--462121.98</f>
        <v>462121.98</v>
      </c>
      <c r="Q19" s="2"/>
      <c r="R19" s="22"/>
      <c r="S19" s="2"/>
      <c r="T19" s="2"/>
      <c r="U19" s="2"/>
      <c r="V19" s="22"/>
      <c r="W19" s="2"/>
      <c r="X19" s="2">
        <f t="shared" si="2"/>
        <v>462121.98</v>
      </c>
      <c r="Y19" s="2"/>
      <c r="Z19" s="22">
        <f t="shared" si="3"/>
        <v>0</v>
      </c>
    </row>
    <row r="20" spans="1:26" s="24" customFormat="1" hidden="1" outlineLevel="1" x14ac:dyDescent="0.35">
      <c r="A20" s="51"/>
      <c r="B20" s="11" t="str">
        <f>CONCATENATE("          ", "4041", " - ", "TAXABLE SALES-LOGO GIFTS")</f>
        <v xml:space="preserve">          4041 - TAXABLE SALES-LOGO GIFTS</v>
      </c>
      <c r="C20" s="11"/>
      <c r="D20" s="2">
        <f>--21568.69</f>
        <v>21568.69</v>
      </c>
      <c r="E20" s="2"/>
      <c r="F20" s="22"/>
      <c r="G20" s="2"/>
      <c r="H20" s="2"/>
      <c r="I20" s="2"/>
      <c r="J20" s="22"/>
      <c r="K20" s="2"/>
      <c r="L20" s="2">
        <f t="shared" si="0"/>
        <v>21568.69</v>
      </c>
      <c r="M20" s="2"/>
      <c r="N20" s="22">
        <f t="shared" si="1"/>
        <v>0</v>
      </c>
      <c r="O20" s="11"/>
      <c r="P20" s="2">
        <f>--139295.32</f>
        <v>139295.32</v>
      </c>
      <c r="Q20" s="2"/>
      <c r="R20" s="22"/>
      <c r="S20" s="2"/>
      <c r="T20" s="2"/>
      <c r="U20" s="2"/>
      <c r="V20" s="22"/>
      <c r="W20" s="2"/>
      <c r="X20" s="2">
        <f t="shared" si="2"/>
        <v>139295.32</v>
      </c>
      <c r="Y20" s="2"/>
      <c r="Z20" s="22">
        <f t="shared" si="3"/>
        <v>0</v>
      </c>
    </row>
    <row r="21" spans="1:26" s="24" customFormat="1" hidden="1" outlineLevel="1" x14ac:dyDescent="0.35">
      <c r="A21" s="51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--7139.06</f>
        <v>7139.06</v>
      </c>
      <c r="E21" s="2"/>
      <c r="F21" s="22"/>
      <c r="G21" s="2"/>
      <c r="H21" s="2"/>
      <c r="I21" s="2"/>
      <c r="J21" s="22"/>
      <c r="K21" s="2"/>
      <c r="L21" s="2">
        <f t="shared" si="0"/>
        <v>7139.06</v>
      </c>
      <c r="M21" s="2"/>
      <c r="N21" s="22">
        <f t="shared" si="1"/>
        <v>0</v>
      </c>
      <c r="O21" s="11"/>
      <c r="P21" s="2">
        <f>--53028.97</f>
        <v>53028.97</v>
      </c>
      <c r="Q21" s="2"/>
      <c r="R21" s="22"/>
      <c r="S21" s="2"/>
      <c r="T21" s="2"/>
      <c r="U21" s="2"/>
      <c r="V21" s="22"/>
      <c r="W21" s="2"/>
      <c r="X21" s="2">
        <f t="shared" si="2"/>
        <v>53028.97</v>
      </c>
      <c r="Y21" s="2"/>
      <c r="Z21" s="22">
        <f t="shared" si="3"/>
        <v>0</v>
      </c>
    </row>
    <row r="22" spans="1:26" s="24" customFormat="1" hidden="1" outlineLevel="1" x14ac:dyDescent="0.35">
      <c r="A22" s="51"/>
      <c r="B22" s="11" t="str">
        <f>CONCATENATE("          ", "4043", " - ", "TAXABLE SALES-CARDS")</f>
        <v xml:space="preserve">          4043 - TAXABLE SALES-CARDS</v>
      </c>
      <c r="C22" s="11"/>
      <c r="D22" s="2">
        <f>--22862.29</f>
        <v>22862.29</v>
      </c>
      <c r="E22" s="2"/>
      <c r="F22" s="22"/>
      <c r="G22" s="2"/>
      <c r="H22" s="2"/>
      <c r="I22" s="2"/>
      <c r="J22" s="22"/>
      <c r="K22" s="2"/>
      <c r="L22" s="2">
        <f t="shared" si="0"/>
        <v>22862.29</v>
      </c>
      <c r="M22" s="2"/>
      <c r="N22" s="22">
        <f t="shared" si="1"/>
        <v>0</v>
      </c>
      <c r="O22" s="11"/>
      <c r="P22" s="2">
        <f>--109715.25</f>
        <v>109715.25</v>
      </c>
      <c r="Q22" s="2"/>
      <c r="R22" s="22"/>
      <c r="S22" s="2"/>
      <c r="T22" s="2"/>
      <c r="U22" s="2"/>
      <c r="V22" s="22"/>
      <c r="W22" s="2"/>
      <c r="X22" s="2">
        <f t="shared" si="2"/>
        <v>109715.25</v>
      </c>
      <c r="Y22" s="2"/>
      <c r="Z22" s="22">
        <f t="shared" si="3"/>
        <v>0</v>
      </c>
    </row>
    <row r="23" spans="1:26" s="24" customFormat="1" hidden="1" outlineLevel="1" x14ac:dyDescent="0.35">
      <c r="A23" s="51"/>
      <c r="B23" s="11" t="str">
        <f>CONCATENATE("          ", "4044", " - ", "TAXABLE SALES-ACCESSORIES")</f>
        <v xml:space="preserve">          4044 - TAXABLE SALES-ACCESSORIES</v>
      </c>
      <c r="C23" s="11"/>
      <c r="D23" s="2">
        <f>--1169.64</f>
        <v>1169.6400000000001</v>
      </c>
      <c r="E23" s="2"/>
      <c r="F23" s="22"/>
      <c r="G23" s="2"/>
      <c r="H23" s="2"/>
      <c r="I23" s="2"/>
      <c r="J23" s="22"/>
      <c r="K23" s="2"/>
      <c r="L23" s="2">
        <f t="shared" si="0"/>
        <v>1169.6400000000001</v>
      </c>
      <c r="M23" s="2"/>
      <c r="N23" s="22">
        <f t="shared" si="1"/>
        <v>0</v>
      </c>
      <c r="O23" s="11"/>
      <c r="P23" s="2">
        <f>--25602.45</f>
        <v>25602.45</v>
      </c>
      <c r="Q23" s="2"/>
      <c r="R23" s="22"/>
      <c r="S23" s="2"/>
      <c r="T23" s="2"/>
      <c r="U23" s="2"/>
      <c r="V23" s="22"/>
      <c r="W23" s="2"/>
      <c r="X23" s="2">
        <f t="shared" si="2"/>
        <v>25602.45</v>
      </c>
      <c r="Y23" s="2"/>
      <c r="Z23" s="22">
        <f t="shared" si="3"/>
        <v>0</v>
      </c>
    </row>
    <row r="24" spans="1:26" s="24" customFormat="1" hidden="1" outlineLevel="1" x14ac:dyDescent="0.35">
      <c r="A24" s="51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--3388.52</f>
        <v>3388.52</v>
      </c>
      <c r="E24" s="2"/>
      <c r="F24" s="22"/>
      <c r="G24" s="2"/>
      <c r="H24" s="2"/>
      <c r="I24" s="2"/>
      <c r="J24" s="22"/>
      <c r="K24" s="2"/>
      <c r="L24" s="2">
        <f t="shared" si="0"/>
        <v>3388.52</v>
      </c>
      <c r="M24" s="2"/>
      <c r="N24" s="22">
        <f t="shared" si="1"/>
        <v>0</v>
      </c>
      <c r="O24" s="11"/>
      <c r="P24" s="2">
        <f>--125123.3</f>
        <v>125123.3</v>
      </c>
      <c r="Q24" s="2"/>
      <c r="R24" s="22"/>
      <c r="S24" s="2"/>
      <c r="T24" s="2"/>
      <c r="U24" s="2"/>
      <c r="V24" s="22"/>
      <c r="W24" s="2"/>
      <c r="X24" s="2">
        <f t="shared" si="2"/>
        <v>125123.3</v>
      </c>
      <c r="Y24" s="2"/>
      <c r="Z24" s="22">
        <f t="shared" si="3"/>
        <v>0</v>
      </c>
    </row>
    <row r="25" spans="1:26" s="24" customFormat="1" hidden="1" outlineLevel="1" x14ac:dyDescent="0.35">
      <c r="A25" s="51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--52.68</f>
        <v>52.68</v>
      </c>
      <c r="Q25" s="2"/>
      <c r="R25" s="22"/>
      <c r="S25" s="2"/>
      <c r="T25" s="2"/>
      <c r="U25" s="2"/>
      <c r="V25" s="22"/>
      <c r="W25" s="2"/>
      <c r="X25" s="2">
        <f t="shared" si="2"/>
        <v>52.68</v>
      </c>
      <c r="Y25" s="2"/>
      <c r="Z25" s="22">
        <f t="shared" si="3"/>
        <v>0</v>
      </c>
    </row>
    <row r="26" spans="1:26" s="24" customFormat="1" hidden="1" outlineLevel="1" x14ac:dyDescent="0.35">
      <c r="A26" s="51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--2539.06</f>
        <v>2539.06</v>
      </c>
      <c r="E26" s="2"/>
      <c r="F26" s="22"/>
      <c r="G26" s="2"/>
      <c r="H26" s="2"/>
      <c r="I26" s="2"/>
      <c r="J26" s="22"/>
      <c r="K26" s="2"/>
      <c r="L26" s="2">
        <f t="shared" si="0"/>
        <v>2539.06</v>
      </c>
      <c r="M26" s="2"/>
      <c r="N26" s="22">
        <f t="shared" si="1"/>
        <v>0</v>
      </c>
      <c r="O26" s="11"/>
      <c r="P26" s="2">
        <f>--5745.17</f>
        <v>5745.17</v>
      </c>
      <c r="Q26" s="2"/>
      <c r="R26" s="22"/>
      <c r="S26" s="2"/>
      <c r="T26" s="2"/>
      <c r="U26" s="2"/>
      <c r="V26" s="22"/>
      <c r="W26" s="2"/>
      <c r="X26" s="2">
        <f t="shared" si="2"/>
        <v>5745.17</v>
      </c>
      <c r="Y26" s="2"/>
      <c r="Z26" s="22">
        <f t="shared" si="3"/>
        <v>0</v>
      </c>
    </row>
    <row r="27" spans="1:26" s="24" customFormat="1" hidden="1" outlineLevel="1" x14ac:dyDescent="0.35">
      <c r="A27" s="51"/>
      <c r="B27" s="11" t="str">
        <f>CONCATENATE("          ", "4128", " - ", "NON-TAXABLE SALES-ART/TECH")</f>
        <v xml:space="preserve">          4128 - NON-TAXABLE SALES-ART/TECH</v>
      </c>
      <c r="C27" s="11"/>
      <c r="D27" s="2">
        <f>--4.72</f>
        <v>4.72</v>
      </c>
      <c r="E27" s="2"/>
      <c r="F27" s="22"/>
      <c r="G27" s="2"/>
      <c r="H27" s="2"/>
      <c r="I27" s="2"/>
      <c r="J27" s="22"/>
      <c r="K27" s="2"/>
      <c r="L27" s="2">
        <f t="shared" si="0"/>
        <v>4.72</v>
      </c>
      <c r="M27" s="2"/>
      <c r="N27" s="22">
        <f t="shared" si="1"/>
        <v>0</v>
      </c>
      <c r="O27" s="11"/>
      <c r="P27" s="2">
        <f>--29.5</f>
        <v>29.5</v>
      </c>
      <c r="Q27" s="2"/>
      <c r="R27" s="22"/>
      <c r="S27" s="2"/>
      <c r="T27" s="2"/>
      <c r="U27" s="2"/>
      <c r="V27" s="22"/>
      <c r="W27" s="2"/>
      <c r="X27" s="2">
        <f t="shared" si="2"/>
        <v>29.5</v>
      </c>
      <c r="Y27" s="2"/>
      <c r="Z27" s="22">
        <f t="shared" si="3"/>
        <v>0</v>
      </c>
    </row>
    <row r="28" spans="1:26" s="24" customFormat="1" hidden="1" outlineLevel="1" x14ac:dyDescent="0.35">
      <c r="A28" s="51"/>
      <c r="B28" s="11" t="str">
        <f>CONCATENATE("          ", "4131", " - ", "NON-TAXABLE SALES-FOOD")</f>
        <v xml:space="preserve">          4131 - NON-TAXABLE SALES-FOOD</v>
      </c>
      <c r="C28" s="11"/>
      <c r="D28" s="2">
        <f>--1098.12</f>
        <v>1098.1199999999999</v>
      </c>
      <c r="E28" s="2"/>
      <c r="F28" s="22"/>
      <c r="G28" s="2"/>
      <c r="H28" s="2"/>
      <c r="I28" s="2"/>
      <c r="J28" s="22"/>
      <c r="K28" s="2"/>
      <c r="L28" s="2">
        <f t="shared" si="0"/>
        <v>1098.1199999999999</v>
      </c>
      <c r="M28" s="2"/>
      <c r="N28" s="22">
        <f t="shared" si="1"/>
        <v>0</v>
      </c>
      <c r="O28" s="11"/>
      <c r="P28" s="2">
        <f>--6755.61</f>
        <v>6755.61</v>
      </c>
      <c r="Q28" s="2"/>
      <c r="R28" s="22"/>
      <c r="S28" s="2"/>
      <c r="T28" s="2"/>
      <c r="U28" s="2"/>
      <c r="V28" s="22"/>
      <c r="W28" s="2"/>
      <c r="X28" s="2">
        <f t="shared" si="2"/>
        <v>6755.61</v>
      </c>
      <c r="Y28" s="2"/>
      <c r="Z28" s="22">
        <f t="shared" si="3"/>
        <v>0</v>
      </c>
    </row>
    <row r="29" spans="1:26" s="24" customFormat="1" hidden="1" outlineLevel="1" x14ac:dyDescent="0.35">
      <c r="A29" s="51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ref="D29:D32" si="4">0</f>
        <v>0</v>
      </c>
      <c r="E29" s="2"/>
      <c r="F29" s="22"/>
      <c r="G29" s="2"/>
      <c r="H29" s="2"/>
      <c r="I29" s="2"/>
      <c r="J29" s="22"/>
      <c r="K29" s="2"/>
      <c r="L29" s="2">
        <f t="shared" si="0"/>
        <v>0</v>
      </c>
      <c r="M29" s="2"/>
      <c r="N29" s="22">
        <f t="shared" si="1"/>
        <v>0</v>
      </c>
      <c r="O29" s="11"/>
      <c r="P29" s="2">
        <f>--22.49</f>
        <v>22.49</v>
      </c>
      <c r="Q29" s="2"/>
      <c r="R29" s="22"/>
      <c r="S29" s="2"/>
      <c r="T29" s="2"/>
      <c r="U29" s="2"/>
      <c r="V29" s="22"/>
      <c r="W29" s="2"/>
      <c r="X29" s="2">
        <f t="shared" si="2"/>
        <v>22.49</v>
      </c>
      <c r="Y29" s="2"/>
      <c r="Z29" s="22">
        <f t="shared" si="3"/>
        <v>0</v>
      </c>
    </row>
    <row r="30" spans="1:26" s="24" customFormat="1" hidden="1" outlineLevel="1" x14ac:dyDescent="0.35">
      <c r="A30" s="51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4"/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--80.71</f>
        <v>80.709999999999994</v>
      </c>
      <c r="Q30" s="2"/>
      <c r="R30" s="22"/>
      <c r="S30" s="2"/>
      <c r="T30" s="2"/>
      <c r="U30" s="2"/>
      <c r="V30" s="22"/>
      <c r="W30" s="2"/>
      <c r="X30" s="2">
        <f t="shared" si="2"/>
        <v>80.709999999999994</v>
      </c>
      <c r="Y30" s="2"/>
      <c r="Z30" s="22">
        <f t="shared" si="3"/>
        <v>0</v>
      </c>
    </row>
    <row r="31" spans="1:26" s="24" customFormat="1" hidden="1" outlineLevel="1" x14ac:dyDescent="0.35">
      <c r="A31" s="51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4"/>
        <v>0</v>
      </c>
      <c r="E31" s="2"/>
      <c r="F31" s="22"/>
      <c r="G31" s="2"/>
      <c r="H31" s="2"/>
      <c r="I31" s="2"/>
      <c r="J31" s="22"/>
      <c r="K31" s="2"/>
      <c r="L31" s="2">
        <f t="shared" si="0"/>
        <v>0</v>
      </c>
      <c r="M31" s="2"/>
      <c r="N31" s="22">
        <f t="shared" si="1"/>
        <v>0</v>
      </c>
      <c r="O31" s="11"/>
      <c r="P31" s="2">
        <f>--45.53</f>
        <v>45.53</v>
      </c>
      <c r="Q31" s="2"/>
      <c r="R31" s="22"/>
      <c r="S31" s="2"/>
      <c r="T31" s="2"/>
      <c r="U31" s="2"/>
      <c r="V31" s="22"/>
      <c r="W31" s="2"/>
      <c r="X31" s="2">
        <f t="shared" si="2"/>
        <v>45.53</v>
      </c>
      <c r="Y31" s="2"/>
      <c r="Z31" s="22">
        <f t="shared" si="3"/>
        <v>0</v>
      </c>
    </row>
    <row r="32" spans="1:26" s="24" customFormat="1" hidden="1" outlineLevel="1" x14ac:dyDescent="0.35">
      <c r="A32" s="51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4"/>
        <v>0</v>
      </c>
      <c r="E32" s="2"/>
      <c r="F32" s="22"/>
      <c r="G32" s="2"/>
      <c r="H32" s="2"/>
      <c r="I32" s="2"/>
      <c r="J32" s="22"/>
      <c r="K32" s="2"/>
      <c r="L32" s="2">
        <f t="shared" si="0"/>
        <v>0</v>
      </c>
      <c r="M32" s="2"/>
      <c r="N32" s="22">
        <f t="shared" si="1"/>
        <v>0</v>
      </c>
      <c r="O32" s="11"/>
      <c r="P32" s="2">
        <f>--59.25</f>
        <v>59.25</v>
      </c>
      <c r="Q32" s="2"/>
      <c r="R32" s="22"/>
      <c r="S32" s="2"/>
      <c r="T32" s="2"/>
      <c r="U32" s="2"/>
      <c r="V32" s="22"/>
      <c r="W32" s="2"/>
      <c r="X32" s="2">
        <f t="shared" si="2"/>
        <v>59.25</v>
      </c>
      <c r="Y32" s="2"/>
      <c r="Z32" s="22">
        <f t="shared" si="3"/>
        <v>0</v>
      </c>
    </row>
    <row r="33" spans="1:26" s="24" customFormat="1" hidden="1" outlineLevel="1" x14ac:dyDescent="0.35">
      <c r="A33" s="51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>--9206.45</f>
        <v>9206.4500000000007</v>
      </c>
      <c r="E33" s="2"/>
      <c r="F33" s="22"/>
      <c r="G33" s="2"/>
      <c r="H33" s="2"/>
      <c r="I33" s="2"/>
      <c r="J33" s="22"/>
      <c r="K33" s="2"/>
      <c r="L33" s="2">
        <f t="shared" si="0"/>
        <v>9206.4500000000007</v>
      </c>
      <c r="M33" s="2"/>
      <c r="N33" s="22">
        <f t="shared" si="1"/>
        <v>0</v>
      </c>
      <c r="O33" s="11"/>
      <c r="P33" s="2">
        <f>--113011.64</f>
        <v>113011.64</v>
      </c>
      <c r="Q33" s="2"/>
      <c r="R33" s="22"/>
      <c r="S33" s="2"/>
      <c r="T33" s="2"/>
      <c r="U33" s="2"/>
      <c r="V33" s="22"/>
      <c r="W33" s="2"/>
      <c r="X33" s="2">
        <f t="shared" si="2"/>
        <v>113011.64</v>
      </c>
      <c r="Y33" s="2"/>
      <c r="Z33" s="22">
        <f t="shared" si="3"/>
        <v>0</v>
      </c>
    </row>
    <row r="34" spans="1:26" s="24" customFormat="1" hidden="1" outlineLevel="1" x14ac:dyDescent="0.35">
      <c r="A34" s="51"/>
      <c r="B34" s="11" t="str">
        <f>CONCATENATE("          ", "4141", " - ", "NON-TAXABLE SALES-LOGO GIFTS")</f>
        <v xml:space="preserve">          4141 - NON-TAXABLE SALES-LOGO GIFTS</v>
      </c>
      <c r="C34" s="11"/>
      <c r="D34" s="2">
        <f>--1163.92</f>
        <v>1163.92</v>
      </c>
      <c r="E34" s="2"/>
      <c r="F34" s="22"/>
      <c r="G34" s="2"/>
      <c r="H34" s="2"/>
      <c r="I34" s="2"/>
      <c r="J34" s="22"/>
      <c r="K34" s="2"/>
      <c r="L34" s="2">
        <f t="shared" si="0"/>
        <v>1163.92</v>
      </c>
      <c r="M34" s="2"/>
      <c r="N34" s="22">
        <f t="shared" si="1"/>
        <v>0</v>
      </c>
      <c r="O34" s="11"/>
      <c r="P34" s="2">
        <f>--6613.52</f>
        <v>6613.52</v>
      </c>
      <c r="Q34" s="2"/>
      <c r="R34" s="22"/>
      <c r="S34" s="2"/>
      <c r="T34" s="2"/>
      <c r="U34" s="2"/>
      <c r="V34" s="22"/>
      <c r="W34" s="2"/>
      <c r="X34" s="2">
        <f t="shared" si="2"/>
        <v>6613.52</v>
      </c>
      <c r="Y34" s="2"/>
      <c r="Z34" s="22">
        <f t="shared" si="3"/>
        <v>0</v>
      </c>
    </row>
    <row r="35" spans="1:26" s="24" customFormat="1" hidden="1" outlineLevel="1" x14ac:dyDescent="0.35">
      <c r="A35" s="51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>--51.7</f>
        <v>51.7</v>
      </c>
      <c r="E35" s="2"/>
      <c r="F35" s="22"/>
      <c r="G35" s="2"/>
      <c r="H35" s="2"/>
      <c r="I35" s="2"/>
      <c r="J35" s="22"/>
      <c r="K35" s="2"/>
      <c r="L35" s="2">
        <f t="shared" si="0"/>
        <v>51.7</v>
      </c>
      <c r="M35" s="2"/>
      <c r="N35" s="22">
        <f t="shared" si="1"/>
        <v>0</v>
      </c>
      <c r="O35" s="11"/>
      <c r="P35" s="2">
        <f>--1149.3</f>
        <v>1149.3</v>
      </c>
      <c r="Q35" s="2"/>
      <c r="R35" s="22"/>
      <c r="S35" s="2"/>
      <c r="T35" s="2"/>
      <c r="U35" s="2"/>
      <c r="V35" s="22"/>
      <c r="W35" s="2"/>
      <c r="X35" s="2">
        <f t="shared" si="2"/>
        <v>1149.3</v>
      </c>
      <c r="Y35" s="2"/>
      <c r="Z35" s="22">
        <f t="shared" si="3"/>
        <v>0</v>
      </c>
    </row>
    <row r="36" spans="1:26" s="24" customFormat="1" hidden="1" outlineLevel="1" x14ac:dyDescent="0.35">
      <c r="A36" s="51"/>
      <c r="B36" s="11" t="str">
        <f>CONCATENATE("          ", "4143", " - ", "NON-TAXABLE SALES-CARDS")</f>
        <v xml:space="preserve">          4143 - NON-TAXABLE SALES-CARDS</v>
      </c>
      <c r="C36" s="11"/>
      <c r="D36" s="2">
        <f>--232.71</f>
        <v>232.71</v>
      </c>
      <c r="E36" s="2"/>
      <c r="F36" s="22"/>
      <c r="G36" s="2"/>
      <c r="H36" s="2"/>
      <c r="I36" s="2"/>
      <c r="J36" s="22"/>
      <c r="K36" s="2"/>
      <c r="L36" s="2">
        <f t="shared" si="0"/>
        <v>232.71</v>
      </c>
      <c r="M36" s="2"/>
      <c r="N36" s="22">
        <f t="shared" si="1"/>
        <v>0</v>
      </c>
      <c r="O36" s="11"/>
      <c r="P36" s="2">
        <f>--1969.74</f>
        <v>1969.74</v>
      </c>
      <c r="Q36" s="2"/>
      <c r="R36" s="22"/>
      <c r="S36" s="2"/>
      <c r="T36" s="2"/>
      <c r="U36" s="2"/>
      <c r="V36" s="22"/>
      <c r="W36" s="2"/>
      <c r="X36" s="2">
        <f t="shared" si="2"/>
        <v>1969.74</v>
      </c>
      <c r="Y36" s="2"/>
      <c r="Z36" s="22">
        <f t="shared" si="3"/>
        <v>0</v>
      </c>
    </row>
    <row r="37" spans="1:26" s="24" customFormat="1" hidden="1" outlineLevel="1" x14ac:dyDescent="0.35">
      <c r="A37" s="51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>--119.9</f>
        <v>119.9</v>
      </c>
      <c r="E37" s="2"/>
      <c r="F37" s="22"/>
      <c r="G37" s="2"/>
      <c r="H37" s="2"/>
      <c r="I37" s="2"/>
      <c r="J37" s="22"/>
      <c r="K37" s="2"/>
      <c r="L37" s="2">
        <f t="shared" si="0"/>
        <v>119.9</v>
      </c>
      <c r="M37" s="2"/>
      <c r="N37" s="22">
        <f t="shared" si="1"/>
        <v>0</v>
      </c>
      <c r="O37" s="11"/>
      <c r="P37" s="2">
        <f>--609.4</f>
        <v>609.4</v>
      </c>
      <c r="Q37" s="2"/>
      <c r="R37" s="22"/>
      <c r="S37" s="2"/>
      <c r="T37" s="2"/>
      <c r="U37" s="2"/>
      <c r="V37" s="22"/>
      <c r="W37" s="2"/>
      <c r="X37" s="2">
        <f t="shared" si="2"/>
        <v>609.4</v>
      </c>
      <c r="Y37" s="2"/>
      <c r="Z37" s="22">
        <f t="shared" si="3"/>
        <v>0</v>
      </c>
    </row>
    <row r="38" spans="1:26" s="24" customFormat="1" hidden="1" outlineLevel="1" x14ac:dyDescent="0.35">
      <c r="A38" s="51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>-1677.68</f>
        <v>-1677.68</v>
      </c>
      <c r="E38" s="2"/>
      <c r="F38" s="22"/>
      <c r="G38" s="2"/>
      <c r="H38" s="2"/>
      <c r="I38" s="2"/>
      <c r="J38" s="22"/>
      <c r="K38" s="2"/>
      <c r="L38" s="2">
        <f t="shared" si="0"/>
        <v>-1677.68</v>
      </c>
      <c r="M38" s="2"/>
      <c r="N38" s="22">
        <f t="shared" si="1"/>
        <v>0</v>
      </c>
      <c r="O38" s="11"/>
      <c r="P38" s="2">
        <f>--53709.09</f>
        <v>53709.09</v>
      </c>
      <c r="Q38" s="2"/>
      <c r="R38" s="22"/>
      <c r="S38" s="2"/>
      <c r="T38" s="2"/>
      <c r="U38" s="2"/>
      <c r="V38" s="22"/>
      <c r="W38" s="2"/>
      <c r="X38" s="2">
        <f t="shared" si="2"/>
        <v>53709.09</v>
      </c>
      <c r="Y38" s="2"/>
      <c r="Z38" s="22">
        <f t="shared" si="3"/>
        <v>0</v>
      </c>
    </row>
    <row r="39" spans="1:26" s="24" customFormat="1" hidden="1" outlineLevel="1" x14ac:dyDescent="0.35">
      <c r="A39" s="51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>0</f>
        <v>0</v>
      </c>
      <c r="E39" s="2"/>
      <c r="F39" s="22"/>
      <c r="G39" s="2"/>
      <c r="H39" s="2"/>
      <c r="I39" s="2"/>
      <c r="J39" s="22"/>
      <c r="K39" s="2"/>
      <c r="L39" s="2">
        <f t="shared" si="0"/>
        <v>0</v>
      </c>
      <c r="M39" s="2"/>
      <c r="N39" s="22">
        <f t="shared" si="1"/>
        <v>0</v>
      </c>
      <c r="O39" s="11"/>
      <c r="P39" s="2">
        <f>-6.38</f>
        <v>-6.38</v>
      </c>
      <c r="Q39" s="2"/>
      <c r="R39" s="22"/>
      <c r="S39" s="2"/>
      <c r="T39" s="2"/>
      <c r="U39" s="2"/>
      <c r="V39" s="22"/>
      <c r="W39" s="2"/>
      <c r="X39" s="2">
        <f t="shared" si="2"/>
        <v>-6.38</v>
      </c>
      <c r="Y39" s="2"/>
      <c r="Z39" s="22">
        <f t="shared" si="3"/>
        <v>0</v>
      </c>
    </row>
    <row r="40" spans="1:26" s="24" customFormat="1" hidden="1" outlineLevel="1" x14ac:dyDescent="0.35">
      <c r="A40" s="51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>-122.23</f>
        <v>-122.23</v>
      </c>
      <c r="E40" s="2"/>
      <c r="F40" s="22"/>
      <c r="G40" s="2"/>
      <c r="H40" s="2"/>
      <c r="I40" s="2"/>
      <c r="J40" s="22"/>
      <c r="K40" s="2"/>
      <c r="L40" s="2">
        <f t="shared" si="0"/>
        <v>-122.23</v>
      </c>
      <c r="M40" s="2"/>
      <c r="N40" s="22">
        <f t="shared" si="1"/>
        <v>0</v>
      </c>
      <c r="O40" s="11"/>
      <c r="P40" s="2">
        <f>-559.5</f>
        <v>-559.5</v>
      </c>
      <c r="Q40" s="2"/>
      <c r="R40" s="22"/>
      <c r="S40" s="2"/>
      <c r="T40" s="2"/>
      <c r="U40" s="2"/>
      <c r="V40" s="22"/>
      <c r="W40" s="2"/>
      <c r="X40" s="2">
        <f t="shared" si="2"/>
        <v>-559.5</v>
      </c>
      <c r="Y40" s="2"/>
      <c r="Z40" s="22">
        <f t="shared" si="3"/>
        <v>0</v>
      </c>
    </row>
    <row r="41" spans="1:26" s="24" customFormat="1" hidden="1" outlineLevel="1" x14ac:dyDescent="0.35">
      <c r="A41" s="51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-12473.84</f>
        <v>-12473.84</v>
      </c>
      <c r="E41" s="2"/>
      <c r="F41" s="22"/>
      <c r="G41" s="2"/>
      <c r="H41" s="2"/>
      <c r="I41" s="2"/>
      <c r="J41" s="22"/>
      <c r="K41" s="2"/>
      <c r="L41" s="2">
        <f t="shared" si="0"/>
        <v>-12473.84</v>
      </c>
      <c r="M41" s="2"/>
      <c r="N41" s="22">
        <f t="shared" si="1"/>
        <v>0</v>
      </c>
      <c r="O41" s="11"/>
      <c r="P41" s="2">
        <f>-12506.33</f>
        <v>-12506.33</v>
      </c>
      <c r="Q41" s="2"/>
      <c r="R41" s="22"/>
      <c r="S41" s="2"/>
      <c r="T41" s="2"/>
      <c r="U41" s="2"/>
      <c r="V41" s="22"/>
      <c r="W41" s="2"/>
      <c r="X41" s="2">
        <f t="shared" si="2"/>
        <v>-12506.33</v>
      </c>
      <c r="Y41" s="2"/>
      <c r="Z41" s="22">
        <f t="shared" si="3"/>
        <v>0</v>
      </c>
    </row>
    <row r="42" spans="1:26" s="24" customFormat="1" hidden="1" outlineLevel="1" x14ac:dyDescent="0.35">
      <c r="A42" s="51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>-4857.17</f>
        <v>-4857.17</v>
      </c>
      <c r="E42" s="2"/>
      <c r="F42" s="22"/>
      <c r="G42" s="2"/>
      <c r="H42" s="2"/>
      <c r="I42" s="2"/>
      <c r="J42" s="22"/>
      <c r="K42" s="2"/>
      <c r="L42" s="2">
        <f t="shared" si="0"/>
        <v>-4857.17</v>
      </c>
      <c r="M42" s="2"/>
      <c r="N42" s="22">
        <f t="shared" si="1"/>
        <v>0</v>
      </c>
      <c r="O42" s="11"/>
      <c r="P42" s="2">
        <f>-21184.54</f>
        <v>-21184.54</v>
      </c>
      <c r="Q42" s="2"/>
      <c r="R42" s="22"/>
      <c r="S42" s="2"/>
      <c r="T42" s="2"/>
      <c r="U42" s="2"/>
      <c r="V42" s="22"/>
      <c r="W42" s="2"/>
      <c r="X42" s="2">
        <f t="shared" si="2"/>
        <v>-21184.54</v>
      </c>
      <c r="Y42" s="2"/>
      <c r="Z42" s="22">
        <f t="shared" si="3"/>
        <v>0</v>
      </c>
    </row>
    <row r="43" spans="1:26" s="24" customFormat="1" hidden="1" outlineLevel="1" x14ac:dyDescent="0.35">
      <c r="A43" s="51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>-976.76</f>
        <v>-976.76</v>
      </c>
      <c r="E43" s="2"/>
      <c r="F43" s="22"/>
      <c r="G43" s="2"/>
      <c r="H43" s="2"/>
      <c r="I43" s="2"/>
      <c r="J43" s="22"/>
      <c r="K43" s="2"/>
      <c r="L43" s="2">
        <f t="shared" si="0"/>
        <v>-976.76</v>
      </c>
      <c r="M43" s="2"/>
      <c r="N43" s="22">
        <f t="shared" si="1"/>
        <v>0</v>
      </c>
      <c r="O43" s="11"/>
      <c r="P43" s="2">
        <f>-3424.01</f>
        <v>-3424.01</v>
      </c>
      <c r="Q43" s="2"/>
      <c r="R43" s="22"/>
      <c r="S43" s="2"/>
      <c r="T43" s="2"/>
      <c r="U43" s="2"/>
      <c r="V43" s="22"/>
      <c r="W43" s="2"/>
      <c r="X43" s="2">
        <f t="shared" si="2"/>
        <v>-3424.01</v>
      </c>
      <c r="Y43" s="2"/>
      <c r="Z43" s="22">
        <f t="shared" si="3"/>
        <v>0</v>
      </c>
    </row>
    <row r="44" spans="1:26" s="24" customFormat="1" hidden="1" outlineLevel="1" x14ac:dyDescent="0.35">
      <c r="A44" s="51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>-76.86</f>
        <v>-76.86</v>
      </c>
      <c r="E44" s="2"/>
      <c r="F44" s="22"/>
      <c r="G44" s="2"/>
      <c r="H44" s="2"/>
      <c r="I44" s="2"/>
      <c r="J44" s="22"/>
      <c r="K44" s="2"/>
      <c r="L44" s="2">
        <f t="shared" si="0"/>
        <v>-76.86</v>
      </c>
      <c r="M44" s="2"/>
      <c r="N44" s="22">
        <f t="shared" si="1"/>
        <v>0</v>
      </c>
      <c r="O44" s="11"/>
      <c r="P44" s="2">
        <f>-1442.63</f>
        <v>-1442.63</v>
      </c>
      <c r="Q44" s="2"/>
      <c r="R44" s="22"/>
      <c r="S44" s="2"/>
      <c r="T44" s="2"/>
      <c r="U44" s="2"/>
      <c r="V44" s="22"/>
      <c r="W44" s="2"/>
      <c r="X44" s="2">
        <f t="shared" si="2"/>
        <v>-1442.63</v>
      </c>
      <c r="Y44" s="2"/>
      <c r="Z44" s="22">
        <f t="shared" si="3"/>
        <v>0</v>
      </c>
    </row>
    <row r="45" spans="1:26" s="24" customFormat="1" hidden="1" outlineLevel="1" x14ac:dyDescent="0.35">
      <c r="A45" s="51"/>
      <c r="B45" s="11" t="str">
        <f>CONCATENATE("          ", "4243", " - ", "SALES RETURN TAXABLE-CARDS")</f>
        <v xml:space="preserve">          4243 - SALES RETURN TAXABLE-CARDS</v>
      </c>
      <c r="C45" s="11"/>
      <c r="D45" s="2">
        <f>-1422.25</f>
        <v>-1422.25</v>
      </c>
      <c r="E45" s="2"/>
      <c r="F45" s="22"/>
      <c r="G45" s="2"/>
      <c r="H45" s="2"/>
      <c r="I45" s="2"/>
      <c r="J45" s="22"/>
      <c r="K45" s="2"/>
      <c r="L45" s="2">
        <f t="shared" si="0"/>
        <v>-1422.25</v>
      </c>
      <c r="M45" s="2"/>
      <c r="N45" s="22">
        <f t="shared" si="1"/>
        <v>0</v>
      </c>
      <c r="O45" s="11"/>
      <c r="P45" s="2">
        <f>-4999.79</f>
        <v>-4999.79</v>
      </c>
      <c r="Q45" s="2"/>
      <c r="R45" s="22"/>
      <c r="S45" s="2"/>
      <c r="T45" s="2"/>
      <c r="U45" s="2"/>
      <c r="V45" s="22"/>
      <c r="W45" s="2"/>
      <c r="X45" s="2">
        <f t="shared" si="2"/>
        <v>-4999.79</v>
      </c>
      <c r="Y45" s="2"/>
      <c r="Z45" s="22">
        <f t="shared" si="3"/>
        <v>0</v>
      </c>
    </row>
    <row r="46" spans="1:26" s="24" customFormat="1" hidden="1" outlineLevel="1" x14ac:dyDescent="0.35">
      <c r="A46" s="51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>-93.98</f>
        <v>-93.98</v>
      </c>
      <c r="E46" s="2"/>
      <c r="F46" s="22"/>
      <c r="G46" s="2"/>
      <c r="H46" s="2"/>
      <c r="I46" s="2"/>
      <c r="J46" s="22"/>
      <c r="K46" s="2"/>
      <c r="L46" s="2">
        <f t="shared" si="0"/>
        <v>-93.98</v>
      </c>
      <c r="M46" s="2"/>
      <c r="N46" s="22">
        <f t="shared" si="1"/>
        <v>0</v>
      </c>
      <c r="O46" s="11"/>
      <c r="P46" s="2">
        <f>-954.92</f>
        <v>-954.92</v>
      </c>
      <c r="Q46" s="2"/>
      <c r="R46" s="22"/>
      <c r="S46" s="2"/>
      <c r="T46" s="2"/>
      <c r="U46" s="2"/>
      <c r="V46" s="22"/>
      <c r="W46" s="2"/>
      <c r="X46" s="2">
        <f t="shared" si="2"/>
        <v>-954.92</v>
      </c>
      <c r="Y46" s="2"/>
      <c r="Z46" s="22">
        <f t="shared" si="3"/>
        <v>0</v>
      </c>
    </row>
    <row r="47" spans="1:26" s="24" customFormat="1" hidden="1" outlineLevel="1" x14ac:dyDescent="0.35">
      <c r="A47" s="51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>0</f>
        <v>0</v>
      </c>
      <c r="E47" s="2"/>
      <c r="F47" s="22"/>
      <c r="G47" s="2"/>
      <c r="H47" s="2"/>
      <c r="I47" s="2"/>
      <c r="J47" s="22"/>
      <c r="K47" s="2"/>
      <c r="L47" s="2">
        <f t="shared" si="0"/>
        <v>0</v>
      </c>
      <c r="M47" s="2"/>
      <c r="N47" s="22">
        <f t="shared" si="1"/>
        <v>0</v>
      </c>
      <c r="O47" s="11"/>
      <c r="P47" s="2">
        <f>-11338.61</f>
        <v>-11338.61</v>
      </c>
      <c r="Q47" s="2"/>
      <c r="R47" s="22"/>
      <c r="S47" s="2"/>
      <c r="T47" s="2"/>
      <c r="U47" s="2"/>
      <c r="V47" s="22"/>
      <c r="W47" s="2"/>
      <c r="X47" s="2">
        <f t="shared" si="2"/>
        <v>-11338.61</v>
      </c>
      <c r="Y47" s="2"/>
      <c r="Z47" s="22">
        <f t="shared" si="3"/>
        <v>0</v>
      </c>
    </row>
    <row r="48" spans="1:26" s="24" customFormat="1" hidden="1" outlineLevel="1" x14ac:dyDescent="0.35">
      <c r="A48" s="51"/>
      <c r="B48" s="11" t="str">
        <f>CONCATENATE("          ", "4340", " - ", "SALES RETURN NON TAXABLE-LOGO")</f>
        <v xml:space="preserve">          4340 - SALES RETURN NON TAXABLE-LOGO</v>
      </c>
      <c r="C48" s="11"/>
      <c r="D48" s="2">
        <f>-732.22</f>
        <v>-732.22</v>
      </c>
      <c r="E48" s="2"/>
      <c r="F48" s="22"/>
      <c r="G48" s="2"/>
      <c r="H48" s="2"/>
      <c r="I48" s="2"/>
      <c r="J48" s="22"/>
      <c r="K48" s="2"/>
      <c r="L48" s="2">
        <f t="shared" si="0"/>
        <v>-732.22</v>
      </c>
      <c r="M48" s="2"/>
      <c r="N48" s="22">
        <f t="shared" si="1"/>
        <v>0</v>
      </c>
      <c r="O48" s="11"/>
      <c r="P48" s="2">
        <f>-2215.94</f>
        <v>-2215.94</v>
      </c>
      <c r="Q48" s="2"/>
      <c r="R48" s="22"/>
      <c r="S48" s="2"/>
      <c r="T48" s="2"/>
      <c r="U48" s="2"/>
      <c r="V48" s="22"/>
      <c r="W48" s="2"/>
      <c r="X48" s="2">
        <f t="shared" si="2"/>
        <v>-2215.94</v>
      </c>
      <c r="Y48" s="2"/>
      <c r="Z48" s="22">
        <f t="shared" si="3"/>
        <v>0</v>
      </c>
    </row>
    <row r="49" spans="1:26" s="24" customFormat="1" hidden="1" outlineLevel="1" x14ac:dyDescent="0.35">
      <c r="A49" s="51"/>
      <c r="B49" s="11" t="str">
        <f>CONCATENATE("          ", "4341", " - ", "SALES RETURN NON TAXABLE-LOGO")</f>
        <v xml:space="preserve">          4341 - SALES RETURN NON TAXABLE-LOGO</v>
      </c>
      <c r="C49" s="11"/>
      <c r="D49" s="2">
        <f>-15.8</f>
        <v>-15.8</v>
      </c>
      <c r="E49" s="2"/>
      <c r="F49" s="22"/>
      <c r="G49" s="2"/>
      <c r="H49" s="2"/>
      <c r="I49" s="2"/>
      <c r="J49" s="22"/>
      <c r="K49" s="2"/>
      <c r="L49" s="2">
        <f t="shared" si="0"/>
        <v>-15.8</v>
      </c>
      <c r="M49" s="2"/>
      <c r="N49" s="22">
        <f t="shared" si="1"/>
        <v>0</v>
      </c>
      <c r="O49" s="11"/>
      <c r="P49" s="2">
        <f>-351.44</f>
        <v>-351.44</v>
      </c>
      <c r="Q49" s="2"/>
      <c r="R49" s="22"/>
      <c r="S49" s="2"/>
      <c r="T49" s="2"/>
      <c r="U49" s="2"/>
      <c r="V49" s="22"/>
      <c r="W49" s="2"/>
      <c r="X49" s="2">
        <f t="shared" si="2"/>
        <v>-351.44</v>
      </c>
      <c r="Y49" s="2"/>
      <c r="Z49" s="22">
        <f t="shared" si="3"/>
        <v>0</v>
      </c>
    </row>
    <row r="50" spans="1:26" s="24" customFormat="1" hidden="1" outlineLevel="1" x14ac:dyDescent="0.35">
      <c r="A50" s="51"/>
      <c r="B50" s="11" t="str">
        <f>CONCATENATE("          ", "4342", " - ", "SALES RETURN NON TAXABLE-EVERY")</f>
        <v xml:space="preserve">          4342 - SALES RETURN NON TAXABLE-EVERY</v>
      </c>
      <c r="C50" s="11"/>
      <c r="D50" s="2">
        <f>0</f>
        <v>0</v>
      </c>
      <c r="E50" s="2"/>
      <c r="F50" s="22"/>
      <c r="G50" s="2"/>
      <c r="H50" s="2"/>
      <c r="I50" s="2"/>
      <c r="J50" s="22"/>
      <c r="K50" s="2"/>
      <c r="L50" s="2">
        <f t="shared" si="0"/>
        <v>0</v>
      </c>
      <c r="M50" s="2"/>
      <c r="N50" s="22">
        <f t="shared" si="1"/>
        <v>0</v>
      </c>
      <c r="O50" s="11"/>
      <c r="P50" s="2">
        <f>-118.7</f>
        <v>-118.7</v>
      </c>
      <c r="Q50" s="2"/>
      <c r="R50" s="22"/>
      <c r="S50" s="2"/>
      <c r="T50" s="2"/>
      <c r="U50" s="2"/>
      <c r="V50" s="22"/>
      <c r="W50" s="2"/>
      <c r="X50" s="2">
        <f t="shared" si="2"/>
        <v>-118.7</v>
      </c>
      <c r="Y50" s="2"/>
      <c r="Z50" s="22">
        <f t="shared" si="3"/>
        <v>0</v>
      </c>
    </row>
    <row r="51" spans="1:26" x14ac:dyDescent="0.3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35">
      <c r="A52" s="10"/>
      <c r="B52" s="25" t="s">
        <v>8</v>
      </c>
      <c r="C52" s="10"/>
      <c r="D52" s="4">
        <f>SUM(OSRRefD16x_0)</f>
        <v>75363.999999999985</v>
      </c>
      <c r="E52" s="4"/>
      <c r="F52" s="12">
        <f t="shared" ref="F52:F74" si="5">IF(D$12=0,0,D52/D$12)</f>
        <v>0.5324600020898792</v>
      </c>
      <c r="G52" s="4"/>
      <c r="H52" s="4">
        <f>SUM(OSRRefH16x_0)</f>
        <v>97166</v>
      </c>
      <c r="I52" s="4"/>
      <c r="J52" s="12">
        <f t="shared" ref="J52:J74" si="6">IF(H$12=0,0,H52/H$12)</f>
        <v>0.46250142797303989</v>
      </c>
      <c r="K52" s="4"/>
      <c r="L52" s="4">
        <f t="shared" ref="L52:L74" si="7">+D52-H52</f>
        <v>-21802.000000000015</v>
      </c>
      <c r="M52" s="4"/>
      <c r="N52" s="12">
        <f t="shared" ref="N52:N74" si="8">IF(H52=0,0,L52/H52)</f>
        <v>-0.22437889796842531</v>
      </c>
      <c r="O52" s="10"/>
      <c r="P52" s="4">
        <f>SUM(OSRRefP16x_0)</f>
        <v>610031.54</v>
      </c>
      <c r="Q52" s="4"/>
      <c r="R52" s="12">
        <f t="shared" ref="R52:R74" si="9">IF(P$12=0,0,P52/P$12)</f>
        <v>0.59391116948274558</v>
      </c>
      <c r="S52" s="4"/>
      <c r="T52" s="4">
        <f>SUM(OSRRefT16x_0)</f>
        <v>846234</v>
      </c>
      <c r="U52" s="4"/>
      <c r="V52" s="12">
        <f t="shared" ref="V52:V74" si="10">IF(T$12=0,0,T52/T$12)</f>
        <v>0.46250028693322492</v>
      </c>
      <c r="W52" s="4"/>
      <c r="X52" s="4">
        <f t="shared" ref="X52:X74" si="11">+P52-T52</f>
        <v>-236202.45999999996</v>
      </c>
      <c r="Y52" s="4"/>
      <c r="Z52" s="12">
        <f t="shared" ref="Z52:Z74" si="12">IF(T52=0,0,X52/T52)</f>
        <v>-0.27912192135981295</v>
      </c>
    </row>
    <row r="53" spans="1:26" s="24" customFormat="1" hidden="1" outlineLevel="1" x14ac:dyDescent="0.35">
      <c r="A53" s="51"/>
      <c r="B53" s="11" t="str">
        <f>CONCATENATE("          ", "5000", " - ", "PURCHASES @ COST")</f>
        <v xml:space="preserve">          5000 - PURCHASES @ COST</v>
      </c>
      <c r="C53" s="11"/>
      <c r="D53" s="2"/>
      <c r="E53" s="2"/>
      <c r="F53" s="22">
        <f t="shared" si="5"/>
        <v>0</v>
      </c>
      <c r="G53" s="2"/>
      <c r="H53" s="2">
        <v>97166</v>
      </c>
      <c r="I53" s="2"/>
      <c r="J53" s="22">
        <f t="shared" si="6"/>
        <v>0.46250142797303989</v>
      </c>
      <c r="K53" s="2"/>
      <c r="L53" s="2">
        <f t="shared" si="7"/>
        <v>-97166</v>
      </c>
      <c r="M53" s="2"/>
      <c r="N53" s="22">
        <f t="shared" si="8"/>
        <v>-1</v>
      </c>
      <c r="O53" s="11"/>
      <c r="P53" s="2"/>
      <c r="Q53" s="2"/>
      <c r="R53" s="22">
        <f t="shared" si="9"/>
        <v>0</v>
      </c>
      <c r="S53" s="2"/>
      <c r="T53" s="2">
        <v>846234</v>
      </c>
      <c r="U53" s="2"/>
      <c r="V53" s="22">
        <f t="shared" si="10"/>
        <v>0.46250028693322492</v>
      </c>
      <c r="W53" s="2"/>
      <c r="X53" s="2">
        <f t="shared" si="11"/>
        <v>-846234</v>
      </c>
      <c r="Y53" s="2"/>
      <c r="Z53" s="22">
        <f t="shared" si="12"/>
        <v>-1</v>
      </c>
    </row>
    <row r="54" spans="1:26" s="24" customFormat="1" hidden="1" outlineLevel="1" x14ac:dyDescent="0.35">
      <c r="A54" s="51"/>
      <c r="B54" s="11" t="str">
        <f>CONCATENATE("          ", "5025", " - ", "PURCHASES @ COST-TEST FORMS")</f>
        <v xml:space="preserve">          5025 - PURCHASES @ COST-TEST FORMS</v>
      </c>
      <c r="C54" s="11"/>
      <c r="D54" s="2"/>
      <c r="E54" s="2"/>
      <c r="F54" s="22">
        <f t="shared" si="5"/>
        <v>0</v>
      </c>
      <c r="G54" s="2"/>
      <c r="H54" s="2"/>
      <c r="I54" s="2"/>
      <c r="J54" s="22">
        <f t="shared" si="6"/>
        <v>0</v>
      </c>
      <c r="K54" s="2"/>
      <c r="L54" s="2">
        <f t="shared" si="7"/>
        <v>0</v>
      </c>
      <c r="M54" s="2"/>
      <c r="N54" s="22">
        <f t="shared" si="8"/>
        <v>0</v>
      </c>
      <c r="O54" s="11"/>
      <c r="P54" s="2">
        <v>599.29</v>
      </c>
      <c r="Q54" s="2"/>
      <c r="R54" s="22">
        <f t="shared" si="9"/>
        <v>5.8345347973207183E-4</v>
      </c>
      <c r="S54" s="2"/>
      <c r="T54" s="2"/>
      <c r="U54" s="2"/>
      <c r="V54" s="22">
        <f t="shared" si="10"/>
        <v>0</v>
      </c>
      <c r="W54" s="2"/>
      <c r="X54" s="2">
        <f t="shared" si="11"/>
        <v>599.29</v>
      </c>
      <c r="Y54" s="2"/>
      <c r="Z54" s="22">
        <f t="shared" si="12"/>
        <v>0</v>
      </c>
    </row>
    <row r="55" spans="1:26" s="24" customFormat="1" hidden="1" outlineLevel="1" x14ac:dyDescent="0.35">
      <c r="A55" s="51"/>
      <c r="B55" s="11" t="str">
        <f>CONCATENATE("          ", "5026", " - ", "PURCHASES @ COST-WRITING INSTR")</f>
        <v xml:space="preserve">          5026 - PURCHASES @ COST-WRITING INSTR</v>
      </c>
      <c r="C55" s="11"/>
      <c r="D55" s="2"/>
      <c r="E55" s="2"/>
      <c r="F55" s="22">
        <f t="shared" si="5"/>
        <v>0</v>
      </c>
      <c r="G55" s="2"/>
      <c r="H55" s="2"/>
      <c r="I55" s="2"/>
      <c r="J55" s="22">
        <f t="shared" si="6"/>
        <v>0</v>
      </c>
      <c r="K55" s="2"/>
      <c r="L55" s="2">
        <f t="shared" si="7"/>
        <v>0</v>
      </c>
      <c r="M55" s="2"/>
      <c r="N55" s="22">
        <f t="shared" si="8"/>
        <v>0</v>
      </c>
      <c r="O55" s="11"/>
      <c r="P55" s="2">
        <v>10</v>
      </c>
      <c r="Q55" s="2"/>
      <c r="R55" s="22">
        <f t="shared" si="9"/>
        <v>9.7357452941325878E-6</v>
      </c>
      <c r="S55" s="2"/>
      <c r="T55" s="2"/>
      <c r="U55" s="2"/>
      <c r="V55" s="22">
        <f t="shared" si="10"/>
        <v>0</v>
      </c>
      <c r="W55" s="2"/>
      <c r="X55" s="2">
        <f t="shared" si="11"/>
        <v>10</v>
      </c>
      <c r="Y55" s="2"/>
      <c r="Z55" s="22">
        <f t="shared" si="12"/>
        <v>0</v>
      </c>
    </row>
    <row r="56" spans="1:26" s="24" customFormat="1" hidden="1" outlineLevel="1" x14ac:dyDescent="0.35">
      <c r="A56" s="51"/>
      <c r="B56" s="11" t="str">
        <f>CONCATENATE("          ", "5027", " - ", "PURCHASES @ COST-SCHOOL SUPPLI")</f>
        <v xml:space="preserve">          5027 - PURCHASES @ COST-SCHOOL SUPPLI</v>
      </c>
      <c r="C56" s="11"/>
      <c r="D56" s="2"/>
      <c r="E56" s="2"/>
      <c r="F56" s="22">
        <f t="shared" si="5"/>
        <v>0</v>
      </c>
      <c r="G56" s="2"/>
      <c r="H56" s="2"/>
      <c r="I56" s="2"/>
      <c r="J56" s="22">
        <f t="shared" si="6"/>
        <v>0</v>
      </c>
      <c r="K56" s="2"/>
      <c r="L56" s="2">
        <f t="shared" si="7"/>
        <v>0</v>
      </c>
      <c r="M56" s="2"/>
      <c r="N56" s="22">
        <f t="shared" si="8"/>
        <v>0</v>
      </c>
      <c r="O56" s="11"/>
      <c r="P56" s="2">
        <v>18175.88</v>
      </c>
      <c r="Q56" s="2"/>
      <c r="R56" s="22">
        <f t="shared" si="9"/>
        <v>1.7695573817671863E-2</v>
      </c>
      <c r="S56" s="2"/>
      <c r="T56" s="2"/>
      <c r="U56" s="2"/>
      <c r="V56" s="22">
        <f t="shared" si="10"/>
        <v>0</v>
      </c>
      <c r="W56" s="2"/>
      <c r="X56" s="2">
        <f t="shared" si="11"/>
        <v>18175.88</v>
      </c>
      <c r="Y56" s="2"/>
      <c r="Z56" s="22">
        <f t="shared" si="12"/>
        <v>0</v>
      </c>
    </row>
    <row r="57" spans="1:26" s="24" customFormat="1" hidden="1" outlineLevel="1" x14ac:dyDescent="0.35">
      <c r="A57" s="51"/>
      <c r="B57" s="11" t="str">
        <f>CONCATENATE("          ", "5028", " - ", "PURCHASES @ COST-ART/TECH")</f>
        <v xml:space="preserve">          5028 - PURCHASES @ COST-ART/TECH</v>
      </c>
      <c r="C57" s="11"/>
      <c r="D57" s="2"/>
      <c r="E57" s="2"/>
      <c r="F57" s="22">
        <f t="shared" si="5"/>
        <v>0</v>
      </c>
      <c r="G57" s="2"/>
      <c r="H57" s="2"/>
      <c r="I57" s="2"/>
      <c r="J57" s="22">
        <f t="shared" si="6"/>
        <v>0</v>
      </c>
      <c r="K57" s="2"/>
      <c r="L57" s="2">
        <f t="shared" si="7"/>
        <v>0</v>
      </c>
      <c r="M57" s="2"/>
      <c r="N57" s="22">
        <f t="shared" si="8"/>
        <v>0</v>
      </c>
      <c r="O57" s="11"/>
      <c r="P57" s="2">
        <v>-83.4</v>
      </c>
      <c r="Q57" s="2"/>
      <c r="R57" s="22">
        <f t="shared" si="9"/>
        <v>-8.1196115753065783E-5</v>
      </c>
      <c r="S57" s="2"/>
      <c r="T57" s="2"/>
      <c r="U57" s="2"/>
      <c r="V57" s="22">
        <f t="shared" si="10"/>
        <v>0</v>
      </c>
      <c r="W57" s="2"/>
      <c r="X57" s="2">
        <f t="shared" si="11"/>
        <v>-83.4</v>
      </c>
      <c r="Y57" s="2"/>
      <c r="Z57" s="22">
        <f t="shared" si="12"/>
        <v>0</v>
      </c>
    </row>
    <row r="58" spans="1:26" s="24" customFormat="1" hidden="1" outlineLevel="1" x14ac:dyDescent="0.35">
      <c r="A58" s="51"/>
      <c r="B58" s="11" t="str">
        <f>CONCATENATE("          ", "5031", " - ", "PURCHASES @ COST-FOOD")</f>
        <v xml:space="preserve">          5031 - PURCHASES @ COST-FOOD</v>
      </c>
      <c r="C58" s="11"/>
      <c r="D58" s="2">
        <v>239.16</v>
      </c>
      <c r="E58" s="2"/>
      <c r="F58" s="22">
        <f t="shared" si="5"/>
        <v>1.6897077397672036E-3</v>
      </c>
      <c r="G58" s="2"/>
      <c r="H58" s="2"/>
      <c r="I58" s="2"/>
      <c r="J58" s="22">
        <f t="shared" si="6"/>
        <v>0</v>
      </c>
      <c r="K58" s="2"/>
      <c r="L58" s="2">
        <f t="shared" si="7"/>
        <v>239.16</v>
      </c>
      <c r="M58" s="2"/>
      <c r="N58" s="22">
        <f t="shared" si="8"/>
        <v>0</v>
      </c>
      <c r="O58" s="11"/>
      <c r="P58" s="2">
        <v>5072.6899999999996</v>
      </c>
      <c r="Q58" s="2"/>
      <c r="R58" s="22">
        <f t="shared" si="9"/>
        <v>4.9386417796093429E-3</v>
      </c>
      <c r="S58" s="2"/>
      <c r="T58" s="2"/>
      <c r="U58" s="2"/>
      <c r="V58" s="22">
        <f t="shared" si="10"/>
        <v>0</v>
      </c>
      <c r="W58" s="2"/>
      <c r="X58" s="2">
        <f t="shared" si="11"/>
        <v>5072.6899999999996</v>
      </c>
      <c r="Y58" s="2"/>
      <c r="Z58" s="22">
        <f t="shared" si="12"/>
        <v>0</v>
      </c>
    </row>
    <row r="59" spans="1:26" s="24" customFormat="1" hidden="1" outlineLevel="1" x14ac:dyDescent="0.35">
      <c r="A59" s="51"/>
      <c r="B59" s="11" t="str">
        <f>CONCATENATE("          ", "5040", " - ", "PURCHASES @ COST-LOGO CLOTHING")</f>
        <v xml:space="preserve">          5040 - PURCHASES @ COST-LOGO CLOTHING</v>
      </c>
      <c r="C59" s="11"/>
      <c r="D59" s="2">
        <v>34900.79</v>
      </c>
      <c r="E59" s="2"/>
      <c r="F59" s="22">
        <f t="shared" si="5"/>
        <v>0.24658026002253647</v>
      </c>
      <c r="G59" s="2"/>
      <c r="H59" s="2"/>
      <c r="I59" s="2"/>
      <c r="J59" s="22">
        <f t="shared" si="6"/>
        <v>0</v>
      </c>
      <c r="K59" s="2"/>
      <c r="L59" s="2">
        <f t="shared" si="7"/>
        <v>34900.79</v>
      </c>
      <c r="M59" s="2"/>
      <c r="N59" s="22">
        <f t="shared" si="8"/>
        <v>0</v>
      </c>
      <c r="O59" s="11"/>
      <c r="P59" s="2">
        <v>167371.19</v>
      </c>
      <c r="Q59" s="2"/>
      <c r="R59" s="22">
        <f t="shared" si="9"/>
        <v>0.16294832754158711</v>
      </c>
      <c r="S59" s="2"/>
      <c r="T59" s="2"/>
      <c r="U59" s="2"/>
      <c r="V59" s="22">
        <f t="shared" si="10"/>
        <v>0</v>
      </c>
      <c r="W59" s="2"/>
      <c r="X59" s="2">
        <f t="shared" si="11"/>
        <v>167371.19</v>
      </c>
      <c r="Y59" s="2"/>
      <c r="Z59" s="22">
        <f t="shared" si="12"/>
        <v>0</v>
      </c>
    </row>
    <row r="60" spans="1:26" s="24" customFormat="1" hidden="1" outlineLevel="1" x14ac:dyDescent="0.35">
      <c r="A60" s="51"/>
      <c r="B60" s="11" t="str">
        <f>CONCATENATE("          ", "5041", " - ", "PURCHASES @ COST-LOGO GIFTS")</f>
        <v xml:space="preserve">          5041 - PURCHASES @ COST-LOGO GIFTS</v>
      </c>
      <c r="C60" s="11"/>
      <c r="D60" s="2">
        <v>8769.24</v>
      </c>
      <c r="E60" s="2"/>
      <c r="F60" s="22">
        <f t="shared" si="5"/>
        <v>6.195623306521221E-2</v>
      </c>
      <c r="G60" s="2"/>
      <c r="H60" s="2"/>
      <c r="I60" s="2"/>
      <c r="J60" s="22">
        <f t="shared" si="6"/>
        <v>0</v>
      </c>
      <c r="K60" s="2"/>
      <c r="L60" s="2">
        <f t="shared" si="7"/>
        <v>8769.24</v>
      </c>
      <c r="M60" s="2"/>
      <c r="N60" s="22">
        <f t="shared" si="8"/>
        <v>0</v>
      </c>
      <c r="O60" s="11"/>
      <c r="P60" s="2">
        <v>40763.4</v>
      </c>
      <c r="Q60" s="2"/>
      <c r="R60" s="22">
        <f t="shared" si="9"/>
        <v>3.9686207972284435E-2</v>
      </c>
      <c r="S60" s="2"/>
      <c r="T60" s="2"/>
      <c r="U60" s="2"/>
      <c r="V60" s="22">
        <f t="shared" si="10"/>
        <v>0</v>
      </c>
      <c r="W60" s="2"/>
      <c r="X60" s="2">
        <f t="shared" si="11"/>
        <v>40763.4</v>
      </c>
      <c r="Y60" s="2"/>
      <c r="Z60" s="22">
        <f t="shared" si="12"/>
        <v>0</v>
      </c>
    </row>
    <row r="61" spans="1:26" s="24" customFormat="1" hidden="1" outlineLevel="1" x14ac:dyDescent="0.35">
      <c r="A61" s="51"/>
      <c r="B61" s="11" t="str">
        <f>CONCATENATE("          ", "5042", " - ", "PURCHASES @ COST-EVERYDAY GIFT")</f>
        <v xml:space="preserve">          5042 - PURCHASES @ COST-EVERYDAY GIFT</v>
      </c>
      <c r="C61" s="11"/>
      <c r="D61" s="2">
        <v>6760.7</v>
      </c>
      <c r="E61" s="2"/>
      <c r="F61" s="22">
        <f t="shared" si="5"/>
        <v>4.7765542382689971E-2</v>
      </c>
      <c r="G61" s="2"/>
      <c r="H61" s="2"/>
      <c r="I61" s="2"/>
      <c r="J61" s="22">
        <f t="shared" si="6"/>
        <v>0</v>
      </c>
      <c r="K61" s="2"/>
      <c r="L61" s="2">
        <f t="shared" si="7"/>
        <v>6760.7</v>
      </c>
      <c r="M61" s="2"/>
      <c r="N61" s="22">
        <f t="shared" si="8"/>
        <v>0</v>
      </c>
      <c r="O61" s="11"/>
      <c r="P61" s="2">
        <v>9875.94</v>
      </c>
      <c r="Q61" s="2"/>
      <c r="R61" s="22">
        <f t="shared" si="9"/>
        <v>9.6149636380135784E-3</v>
      </c>
      <c r="S61" s="2"/>
      <c r="T61" s="2"/>
      <c r="U61" s="2"/>
      <c r="V61" s="22">
        <f t="shared" si="10"/>
        <v>0</v>
      </c>
      <c r="W61" s="2"/>
      <c r="X61" s="2">
        <f t="shared" si="11"/>
        <v>9875.94</v>
      </c>
      <c r="Y61" s="2"/>
      <c r="Z61" s="22">
        <f t="shared" si="12"/>
        <v>0</v>
      </c>
    </row>
    <row r="62" spans="1:26" s="24" customFormat="1" hidden="1" outlineLevel="1" x14ac:dyDescent="0.35">
      <c r="A62" s="51"/>
      <c r="B62" s="11" t="str">
        <f>CONCATENATE("          ", "5043", " - ", "PURCHASES @ COST-CARDS")</f>
        <v xml:space="preserve">          5043 - PURCHASES @ COST-CARDS</v>
      </c>
      <c r="C62" s="11"/>
      <c r="D62" s="2">
        <v>8743.1</v>
      </c>
      <c r="E62" s="2"/>
      <c r="F62" s="22">
        <f t="shared" si="5"/>
        <v>6.1771549337508939E-2</v>
      </c>
      <c r="G62" s="2"/>
      <c r="H62" s="2"/>
      <c r="I62" s="2"/>
      <c r="J62" s="22">
        <f t="shared" si="6"/>
        <v>0</v>
      </c>
      <c r="K62" s="2"/>
      <c r="L62" s="2">
        <f t="shared" si="7"/>
        <v>8743.1</v>
      </c>
      <c r="M62" s="2"/>
      <c r="N62" s="22">
        <f t="shared" si="8"/>
        <v>0</v>
      </c>
      <c r="O62" s="11"/>
      <c r="P62" s="2">
        <v>55364.33</v>
      </c>
      <c r="Q62" s="2"/>
      <c r="R62" s="22">
        <f t="shared" si="9"/>
        <v>5.3901301526030364E-2</v>
      </c>
      <c r="S62" s="2"/>
      <c r="T62" s="2"/>
      <c r="U62" s="2"/>
      <c r="V62" s="22">
        <f t="shared" si="10"/>
        <v>0</v>
      </c>
      <c r="W62" s="2"/>
      <c r="X62" s="2">
        <f t="shared" si="11"/>
        <v>55364.33</v>
      </c>
      <c r="Y62" s="2"/>
      <c r="Z62" s="22">
        <f t="shared" si="12"/>
        <v>0</v>
      </c>
    </row>
    <row r="63" spans="1:26" s="24" customFormat="1" hidden="1" outlineLevel="1" x14ac:dyDescent="0.35">
      <c r="A63" s="51"/>
      <c r="B63" s="11" t="str">
        <f>CONCATENATE("          ", "5044", " - ", "PURCHASES @ COST-ACCESSORIES")</f>
        <v xml:space="preserve">          5044 - PURCHASES @ COST-ACCESSORIES</v>
      </c>
      <c r="C63" s="11"/>
      <c r="D63" s="2">
        <v>782.5</v>
      </c>
      <c r="E63" s="2"/>
      <c r="F63" s="22">
        <f t="shared" si="5"/>
        <v>5.5285010301381367E-3</v>
      </c>
      <c r="G63" s="2"/>
      <c r="H63" s="2"/>
      <c r="I63" s="2"/>
      <c r="J63" s="22">
        <f t="shared" si="6"/>
        <v>0</v>
      </c>
      <c r="K63" s="2"/>
      <c r="L63" s="2">
        <f t="shared" si="7"/>
        <v>782.5</v>
      </c>
      <c r="M63" s="2"/>
      <c r="N63" s="22">
        <f t="shared" si="8"/>
        <v>0</v>
      </c>
      <c r="O63" s="11"/>
      <c r="P63" s="2">
        <v>1064.83</v>
      </c>
      <c r="Q63" s="2"/>
      <c r="R63" s="22">
        <f t="shared" si="9"/>
        <v>1.0366913661551203E-3</v>
      </c>
      <c r="S63" s="2"/>
      <c r="T63" s="2"/>
      <c r="U63" s="2"/>
      <c r="V63" s="22">
        <f t="shared" si="10"/>
        <v>0</v>
      </c>
      <c r="W63" s="2"/>
      <c r="X63" s="2">
        <f t="shared" si="11"/>
        <v>1064.83</v>
      </c>
      <c r="Y63" s="2"/>
      <c r="Z63" s="22">
        <f t="shared" si="12"/>
        <v>0</v>
      </c>
    </row>
    <row r="64" spans="1:26" s="24" customFormat="1" hidden="1" outlineLevel="1" x14ac:dyDescent="0.35">
      <c r="A64" s="51"/>
      <c r="B64" s="11" t="str">
        <f>CONCATENATE("          ", "5045", " - ", "PURCHASES @ COST-SPECIAL ORDER")</f>
        <v xml:space="preserve">          5045 - PURCHASES @ COST-SPECIAL ORDER</v>
      </c>
      <c r="C64" s="11"/>
      <c r="D64" s="2">
        <v>5855.38</v>
      </c>
      <c r="E64" s="2"/>
      <c r="F64" s="22">
        <f t="shared" si="5"/>
        <v>4.1369296309073794E-2</v>
      </c>
      <c r="G64" s="2"/>
      <c r="H64" s="2"/>
      <c r="I64" s="2"/>
      <c r="J64" s="22">
        <f t="shared" si="6"/>
        <v>0</v>
      </c>
      <c r="K64" s="2"/>
      <c r="L64" s="2">
        <f t="shared" si="7"/>
        <v>5855.38</v>
      </c>
      <c r="M64" s="2"/>
      <c r="N64" s="22">
        <f t="shared" si="8"/>
        <v>0</v>
      </c>
      <c r="O64" s="11"/>
      <c r="P64" s="2">
        <v>93464.38</v>
      </c>
      <c r="Q64" s="2"/>
      <c r="R64" s="22">
        <f t="shared" si="9"/>
        <v>9.0994539775401992E-2</v>
      </c>
      <c r="S64" s="2"/>
      <c r="T64" s="2"/>
      <c r="U64" s="2"/>
      <c r="V64" s="22">
        <f t="shared" si="10"/>
        <v>0</v>
      </c>
      <c r="W64" s="2"/>
      <c r="X64" s="2">
        <f t="shared" si="11"/>
        <v>93464.38</v>
      </c>
      <c r="Y64" s="2"/>
      <c r="Z64" s="22">
        <f t="shared" si="12"/>
        <v>0</v>
      </c>
    </row>
    <row r="65" spans="1:26" s="24" customFormat="1" hidden="1" outlineLevel="1" x14ac:dyDescent="0.35">
      <c r="A65" s="51"/>
      <c r="B65" s="11" t="str">
        <f>CONCATENATE("          ", "5200", " - ", "PURCHASES OFFSET")</f>
        <v xml:space="preserve">          5200 - PURCHASES OFFSET</v>
      </c>
      <c r="C65" s="11"/>
      <c r="D65" s="2">
        <v>-68791.67</v>
      </c>
      <c r="E65" s="2"/>
      <c r="F65" s="22">
        <f t="shared" si="5"/>
        <v>-0.48602532710533258</v>
      </c>
      <c r="G65" s="2"/>
      <c r="H65" s="2"/>
      <c r="I65" s="2"/>
      <c r="J65" s="22">
        <f t="shared" si="6"/>
        <v>0</v>
      </c>
      <c r="K65" s="2"/>
      <c r="L65" s="2">
        <f t="shared" si="7"/>
        <v>-68791.67</v>
      </c>
      <c r="M65" s="2"/>
      <c r="N65" s="22">
        <f t="shared" si="8"/>
        <v>0</v>
      </c>
      <c r="O65" s="11"/>
      <c r="P65" s="2">
        <v>-409123.33</v>
      </c>
      <c r="Q65" s="2"/>
      <c r="R65" s="22">
        <f t="shared" si="9"/>
        <v>-0.39831205347673537</v>
      </c>
      <c r="S65" s="2"/>
      <c r="T65" s="2"/>
      <c r="U65" s="2"/>
      <c r="V65" s="22">
        <f t="shared" si="10"/>
        <v>0</v>
      </c>
      <c r="W65" s="2"/>
      <c r="X65" s="2">
        <f t="shared" si="11"/>
        <v>-409123.33</v>
      </c>
      <c r="Y65" s="2"/>
      <c r="Z65" s="22">
        <f t="shared" si="12"/>
        <v>0</v>
      </c>
    </row>
    <row r="66" spans="1:26" s="24" customFormat="1" hidden="1" outlineLevel="1" x14ac:dyDescent="0.35">
      <c r="A66" s="51"/>
      <c r="B66" s="11" t="str">
        <f>CONCATENATE("          ", "5300", " - ", "COG$ OFFSET")</f>
        <v xml:space="preserve">          5300 - COG$ OFFSET</v>
      </c>
      <c r="C66" s="11"/>
      <c r="D66" s="2">
        <v>75364</v>
      </c>
      <c r="E66" s="2"/>
      <c r="F66" s="22">
        <f t="shared" si="5"/>
        <v>0.53246000208987931</v>
      </c>
      <c r="G66" s="2"/>
      <c r="H66" s="2"/>
      <c r="I66" s="2"/>
      <c r="J66" s="22">
        <f t="shared" si="6"/>
        <v>0</v>
      </c>
      <c r="K66" s="2"/>
      <c r="L66" s="2">
        <f t="shared" si="7"/>
        <v>75364</v>
      </c>
      <c r="M66" s="2"/>
      <c r="N66" s="22">
        <f t="shared" si="8"/>
        <v>0</v>
      </c>
      <c r="O66" s="11"/>
      <c r="P66" s="2">
        <v>609115</v>
      </c>
      <c r="Q66" s="2"/>
      <c r="R66" s="22">
        <f t="shared" si="9"/>
        <v>0.5930188494835571</v>
      </c>
      <c r="S66" s="2"/>
      <c r="T66" s="2"/>
      <c r="U66" s="2"/>
      <c r="V66" s="22">
        <f t="shared" si="10"/>
        <v>0</v>
      </c>
      <c r="W66" s="2"/>
      <c r="X66" s="2">
        <f t="shared" si="11"/>
        <v>609115</v>
      </c>
      <c r="Y66" s="2"/>
      <c r="Z66" s="22">
        <f t="shared" si="12"/>
        <v>0</v>
      </c>
    </row>
    <row r="67" spans="1:26" s="24" customFormat="1" hidden="1" outlineLevel="1" x14ac:dyDescent="0.35">
      <c r="A67" s="51"/>
      <c r="B67" s="11" t="str">
        <f>CONCATENATE("          ", "5525", " - ", "FREIGHT-IN-TEST FORMS")</f>
        <v xml:space="preserve">          5525 - FREIGHT-IN-TEST FORMS</v>
      </c>
      <c r="C67" s="11"/>
      <c r="D67" s="2"/>
      <c r="E67" s="2"/>
      <c r="F67" s="22">
        <f t="shared" si="5"/>
        <v>0</v>
      </c>
      <c r="G67" s="2"/>
      <c r="H67" s="2"/>
      <c r="I67" s="2"/>
      <c r="J67" s="22">
        <f t="shared" si="6"/>
        <v>0</v>
      </c>
      <c r="K67" s="2"/>
      <c r="L67" s="2">
        <f t="shared" si="7"/>
        <v>0</v>
      </c>
      <c r="M67" s="2"/>
      <c r="N67" s="22">
        <f t="shared" si="8"/>
        <v>0</v>
      </c>
      <c r="O67" s="11"/>
      <c r="P67" s="2">
        <v>48.14</v>
      </c>
      <c r="Q67" s="2"/>
      <c r="R67" s="22">
        <f t="shared" si="9"/>
        <v>4.6867877845954277E-5</v>
      </c>
      <c r="S67" s="2"/>
      <c r="T67" s="2"/>
      <c r="U67" s="2"/>
      <c r="V67" s="22">
        <f t="shared" si="10"/>
        <v>0</v>
      </c>
      <c r="W67" s="2"/>
      <c r="X67" s="2">
        <f t="shared" si="11"/>
        <v>48.14</v>
      </c>
      <c r="Y67" s="2"/>
      <c r="Z67" s="22">
        <f t="shared" si="12"/>
        <v>0</v>
      </c>
    </row>
    <row r="68" spans="1:26" s="24" customFormat="1" hidden="1" outlineLevel="1" x14ac:dyDescent="0.35">
      <c r="A68" s="51"/>
      <c r="B68" s="11" t="str">
        <f>CONCATENATE("          ", "5527", " - ", "FREIGHT-IN-SCHOOL SUPPLIES")</f>
        <v xml:space="preserve">          5527 - FREIGHT-IN-SCHOOL SUPPLIES</v>
      </c>
      <c r="C68" s="11"/>
      <c r="D68" s="2"/>
      <c r="E68" s="2"/>
      <c r="F68" s="22">
        <f t="shared" si="5"/>
        <v>0</v>
      </c>
      <c r="G68" s="2"/>
      <c r="H68" s="2"/>
      <c r="I68" s="2"/>
      <c r="J68" s="22">
        <f t="shared" si="6"/>
        <v>0</v>
      </c>
      <c r="K68" s="2"/>
      <c r="L68" s="2">
        <f t="shared" si="7"/>
        <v>0</v>
      </c>
      <c r="M68" s="2"/>
      <c r="N68" s="22">
        <f t="shared" si="8"/>
        <v>0</v>
      </c>
      <c r="O68" s="11"/>
      <c r="P68" s="2">
        <v>177.5</v>
      </c>
      <c r="Q68" s="2"/>
      <c r="R68" s="22">
        <f t="shared" si="9"/>
        <v>1.7280947897085344E-4</v>
      </c>
      <c r="S68" s="2"/>
      <c r="T68" s="2"/>
      <c r="U68" s="2"/>
      <c r="V68" s="22">
        <f t="shared" si="10"/>
        <v>0</v>
      </c>
      <c r="W68" s="2"/>
      <c r="X68" s="2">
        <f t="shared" si="11"/>
        <v>177.5</v>
      </c>
      <c r="Y68" s="2"/>
      <c r="Z68" s="22">
        <f t="shared" si="12"/>
        <v>0</v>
      </c>
    </row>
    <row r="69" spans="1:26" s="24" customFormat="1" hidden="1" outlineLevel="1" x14ac:dyDescent="0.35">
      <c r="A69" s="51"/>
      <c r="B69" s="11" t="str">
        <f>CONCATENATE("          ", "5528", " - ", "FREIGHT-IN-ART/TECH")</f>
        <v xml:space="preserve">          5528 - FREIGHT-IN-ART/TECH</v>
      </c>
      <c r="C69" s="11"/>
      <c r="D69" s="2">
        <v>30.01</v>
      </c>
      <c r="E69" s="2"/>
      <c r="F69" s="22">
        <f t="shared" si="5"/>
        <v>2.1202596282996229E-4</v>
      </c>
      <c r="G69" s="2"/>
      <c r="H69" s="2"/>
      <c r="I69" s="2"/>
      <c r="J69" s="22">
        <f t="shared" si="6"/>
        <v>0</v>
      </c>
      <c r="K69" s="2"/>
      <c r="L69" s="2">
        <f t="shared" si="7"/>
        <v>30.01</v>
      </c>
      <c r="M69" s="2"/>
      <c r="N69" s="22">
        <f t="shared" si="8"/>
        <v>0</v>
      </c>
      <c r="O69" s="11"/>
      <c r="P69" s="2">
        <v>33.950000000000003</v>
      </c>
      <c r="Q69" s="2"/>
      <c r="R69" s="22">
        <f t="shared" si="9"/>
        <v>3.3052855273580136E-5</v>
      </c>
      <c r="S69" s="2"/>
      <c r="T69" s="2"/>
      <c r="U69" s="2"/>
      <c r="V69" s="22">
        <f t="shared" si="10"/>
        <v>0</v>
      </c>
      <c r="W69" s="2"/>
      <c r="X69" s="2">
        <f t="shared" si="11"/>
        <v>33.950000000000003</v>
      </c>
      <c r="Y69" s="2"/>
      <c r="Z69" s="22">
        <f t="shared" si="12"/>
        <v>0</v>
      </c>
    </row>
    <row r="70" spans="1:26" s="24" customFormat="1" hidden="1" outlineLevel="1" x14ac:dyDescent="0.35">
      <c r="A70" s="51"/>
      <c r="B70" s="11" t="str">
        <f>CONCATENATE("          ", "5540", " - ", "FREIGHT-IN-LOGO CLOTHING")</f>
        <v xml:space="preserve">          5540 - FREIGHT-IN-LOGO CLOTHING</v>
      </c>
      <c r="C70" s="11"/>
      <c r="D70" s="2">
        <v>347.67</v>
      </c>
      <c r="E70" s="2"/>
      <c r="F70" s="22">
        <f t="shared" si="5"/>
        <v>2.4563500998698098E-3</v>
      </c>
      <c r="G70" s="2"/>
      <c r="H70" s="2"/>
      <c r="I70" s="2"/>
      <c r="J70" s="22">
        <f t="shared" si="6"/>
        <v>0</v>
      </c>
      <c r="K70" s="2"/>
      <c r="L70" s="2">
        <f t="shared" si="7"/>
        <v>347.67</v>
      </c>
      <c r="M70" s="2"/>
      <c r="N70" s="22">
        <f t="shared" si="8"/>
        <v>0</v>
      </c>
      <c r="O70" s="11"/>
      <c r="P70" s="2">
        <v>5790.63</v>
      </c>
      <c r="Q70" s="2"/>
      <c r="R70" s="22">
        <f t="shared" si="9"/>
        <v>5.6376098772562989E-3</v>
      </c>
      <c r="S70" s="2"/>
      <c r="T70" s="2"/>
      <c r="U70" s="2"/>
      <c r="V70" s="22">
        <f t="shared" si="10"/>
        <v>0</v>
      </c>
      <c r="W70" s="2"/>
      <c r="X70" s="2">
        <f t="shared" si="11"/>
        <v>5790.63</v>
      </c>
      <c r="Y70" s="2"/>
      <c r="Z70" s="22">
        <f t="shared" si="12"/>
        <v>0</v>
      </c>
    </row>
    <row r="71" spans="1:26" s="24" customFormat="1" hidden="1" outlineLevel="1" x14ac:dyDescent="0.35">
      <c r="A71" s="51"/>
      <c r="B71" s="11" t="str">
        <f>CONCATENATE("          ", "5541", " - ", "FREIGHT-IN-LOGO GIFTS")</f>
        <v xml:space="preserve">          5541 - FREIGHT-IN-LOGO GIFTS</v>
      </c>
      <c r="C71" s="11"/>
      <c r="D71" s="2">
        <v>182.93</v>
      </c>
      <c r="E71" s="2"/>
      <c r="F71" s="22">
        <f t="shared" si="5"/>
        <v>1.2924328350711431E-3</v>
      </c>
      <c r="G71" s="2"/>
      <c r="H71" s="2"/>
      <c r="I71" s="2"/>
      <c r="J71" s="22">
        <f t="shared" si="6"/>
        <v>0</v>
      </c>
      <c r="K71" s="2"/>
      <c r="L71" s="2">
        <f t="shared" si="7"/>
        <v>182.93</v>
      </c>
      <c r="M71" s="2"/>
      <c r="N71" s="22">
        <f t="shared" si="8"/>
        <v>0</v>
      </c>
      <c r="O71" s="11"/>
      <c r="P71" s="2">
        <v>1702.87</v>
      </c>
      <c r="Q71" s="2"/>
      <c r="R71" s="22">
        <f t="shared" si="9"/>
        <v>1.6578708589019559E-3</v>
      </c>
      <c r="S71" s="2"/>
      <c r="T71" s="2"/>
      <c r="U71" s="2"/>
      <c r="V71" s="22">
        <f t="shared" si="10"/>
        <v>0</v>
      </c>
      <c r="W71" s="2"/>
      <c r="X71" s="2">
        <f t="shared" si="11"/>
        <v>1702.87</v>
      </c>
      <c r="Y71" s="2"/>
      <c r="Z71" s="22">
        <f t="shared" si="12"/>
        <v>0</v>
      </c>
    </row>
    <row r="72" spans="1:26" s="24" customFormat="1" hidden="1" outlineLevel="1" x14ac:dyDescent="0.35">
      <c r="A72" s="51"/>
      <c r="B72" s="11" t="str">
        <f>CONCATENATE("          ", "5542", " - ", "FREIGHT-IN-EVERYDAY GIFTS")</f>
        <v xml:space="preserve">          5542 - FREIGHT-IN-EVERYDAY GIFTS</v>
      </c>
      <c r="C72" s="11"/>
      <c r="D72" s="2">
        <v>187.38</v>
      </c>
      <c r="E72" s="2"/>
      <c r="F72" s="22">
        <f t="shared" si="5"/>
        <v>1.3238728728783183E-3</v>
      </c>
      <c r="G72" s="2"/>
      <c r="H72" s="2"/>
      <c r="I72" s="2"/>
      <c r="J72" s="22">
        <f t="shared" si="6"/>
        <v>0</v>
      </c>
      <c r="K72" s="2"/>
      <c r="L72" s="2">
        <f t="shared" si="7"/>
        <v>187.38</v>
      </c>
      <c r="M72" s="2"/>
      <c r="N72" s="22">
        <f t="shared" si="8"/>
        <v>0</v>
      </c>
      <c r="O72" s="11"/>
      <c r="P72" s="2">
        <v>383.93</v>
      </c>
      <c r="Q72" s="2"/>
      <c r="R72" s="22">
        <f t="shared" si="9"/>
        <v>3.7378446907763242E-4</v>
      </c>
      <c r="S72" s="2"/>
      <c r="T72" s="2"/>
      <c r="U72" s="2"/>
      <c r="V72" s="22">
        <f t="shared" si="10"/>
        <v>0</v>
      </c>
      <c r="W72" s="2"/>
      <c r="X72" s="2">
        <f t="shared" si="11"/>
        <v>383.93</v>
      </c>
      <c r="Y72" s="2"/>
      <c r="Z72" s="22">
        <f t="shared" si="12"/>
        <v>0</v>
      </c>
    </row>
    <row r="73" spans="1:26" s="24" customFormat="1" hidden="1" outlineLevel="1" x14ac:dyDescent="0.35">
      <c r="A73" s="51"/>
      <c r="B73" s="11" t="str">
        <f>CONCATENATE("          ", "5543", " - ", "FREIGHT-IN-CARDS")</f>
        <v xml:space="preserve">          5543 - FREIGHT-IN-CARDS</v>
      </c>
      <c r="C73" s="11"/>
      <c r="D73" s="2">
        <v>1992.81</v>
      </c>
      <c r="E73" s="2"/>
      <c r="F73" s="22">
        <f t="shared" si="5"/>
        <v>1.4079555447756652E-2</v>
      </c>
      <c r="G73" s="2"/>
      <c r="H73" s="2"/>
      <c r="I73" s="2"/>
      <c r="J73" s="22">
        <f t="shared" si="6"/>
        <v>0</v>
      </c>
      <c r="K73" s="2"/>
      <c r="L73" s="2">
        <f t="shared" si="7"/>
        <v>1992.81</v>
      </c>
      <c r="M73" s="2"/>
      <c r="N73" s="22">
        <f t="shared" si="8"/>
        <v>0</v>
      </c>
      <c r="O73" s="11"/>
      <c r="P73" s="2">
        <v>9110.5300000000007</v>
      </c>
      <c r="Q73" s="2"/>
      <c r="R73" s="22">
        <f t="shared" si="9"/>
        <v>8.8697799574553766E-3</v>
      </c>
      <c r="S73" s="2"/>
      <c r="T73" s="2"/>
      <c r="U73" s="2"/>
      <c r="V73" s="22">
        <f t="shared" si="10"/>
        <v>0</v>
      </c>
      <c r="W73" s="2"/>
      <c r="X73" s="2">
        <f t="shared" si="11"/>
        <v>9110.5300000000007</v>
      </c>
      <c r="Y73" s="2"/>
      <c r="Z73" s="22">
        <f t="shared" si="12"/>
        <v>0</v>
      </c>
    </row>
    <row r="74" spans="1:26" s="24" customFormat="1" hidden="1" outlineLevel="1" x14ac:dyDescent="0.35">
      <c r="A74" s="51"/>
      <c r="B74" s="11" t="str">
        <f>CONCATENATE("          ", "5545", " - ", "FREIGHT-IN-SPECIAL ORDERS")</f>
        <v xml:space="preserve">          5545 - FREIGHT-IN-SPECIAL ORDERS</v>
      </c>
      <c r="C74" s="11"/>
      <c r="D74" s="2"/>
      <c r="E74" s="2"/>
      <c r="F74" s="22">
        <f t="shared" si="5"/>
        <v>0</v>
      </c>
      <c r="G74" s="2"/>
      <c r="H74" s="2"/>
      <c r="I74" s="2"/>
      <c r="J74" s="22">
        <f t="shared" si="6"/>
        <v>0</v>
      </c>
      <c r="K74" s="2"/>
      <c r="L74" s="2">
        <f t="shared" si="7"/>
        <v>0</v>
      </c>
      <c r="M74" s="2"/>
      <c r="N74" s="22">
        <f t="shared" si="8"/>
        <v>0</v>
      </c>
      <c r="O74" s="11"/>
      <c r="P74" s="2">
        <v>1113.79</v>
      </c>
      <c r="Q74" s="2"/>
      <c r="R74" s="22">
        <f t="shared" si="9"/>
        <v>1.0843575751151935E-3</v>
      </c>
      <c r="S74" s="2"/>
      <c r="T74" s="2"/>
      <c r="U74" s="2"/>
      <c r="V74" s="22">
        <f t="shared" si="10"/>
        <v>0</v>
      </c>
      <c r="W74" s="2"/>
      <c r="X74" s="2">
        <f t="shared" si="11"/>
        <v>1113.79</v>
      </c>
      <c r="Y74" s="2"/>
      <c r="Z74" s="22">
        <f t="shared" si="12"/>
        <v>0</v>
      </c>
    </row>
    <row r="75" spans="1:26" x14ac:dyDescent="0.3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35">
      <c r="A76" s="10"/>
      <c r="B76" s="26" t="s">
        <v>6</v>
      </c>
      <c r="C76" s="26"/>
      <c r="D76" s="19">
        <f>D12-D52</f>
        <v>66175.270000000033</v>
      </c>
      <c r="E76" s="13"/>
      <c r="F76" s="21">
        <f>IF(D$12=0,0,D76/D$12)</f>
        <v>0.4675399979101208</v>
      </c>
      <c r="G76" s="13"/>
      <c r="H76" s="19">
        <f>H12-H52</f>
        <v>112922</v>
      </c>
      <c r="I76" s="13"/>
      <c r="J76" s="21">
        <f>IF(H$12=0,0,H76/H$12)</f>
        <v>0.53749857202696016</v>
      </c>
      <c r="K76" s="16"/>
      <c r="L76" s="19">
        <f>+D76-H76</f>
        <v>-46746.729999999967</v>
      </c>
      <c r="M76" s="16"/>
      <c r="N76" s="21">
        <f>IF(H76=0,0,L76/H76)</f>
        <v>-0.41397362781388897</v>
      </c>
      <c r="O76" s="25"/>
      <c r="P76" s="19">
        <f>P12-P52</f>
        <v>417111.19000000006</v>
      </c>
      <c r="Q76" s="13"/>
      <c r="R76" s="21">
        <f>IF(P$12=0,0,P76/P$12)</f>
        <v>0.40608883051725442</v>
      </c>
      <c r="S76" s="13"/>
      <c r="T76" s="19">
        <f>T12-T52</f>
        <v>983460</v>
      </c>
      <c r="U76" s="13"/>
      <c r="V76" s="21">
        <f>IF(T$12=0,0,T76/T$12)</f>
        <v>0.53749971306677513</v>
      </c>
      <c r="W76" s="16"/>
      <c r="X76" s="19">
        <f>+P76-T76</f>
        <v>-566348.80999999994</v>
      </c>
      <c r="Y76" s="16"/>
      <c r="Z76" s="21">
        <f>IF(T76=0,0,X76/T76)</f>
        <v>-0.57587376202387486</v>
      </c>
    </row>
    <row r="77" spans="1:26" x14ac:dyDescent="0.35">
      <c r="A77" s="9"/>
      <c r="B77" s="10"/>
      <c r="C77" s="9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35">
      <c r="A78" s="10"/>
      <c r="B78" s="25" t="s">
        <v>9</v>
      </c>
      <c r="C78" s="10"/>
      <c r="D78" s="20">
        <f>SUM(OSRRefD22x_0)</f>
        <v>56259.05999999999</v>
      </c>
      <c r="E78" s="20"/>
      <c r="F78" s="30">
        <f t="shared" ref="F78:F88" si="13">IF(D$12=0,0,D78/D$12)</f>
        <v>0.39748021874070694</v>
      </c>
      <c r="G78" s="20"/>
      <c r="H78" s="20">
        <f>SUM(OSRRefH22x_0)</f>
        <v>106919.36200834616</v>
      </c>
      <c r="I78" s="20"/>
      <c r="J78" s="30">
        <f t="shared" ref="J78:J88" si="14">IF(H$12=0,0,H78/H$12)</f>
        <v>0.50892655462637637</v>
      </c>
      <c r="K78" s="4"/>
      <c r="L78" s="20">
        <f t="shared" ref="L78:L88" si="15">+D78-H78</f>
        <v>-50660.302008346167</v>
      </c>
      <c r="M78" s="4"/>
      <c r="N78" s="30">
        <f t="shared" ref="N78:N88" si="16">IF(H78=0,0,L78/H78)</f>
        <v>-0.47381784792535153</v>
      </c>
      <c r="O78" s="10"/>
      <c r="P78" s="20">
        <f>SUM(OSRRefP22x_0)</f>
        <v>331917.58</v>
      </c>
      <c r="Q78" s="20"/>
      <c r="R78" s="30">
        <f t="shared" ref="R78:R88" si="17">IF(P$12=0,0,P78/P$12)</f>
        <v>0.32314650175248766</v>
      </c>
      <c r="S78" s="20"/>
      <c r="T78" s="20">
        <f>SUM(OSRRefT22x_0)</f>
        <v>696825.0759533461</v>
      </c>
      <c r="U78" s="20"/>
      <c r="V78" s="30">
        <f t="shared" ref="V78:V88" si="18">IF(T$12=0,0,T78/T$12)</f>
        <v>0.38084241187507095</v>
      </c>
      <c r="W78" s="4"/>
      <c r="X78" s="20">
        <f t="shared" ref="X78:X88" si="19">+P78-T78</f>
        <v>-364907.49595334608</v>
      </c>
      <c r="Y78" s="4"/>
      <c r="Z78" s="30">
        <f t="shared" ref="Z78:Z88" si="20">IF(T78=0,0,X78/T78)</f>
        <v>-0.52367159068451408</v>
      </c>
    </row>
    <row r="79" spans="1:26" s="28" customFormat="1" outlineLevel="1" collapsed="1" x14ac:dyDescent="0.35">
      <c r="A79" s="27"/>
      <c r="B79" s="14" t="str">
        <f>CONCATENATE("     ","*Benefits                                         ")</f>
        <v xml:space="preserve">     *Benefits                                         </v>
      </c>
      <c r="C79" s="14"/>
      <c r="D79" s="1">
        <f>SUM(OSRRefD22_0x_0)</f>
        <v>9718.3900000000012</v>
      </c>
      <c r="E79" s="1"/>
      <c r="F79" s="5">
        <f t="shared" si="13"/>
        <v>6.866214584828649E-2</v>
      </c>
      <c r="G79" s="1"/>
      <c r="H79" s="1">
        <f>SUM(OSRRefH22_0x_0)</f>
        <v>13350.273739115371</v>
      </c>
      <c r="I79" s="1"/>
      <c r="J79" s="5">
        <f t="shared" si="14"/>
        <v>6.3546103247759847E-2</v>
      </c>
      <c r="K79" s="1"/>
      <c r="L79" s="1">
        <f t="shared" si="15"/>
        <v>-3631.8837391153702</v>
      </c>
      <c r="M79" s="1"/>
      <c r="N79" s="5">
        <f t="shared" si="16"/>
        <v>-0.27204563817101396</v>
      </c>
      <c r="O79" s="14"/>
      <c r="P79" s="1">
        <f>SUM(OSRRefP22_0x_0)</f>
        <v>71571.869999999981</v>
      </c>
      <c r="Q79" s="1"/>
      <c r="R79" s="5">
        <f t="shared" si="17"/>
        <v>6.9680549654476912E-2</v>
      </c>
      <c r="S79" s="1"/>
      <c r="T79" s="1">
        <f>SUM(OSRRefT22_0x_0)</f>
        <v>90910.487684115331</v>
      </c>
      <c r="U79" s="1"/>
      <c r="V79" s="5">
        <f t="shared" si="18"/>
        <v>4.9686170301763755E-2</v>
      </c>
      <c r="W79" s="1"/>
      <c r="X79" s="1">
        <f t="shared" si="19"/>
        <v>-19338.61768411535</v>
      </c>
      <c r="Y79" s="1"/>
      <c r="Z79" s="5">
        <f t="shared" si="20"/>
        <v>-0.21272152616000498</v>
      </c>
    </row>
    <row r="80" spans="1:26" s="24" customFormat="1" hidden="1" outlineLevel="2" x14ac:dyDescent="0.35">
      <c r="A80" s="29"/>
      <c r="B80" s="11" t="str">
        <f>CONCATENATE("          ", "6111", " - ", "F.I.C.A.")</f>
        <v xml:space="preserve">          6111 - F.I.C.A.</v>
      </c>
      <c r="C80" s="11"/>
      <c r="D80" s="7">
        <v>1873.4</v>
      </c>
      <c r="E80" s="2"/>
      <c r="F80" s="6">
        <f t="shared" si="13"/>
        <v>1.3235902657969055E-2</v>
      </c>
      <c r="G80" s="2"/>
      <c r="H80" s="7">
        <v>1874.8834505769203</v>
      </c>
      <c r="I80" s="2"/>
      <c r="J80" s="6">
        <f t="shared" si="14"/>
        <v>8.9242767344013957E-3</v>
      </c>
      <c r="K80" s="2"/>
      <c r="L80" s="7">
        <f t="shared" si="15"/>
        <v>-1.4834505769201769</v>
      </c>
      <c r="M80" s="2"/>
      <c r="N80" s="6">
        <f t="shared" si="16"/>
        <v>-7.9122282319133189E-4</v>
      </c>
      <c r="O80" s="11"/>
      <c r="P80" s="7">
        <v>16275.06</v>
      </c>
      <c r="Q80" s="2"/>
      <c r="R80" s="6">
        <f t="shared" si="17"/>
        <v>1.5844983880672552E-2</v>
      </c>
      <c r="S80" s="2"/>
      <c r="T80" s="7">
        <v>16635.339345576918</v>
      </c>
      <c r="U80" s="2"/>
      <c r="V80" s="6">
        <f t="shared" si="18"/>
        <v>9.0918696490106636E-3</v>
      </c>
      <c r="W80" s="2"/>
      <c r="X80" s="7">
        <f t="shared" si="19"/>
        <v>-360.27934557691879</v>
      </c>
      <c r="Y80" s="2"/>
      <c r="Z80" s="6">
        <f t="shared" si="20"/>
        <v>-2.1657468963668092E-2</v>
      </c>
    </row>
    <row r="81" spans="1:26" s="24" customFormat="1" hidden="1" outlineLevel="2" x14ac:dyDescent="0.35">
      <c r="A81" s="29"/>
      <c r="B81" s="11" t="str">
        <f>CONCATENATE("          ", "6112", " - ", "COMPENSATION INSURANCE")</f>
        <v xml:space="preserve">          6112 - COMPENSATION INSURANCE</v>
      </c>
      <c r="C81" s="11"/>
      <c r="D81" s="7">
        <v>284.89</v>
      </c>
      <c r="E81" s="2"/>
      <c r="F81" s="6">
        <f t="shared" si="13"/>
        <v>2.012798285592401E-3</v>
      </c>
      <c r="G81" s="2"/>
      <c r="H81" s="7">
        <v>1257.0471219230799</v>
      </c>
      <c r="I81" s="2"/>
      <c r="J81" s="6">
        <f t="shared" si="14"/>
        <v>5.98343133317029E-3</v>
      </c>
      <c r="K81" s="2"/>
      <c r="L81" s="7">
        <f t="shared" si="15"/>
        <v>-972.1571219230799</v>
      </c>
      <c r="M81" s="2"/>
      <c r="N81" s="6">
        <f t="shared" si="16"/>
        <v>-0.77336569565971069</v>
      </c>
      <c r="O81" s="11"/>
      <c r="P81" s="7">
        <v>5977</v>
      </c>
      <c r="Q81" s="2"/>
      <c r="R81" s="6">
        <f t="shared" si="17"/>
        <v>5.8190549623030477E-3</v>
      </c>
      <c r="S81" s="2"/>
      <c r="T81" s="7">
        <v>7524.3938719230819</v>
      </c>
      <c r="U81" s="2"/>
      <c r="V81" s="6">
        <f t="shared" si="18"/>
        <v>4.1123782839770379E-3</v>
      </c>
      <c r="W81" s="2"/>
      <c r="X81" s="7">
        <f t="shared" si="19"/>
        <v>-1547.3938719230819</v>
      </c>
      <c r="Y81" s="2"/>
      <c r="Z81" s="6">
        <f t="shared" si="20"/>
        <v>-0.20565030197277531</v>
      </c>
    </row>
    <row r="82" spans="1:26" s="24" customFormat="1" hidden="1" outlineLevel="2" x14ac:dyDescent="0.35">
      <c r="A82" s="29"/>
      <c r="B82" s="11" t="str">
        <f>CONCATENATE("          ", "6113", " - ", "GROUP INSURANCE")</f>
        <v xml:space="preserve">          6113 - GROUP INSURANCE</v>
      </c>
      <c r="C82" s="11"/>
      <c r="D82" s="7">
        <v>2823.95</v>
      </c>
      <c r="E82" s="2"/>
      <c r="F82" s="6">
        <f t="shared" si="13"/>
        <v>1.9951706688892769E-2</v>
      </c>
      <c r="G82" s="2"/>
      <c r="H82" s="7">
        <v>5122.3076923076906</v>
      </c>
      <c r="I82" s="2"/>
      <c r="J82" s="6">
        <f t="shared" si="14"/>
        <v>2.4381724288430041E-2</v>
      </c>
      <c r="K82" s="2"/>
      <c r="L82" s="7">
        <f t="shared" si="15"/>
        <v>-2298.3576923076907</v>
      </c>
      <c r="M82" s="2"/>
      <c r="N82" s="6">
        <f t="shared" si="16"/>
        <v>-0.44869575011262935</v>
      </c>
      <c r="O82" s="11"/>
      <c r="P82" s="7">
        <v>20653</v>
      </c>
      <c r="Q82" s="2"/>
      <c r="R82" s="6">
        <f t="shared" si="17"/>
        <v>2.0107234755972033E-2</v>
      </c>
      <c r="S82" s="2"/>
      <c r="T82" s="7">
        <v>35242.307692307673</v>
      </c>
      <c r="U82" s="2"/>
      <c r="V82" s="6">
        <f t="shared" si="18"/>
        <v>1.926131237917798E-2</v>
      </c>
      <c r="W82" s="2"/>
      <c r="X82" s="7">
        <f t="shared" si="19"/>
        <v>-14589.307692307673</v>
      </c>
      <c r="Y82" s="2"/>
      <c r="Z82" s="6">
        <f t="shared" si="20"/>
        <v>-0.41397140674451566</v>
      </c>
    </row>
    <row r="83" spans="1:26" s="24" customFormat="1" hidden="1" outlineLevel="2" x14ac:dyDescent="0.35">
      <c r="A83" s="29"/>
      <c r="B83" s="11" t="str">
        <f>CONCATENATE("          ", "6114", " - ", "STATE UNEMPLOYMENT INSURANCE")</f>
        <v xml:space="preserve">          6114 - STATE UNEMPLOYMENT INSURANCE</v>
      </c>
      <c r="C83" s="11"/>
      <c r="D83" s="7">
        <v>163.96</v>
      </c>
      <c r="E83" s="2"/>
      <c r="F83" s="6">
        <f t="shared" si="13"/>
        <v>1.1584064267111168E-3</v>
      </c>
      <c r="G83" s="2"/>
      <c r="H83" s="7">
        <v>176.66608199999999</v>
      </c>
      <c r="I83" s="2"/>
      <c r="J83" s="6">
        <f t="shared" si="14"/>
        <v>8.4091467385095768E-4</v>
      </c>
      <c r="K83" s="2"/>
      <c r="L83" s="7">
        <f t="shared" si="15"/>
        <v>-12.706081999999981</v>
      </c>
      <c r="M83" s="2"/>
      <c r="N83" s="6">
        <f t="shared" si="16"/>
        <v>-7.192145688723646E-2</v>
      </c>
      <c r="O83" s="11"/>
      <c r="P83" s="7">
        <v>666.24</v>
      </c>
      <c r="Q83" s="2"/>
      <c r="R83" s="6">
        <f t="shared" si="17"/>
        <v>6.4863429447628953E-4</v>
      </c>
      <c r="S83" s="2"/>
      <c r="T83" s="7">
        <v>1057.4823819999999</v>
      </c>
      <c r="U83" s="2"/>
      <c r="V83" s="6">
        <f t="shared" si="18"/>
        <v>5.7795586693731296E-4</v>
      </c>
      <c r="W83" s="2"/>
      <c r="X83" s="7">
        <f t="shared" si="19"/>
        <v>-391.24238199999991</v>
      </c>
      <c r="Y83" s="2"/>
      <c r="Z83" s="6">
        <f t="shared" si="20"/>
        <v>-0.369975319361869</v>
      </c>
    </row>
    <row r="84" spans="1:26" s="24" customFormat="1" hidden="1" outlineLevel="2" x14ac:dyDescent="0.35">
      <c r="A84" s="29"/>
      <c r="B84" s="11" t="str">
        <f>CONCATENATE("          ", "6115", " - ", "P.E.R.S.")</f>
        <v xml:space="preserve">          6115 - P.E.R.S.</v>
      </c>
      <c r="C84" s="11"/>
      <c r="D84" s="7">
        <v>2291.9</v>
      </c>
      <c r="E84" s="2"/>
      <c r="F84" s="6">
        <f t="shared" si="13"/>
        <v>1.6192679247250603E-2</v>
      </c>
      <c r="G84" s="2"/>
      <c r="H84" s="7">
        <v>1462.4663846153799</v>
      </c>
      <c r="I84" s="2"/>
      <c r="J84" s="6">
        <f t="shared" si="14"/>
        <v>6.9612085631515358E-3</v>
      </c>
      <c r="K84" s="2"/>
      <c r="L84" s="7">
        <f t="shared" si="15"/>
        <v>829.43361538462023</v>
      </c>
      <c r="M84" s="2"/>
      <c r="N84" s="6">
        <f t="shared" si="16"/>
        <v>0.56714713179732767</v>
      </c>
      <c r="O84" s="11"/>
      <c r="P84" s="7">
        <v>11606.88</v>
      </c>
      <c r="Q84" s="2"/>
      <c r="R84" s="6">
        <f t="shared" si="17"/>
        <v>1.1300162733956164E-2</v>
      </c>
      <c r="S84" s="2"/>
      <c r="T84" s="7">
        <v>8881.2563846153789</v>
      </c>
      <c r="U84" s="2"/>
      <c r="V84" s="6">
        <f t="shared" si="18"/>
        <v>4.8539572106676742E-3</v>
      </c>
      <c r="W84" s="2"/>
      <c r="X84" s="7">
        <f t="shared" si="19"/>
        <v>2725.6236153846203</v>
      </c>
      <c r="Y84" s="2"/>
      <c r="Z84" s="6">
        <f t="shared" si="20"/>
        <v>0.30689617519725043</v>
      </c>
    </row>
    <row r="85" spans="1:26" s="24" customFormat="1" hidden="1" outlineLevel="2" x14ac:dyDescent="0.35">
      <c r="A85" s="29"/>
      <c r="B85" s="11" t="str">
        <f>CONCATENATE("          ", "6116", " - ", "EDUCATIONAL BENEFITS")</f>
        <v xml:space="preserve">          6116 - EDUCATIONAL BENEFITS</v>
      </c>
      <c r="C85" s="11"/>
      <c r="D85" s="7"/>
      <c r="E85" s="2"/>
      <c r="F85" s="6">
        <f t="shared" si="13"/>
        <v>0</v>
      </c>
      <c r="G85" s="2"/>
      <c r="H85" s="7">
        <v>0</v>
      </c>
      <c r="I85" s="2"/>
      <c r="J85" s="6">
        <f t="shared" si="14"/>
        <v>0</v>
      </c>
      <c r="K85" s="2"/>
      <c r="L85" s="7">
        <f t="shared" si="15"/>
        <v>0</v>
      </c>
      <c r="M85" s="2"/>
      <c r="N85" s="6">
        <f t="shared" si="16"/>
        <v>0</v>
      </c>
      <c r="O85" s="11"/>
      <c r="P85" s="7"/>
      <c r="Q85" s="2"/>
      <c r="R85" s="6">
        <f t="shared" si="17"/>
        <v>0</v>
      </c>
      <c r="S85" s="2"/>
      <c r="T85" s="7">
        <v>0</v>
      </c>
      <c r="U85" s="2"/>
      <c r="V85" s="6">
        <f t="shared" si="18"/>
        <v>0</v>
      </c>
      <c r="W85" s="2"/>
      <c r="X85" s="7">
        <f t="shared" si="19"/>
        <v>0</v>
      </c>
      <c r="Y85" s="2"/>
      <c r="Z85" s="6">
        <f t="shared" si="20"/>
        <v>0</v>
      </c>
    </row>
    <row r="86" spans="1:26" s="24" customFormat="1" hidden="1" outlineLevel="2" x14ac:dyDescent="0.35">
      <c r="A86" s="29"/>
      <c r="B86" s="11" t="str">
        <f>CONCATENATE("          ", "6118", " - ", "VACATION")</f>
        <v xml:space="preserve">          6118 - VACATION</v>
      </c>
      <c r="C86" s="11"/>
      <c r="D86" s="7">
        <v>1290.6199999999999</v>
      </c>
      <c r="E86" s="2"/>
      <c r="F86" s="6">
        <f t="shared" si="13"/>
        <v>9.1184587853250891E-3</v>
      </c>
      <c r="G86" s="2"/>
      <c r="H86" s="7">
        <v>1097.4711538461499</v>
      </c>
      <c r="I86" s="2"/>
      <c r="J86" s="6">
        <f t="shared" si="14"/>
        <v>5.2238640657541122E-3</v>
      </c>
      <c r="K86" s="2"/>
      <c r="L86" s="7">
        <f t="shared" si="15"/>
        <v>193.14884615384995</v>
      </c>
      <c r="M86" s="2"/>
      <c r="N86" s="6">
        <f t="shared" si="16"/>
        <v>0.1759944627947157</v>
      </c>
      <c r="O86" s="11"/>
      <c r="P86" s="7">
        <v>8411.73</v>
      </c>
      <c r="Q86" s="2"/>
      <c r="R86" s="6">
        <f t="shared" si="17"/>
        <v>8.1894460763013901E-3</v>
      </c>
      <c r="S86" s="2"/>
      <c r="T86" s="7">
        <v>6658.7211538461415</v>
      </c>
      <c r="U86" s="2"/>
      <c r="V86" s="6">
        <f t="shared" si="18"/>
        <v>3.6392539702519338E-3</v>
      </c>
      <c r="W86" s="2"/>
      <c r="X86" s="7">
        <f t="shared" si="19"/>
        <v>1753.008846153858</v>
      </c>
      <c r="Y86" s="2"/>
      <c r="Z86" s="6">
        <f t="shared" si="20"/>
        <v>0.2632650933492392</v>
      </c>
    </row>
    <row r="87" spans="1:26" s="24" customFormat="1" hidden="1" outlineLevel="2" x14ac:dyDescent="0.35">
      <c r="A87" s="29"/>
      <c r="B87" s="11" t="str">
        <f>CONCATENATE("          ", "6119", " - ", "SICK LEAVE")</f>
        <v xml:space="preserve">          6119 - SICK LEAVE</v>
      </c>
      <c r="C87" s="11"/>
      <c r="D87" s="7">
        <v>889.54</v>
      </c>
      <c r="E87" s="2"/>
      <c r="F87" s="6">
        <f t="shared" si="13"/>
        <v>6.2847575799988217E-3</v>
      </c>
      <c r="G87" s="2"/>
      <c r="H87" s="7">
        <v>1659.43185384615</v>
      </c>
      <c r="I87" s="2"/>
      <c r="J87" s="6">
        <f t="shared" si="14"/>
        <v>7.8987464959738296E-3</v>
      </c>
      <c r="K87" s="2"/>
      <c r="L87" s="7">
        <f t="shared" si="15"/>
        <v>-769.89185384615007</v>
      </c>
      <c r="M87" s="2"/>
      <c r="N87" s="6">
        <f t="shared" si="16"/>
        <v>-0.4639490630854966</v>
      </c>
      <c r="O87" s="11"/>
      <c r="P87" s="7">
        <v>6013.81</v>
      </c>
      <c r="Q87" s="2"/>
      <c r="R87" s="6">
        <f t="shared" si="17"/>
        <v>5.85489224073075E-3</v>
      </c>
      <c r="S87" s="2"/>
      <c r="T87" s="7">
        <v>10010.986853846131</v>
      </c>
      <c r="U87" s="2"/>
      <c r="V87" s="6">
        <f t="shared" si="18"/>
        <v>5.4713995093420703E-3</v>
      </c>
      <c r="W87" s="2"/>
      <c r="X87" s="7">
        <f t="shared" si="19"/>
        <v>-3997.1768538461301</v>
      </c>
      <c r="Y87" s="2"/>
      <c r="Z87" s="6">
        <f t="shared" si="20"/>
        <v>-0.3992790033792174</v>
      </c>
    </row>
    <row r="88" spans="1:26" s="24" customFormat="1" hidden="1" outlineLevel="2" x14ac:dyDescent="0.35">
      <c r="A88" s="29"/>
      <c r="B88" s="11" t="str">
        <f>CONCATENATE("          ", "6156", " - ", "EMPLOYEE MEALS")</f>
        <v xml:space="preserve">          6156 - EMPLOYEE MEALS</v>
      </c>
      <c r="C88" s="11"/>
      <c r="D88" s="7">
        <v>100.13</v>
      </c>
      <c r="E88" s="2"/>
      <c r="F88" s="6">
        <f t="shared" si="13"/>
        <v>7.0743617654662192E-4</v>
      </c>
      <c r="G88" s="2"/>
      <c r="H88" s="7">
        <v>700</v>
      </c>
      <c r="I88" s="2"/>
      <c r="J88" s="6">
        <f t="shared" si="14"/>
        <v>3.3319370930276837E-3</v>
      </c>
      <c r="K88" s="2"/>
      <c r="L88" s="7">
        <f t="shared" si="15"/>
        <v>-599.87</v>
      </c>
      <c r="M88" s="2"/>
      <c r="N88" s="6">
        <f t="shared" si="16"/>
        <v>-0.85695714285714286</v>
      </c>
      <c r="O88" s="11"/>
      <c r="P88" s="7">
        <v>1968.15</v>
      </c>
      <c r="Q88" s="2"/>
      <c r="R88" s="6">
        <f t="shared" si="17"/>
        <v>1.9161407100647054E-3</v>
      </c>
      <c r="S88" s="2"/>
      <c r="T88" s="7">
        <v>4900</v>
      </c>
      <c r="U88" s="2"/>
      <c r="V88" s="6">
        <f t="shared" si="18"/>
        <v>2.678043432399079E-3</v>
      </c>
      <c r="W88" s="2"/>
      <c r="X88" s="7">
        <f t="shared" si="19"/>
        <v>-2931.85</v>
      </c>
      <c r="Y88" s="2"/>
      <c r="Z88" s="6">
        <f t="shared" si="20"/>
        <v>-0.59833673469387749</v>
      </c>
    </row>
    <row r="89" spans="1:26" s="28" customFormat="1" outlineLevel="1" collapsed="1" x14ac:dyDescent="0.35">
      <c r="A89" s="27"/>
      <c r="B89" s="14" t="str">
        <f>CONCATENATE("     ","*Payroll                                          ")</f>
        <v xml:space="preserve">     *Payroll                                          </v>
      </c>
      <c r="C89" s="14"/>
      <c r="D89" s="1">
        <f>SUM(OSRRefD22_1x_0)</f>
        <v>35073.31</v>
      </c>
      <c r="E89" s="1"/>
      <c r="F89" s="5">
        <f t="shared" ref="F89:F99" si="21">IF(D$12=0,0,D89/D$12)</f>
        <v>0.2477991443646699</v>
      </c>
      <c r="G89" s="1"/>
      <c r="H89" s="1">
        <f>SUM(OSRRefH22_1x_0)</f>
        <v>65626.088269230793</v>
      </c>
      <c r="I89" s="1"/>
      <c r="J89" s="5">
        <f t="shared" ref="J89:J99" si="22">IF(H$12=0,0,H89/H$12)</f>
        <v>0.31237428253508431</v>
      </c>
      <c r="K89" s="1"/>
      <c r="L89" s="1">
        <f t="shared" ref="L89:L99" si="23">+D89-H89</f>
        <v>-30552.778269230796</v>
      </c>
      <c r="M89" s="1"/>
      <c r="N89" s="5">
        <f t="shared" ref="N89:N99" si="24">IF(H89=0,0,L89/H89)</f>
        <v>-0.46555842462967062</v>
      </c>
      <c r="O89" s="14"/>
      <c r="P89" s="1">
        <f>SUM(OSRRefP22_1x_0)</f>
        <v>208446.16000000003</v>
      </c>
      <c r="Q89" s="1"/>
      <c r="R89" s="5">
        <f t="shared" ref="R89:R99" si="25">IF(P$12=0,0,P89/P$12)</f>
        <v>0.20293787213000086</v>
      </c>
      <c r="S89" s="1"/>
      <c r="T89" s="1">
        <f>SUM(OSRRefT22_1x_0)</f>
        <v>392635.58826923079</v>
      </c>
      <c r="U89" s="1"/>
      <c r="V89" s="5">
        <f t="shared" ref="V89:V99" si="26">IF(T$12=0,0,T89/T$12)</f>
        <v>0.21459084867154332</v>
      </c>
      <c r="W89" s="1"/>
      <c r="X89" s="1">
        <f t="shared" ref="X89:X99" si="27">+P89-T89</f>
        <v>-184189.42826923076</v>
      </c>
      <c r="Y89" s="1"/>
      <c r="Z89" s="5">
        <f t="shared" ref="Z89:Z99" si="28">IF(T89=0,0,X89/T89)</f>
        <v>-0.46911037555498358</v>
      </c>
    </row>
    <row r="90" spans="1:26" s="24" customFormat="1" hidden="1" outlineLevel="2" x14ac:dyDescent="0.35">
      <c r="A90" s="29"/>
      <c r="B90" s="11" t="str">
        <f>CONCATENATE("          ", "6001", " - ", "ADMINISTRATIVE SALARIES")</f>
        <v xml:space="preserve">          6001 - ADMINISTRATIVE SALARIES</v>
      </c>
      <c r="C90" s="11"/>
      <c r="D90" s="7"/>
      <c r="E90" s="2"/>
      <c r="F90" s="6">
        <f t="shared" si="21"/>
        <v>0</v>
      </c>
      <c r="G90" s="2"/>
      <c r="H90" s="7">
        <v>0</v>
      </c>
      <c r="I90" s="2"/>
      <c r="J90" s="6">
        <f t="shared" si="22"/>
        <v>0</v>
      </c>
      <c r="K90" s="2"/>
      <c r="L90" s="7">
        <f t="shared" si="23"/>
        <v>0</v>
      </c>
      <c r="M90" s="2"/>
      <c r="N90" s="6">
        <f t="shared" si="24"/>
        <v>0</v>
      </c>
      <c r="O90" s="11"/>
      <c r="P90" s="7"/>
      <c r="Q90" s="2"/>
      <c r="R90" s="6">
        <f t="shared" si="25"/>
        <v>0</v>
      </c>
      <c r="S90" s="2"/>
      <c r="T90" s="7">
        <v>0</v>
      </c>
      <c r="U90" s="2"/>
      <c r="V90" s="6">
        <f t="shared" si="26"/>
        <v>0</v>
      </c>
      <c r="W90" s="2"/>
      <c r="X90" s="7">
        <f t="shared" si="27"/>
        <v>0</v>
      </c>
      <c r="Y90" s="2"/>
      <c r="Z90" s="6">
        <f t="shared" si="28"/>
        <v>0</v>
      </c>
    </row>
    <row r="91" spans="1:26" s="24" customFormat="1" hidden="1" outlineLevel="2" x14ac:dyDescent="0.35">
      <c r="A91" s="29"/>
      <c r="B91" s="11" t="str">
        <f>CONCATENATE("          ", "6002", " - ", "STAFF SALARIES")</f>
        <v xml:space="preserve">          6002 - STAFF SALARIES</v>
      </c>
      <c r="C91" s="11"/>
      <c r="D91" s="7">
        <v>17748.2</v>
      </c>
      <c r="E91" s="2"/>
      <c r="F91" s="6">
        <f t="shared" si="21"/>
        <v>0.1253941750582718</v>
      </c>
      <c r="G91" s="2"/>
      <c r="H91" s="7">
        <v>15304.880769230798</v>
      </c>
      <c r="I91" s="2"/>
      <c r="J91" s="6">
        <f t="shared" si="22"/>
        <v>7.284985705623738E-2</v>
      </c>
      <c r="K91" s="2"/>
      <c r="L91" s="7">
        <f t="shared" si="23"/>
        <v>2443.3192307692025</v>
      </c>
      <c r="M91" s="2"/>
      <c r="N91" s="6">
        <f t="shared" si="24"/>
        <v>0.1596431404863535</v>
      </c>
      <c r="O91" s="11"/>
      <c r="P91" s="7">
        <v>93333.67</v>
      </c>
      <c r="Q91" s="2"/>
      <c r="R91" s="6">
        <f t="shared" si="25"/>
        <v>9.0867283848662384E-2</v>
      </c>
      <c r="S91" s="2"/>
      <c r="T91" s="7">
        <v>92943.380769230804</v>
      </c>
      <c r="U91" s="2"/>
      <c r="V91" s="6">
        <f t="shared" si="26"/>
        <v>5.0797226623266405E-2</v>
      </c>
      <c r="W91" s="2"/>
      <c r="X91" s="7">
        <f t="shared" si="27"/>
        <v>390.28923076919455</v>
      </c>
      <c r="Y91" s="2"/>
      <c r="Z91" s="6">
        <f t="shared" si="28"/>
        <v>4.1992149149194819E-3</v>
      </c>
    </row>
    <row r="92" spans="1:26" s="24" customFormat="1" hidden="1" outlineLevel="2" x14ac:dyDescent="0.35">
      <c r="A92" s="29"/>
      <c r="B92" s="11" t="str">
        <f>CONCATENATE("          ", "6003", " - ", "STAFF HOURLY-9 MONTH")</f>
        <v xml:space="preserve">          6003 - STAFF HOURLY-9 MONTH</v>
      </c>
      <c r="C92" s="11"/>
      <c r="D92" s="7"/>
      <c r="E92" s="2"/>
      <c r="F92" s="6">
        <f t="shared" si="21"/>
        <v>0</v>
      </c>
      <c r="G92" s="2"/>
      <c r="H92" s="7">
        <v>0</v>
      </c>
      <c r="I92" s="2"/>
      <c r="J92" s="6">
        <f t="shared" si="22"/>
        <v>0</v>
      </c>
      <c r="K92" s="2"/>
      <c r="L92" s="7">
        <f t="shared" si="23"/>
        <v>0</v>
      </c>
      <c r="M92" s="2"/>
      <c r="N92" s="6">
        <f t="shared" si="24"/>
        <v>0</v>
      </c>
      <c r="O92" s="11"/>
      <c r="P92" s="7"/>
      <c r="Q92" s="2"/>
      <c r="R92" s="6">
        <f t="shared" si="25"/>
        <v>0</v>
      </c>
      <c r="S92" s="2"/>
      <c r="T92" s="7">
        <v>0</v>
      </c>
      <c r="U92" s="2"/>
      <c r="V92" s="6">
        <f t="shared" si="26"/>
        <v>0</v>
      </c>
      <c r="W92" s="2"/>
      <c r="X92" s="7">
        <f t="shared" si="27"/>
        <v>0</v>
      </c>
      <c r="Y92" s="2"/>
      <c r="Z92" s="6">
        <f t="shared" si="28"/>
        <v>0</v>
      </c>
    </row>
    <row r="93" spans="1:26" s="24" customFormat="1" hidden="1" outlineLevel="2" x14ac:dyDescent="0.35">
      <c r="A93" s="29"/>
      <c r="B93" s="11" t="str">
        <f>CONCATENATE("          ", "6004", " - ", "STAFF HOURLY")</f>
        <v xml:space="preserve">          6004 - STAFF HOURLY</v>
      </c>
      <c r="C93" s="11"/>
      <c r="D93" s="7">
        <v>3405.92</v>
      </c>
      <c r="E93" s="2"/>
      <c r="F93" s="6">
        <f t="shared" si="21"/>
        <v>2.4063427768138124E-2</v>
      </c>
      <c r="G93" s="2"/>
      <c r="H93" s="7">
        <v>6871.3875000000007</v>
      </c>
      <c r="I93" s="2"/>
      <c r="J93" s="6">
        <f t="shared" si="22"/>
        <v>3.2707186988309662E-2</v>
      </c>
      <c r="K93" s="2"/>
      <c r="L93" s="7">
        <f t="shared" si="23"/>
        <v>-3465.4675000000007</v>
      </c>
      <c r="M93" s="2"/>
      <c r="N93" s="6">
        <f t="shared" si="24"/>
        <v>-0.50433300406941106</v>
      </c>
      <c r="O93" s="11"/>
      <c r="P93" s="7">
        <v>42206.460000000006</v>
      </c>
      <c r="Q93" s="2"/>
      <c r="R93" s="6">
        <f t="shared" si="25"/>
        <v>4.1091134432699537E-2</v>
      </c>
      <c r="S93" s="2"/>
      <c r="T93" s="7">
        <v>41561.887500000004</v>
      </c>
      <c r="U93" s="2"/>
      <c r="V93" s="6">
        <f t="shared" si="26"/>
        <v>2.2715212215813137E-2</v>
      </c>
      <c r="W93" s="2"/>
      <c r="X93" s="7">
        <f t="shared" si="27"/>
        <v>644.57250000000204</v>
      </c>
      <c r="Y93" s="2"/>
      <c r="Z93" s="6">
        <f t="shared" si="28"/>
        <v>1.5508739828045634E-2</v>
      </c>
    </row>
    <row r="94" spans="1:26" s="24" customFormat="1" hidden="1" outlineLevel="2" x14ac:dyDescent="0.35">
      <c r="A94" s="29"/>
      <c r="B94" s="11" t="str">
        <f>CONCATENATE("          ", "6005", " - ", "TEMPORARY WAGES-HOURLY")</f>
        <v xml:space="preserve">          6005 - TEMPORARY WAGES-HOURLY</v>
      </c>
      <c r="C94" s="11"/>
      <c r="D94" s="7">
        <v>3770.6</v>
      </c>
      <c r="E94" s="2"/>
      <c r="F94" s="6">
        <f t="shared" si="21"/>
        <v>2.6639956529378735E-2</v>
      </c>
      <c r="G94" s="2"/>
      <c r="H94" s="7">
        <v>0</v>
      </c>
      <c r="I94" s="2"/>
      <c r="J94" s="6">
        <f t="shared" si="22"/>
        <v>0</v>
      </c>
      <c r="K94" s="2"/>
      <c r="L94" s="7">
        <f t="shared" si="23"/>
        <v>3770.6</v>
      </c>
      <c r="M94" s="2"/>
      <c r="N94" s="6">
        <f t="shared" si="24"/>
        <v>0</v>
      </c>
      <c r="O94" s="11"/>
      <c r="P94" s="7">
        <v>27385.289999999997</v>
      </c>
      <c r="Q94" s="2"/>
      <c r="R94" s="6">
        <f t="shared" si="25"/>
        <v>2.6661620824595618E-2</v>
      </c>
      <c r="S94" s="2"/>
      <c r="T94" s="7">
        <v>0</v>
      </c>
      <c r="U94" s="2"/>
      <c r="V94" s="6">
        <f t="shared" si="26"/>
        <v>0</v>
      </c>
      <c r="W94" s="2"/>
      <c r="X94" s="7">
        <f t="shared" si="27"/>
        <v>27385.289999999997</v>
      </c>
      <c r="Y94" s="2"/>
      <c r="Z94" s="6">
        <f t="shared" si="28"/>
        <v>0</v>
      </c>
    </row>
    <row r="95" spans="1:26" s="24" customFormat="1" hidden="1" outlineLevel="2" x14ac:dyDescent="0.35">
      <c r="A95" s="29"/>
      <c r="B95" s="11" t="str">
        <f>CONCATENATE("          ", "6006", " - ", "TEMPORARY PART TIME")</f>
        <v xml:space="preserve">          6006 - TEMPORARY PART TIME</v>
      </c>
      <c r="C95" s="11"/>
      <c r="D95" s="7"/>
      <c r="E95" s="2"/>
      <c r="F95" s="6">
        <f t="shared" si="21"/>
        <v>0</v>
      </c>
      <c r="G95" s="2"/>
      <c r="H95" s="7">
        <v>0</v>
      </c>
      <c r="I95" s="2"/>
      <c r="J95" s="6">
        <f t="shared" si="22"/>
        <v>0</v>
      </c>
      <c r="K95" s="2"/>
      <c r="L95" s="7">
        <f t="shared" si="23"/>
        <v>0</v>
      </c>
      <c r="M95" s="2"/>
      <c r="N95" s="6">
        <f t="shared" si="24"/>
        <v>0</v>
      </c>
      <c r="O95" s="11"/>
      <c r="P95" s="7"/>
      <c r="Q95" s="2"/>
      <c r="R95" s="6">
        <f t="shared" si="25"/>
        <v>0</v>
      </c>
      <c r="S95" s="2"/>
      <c r="T95" s="7">
        <v>0</v>
      </c>
      <c r="U95" s="2"/>
      <c r="V95" s="6">
        <f t="shared" si="26"/>
        <v>0</v>
      </c>
      <c r="W95" s="2"/>
      <c r="X95" s="7">
        <f t="shared" si="27"/>
        <v>0</v>
      </c>
      <c r="Y95" s="2"/>
      <c r="Z95" s="6">
        <f t="shared" si="28"/>
        <v>0</v>
      </c>
    </row>
    <row r="96" spans="1:26" s="24" customFormat="1" hidden="1" outlineLevel="2" x14ac:dyDescent="0.35">
      <c r="A96" s="29"/>
      <c r="B96" s="11" t="str">
        <f>CONCATENATE("          ", "6007", " - ", "STUDENT HOURLY")</f>
        <v xml:space="preserve">          6007 - STUDENT HOURLY</v>
      </c>
      <c r="C96" s="11"/>
      <c r="D96" s="7">
        <v>9787.67</v>
      </c>
      <c r="E96" s="2"/>
      <c r="F96" s="6">
        <f t="shared" si="21"/>
        <v>6.9151621313293471E-2</v>
      </c>
      <c r="G96" s="2"/>
      <c r="H96" s="7">
        <v>0</v>
      </c>
      <c r="I96" s="2"/>
      <c r="J96" s="6">
        <f t="shared" si="22"/>
        <v>0</v>
      </c>
      <c r="K96" s="2"/>
      <c r="L96" s="7">
        <f t="shared" si="23"/>
        <v>9787.67</v>
      </c>
      <c r="M96" s="2"/>
      <c r="N96" s="6">
        <f t="shared" si="24"/>
        <v>0</v>
      </c>
      <c r="O96" s="11"/>
      <c r="P96" s="7">
        <v>41946.8</v>
      </c>
      <c r="Q96" s="2"/>
      <c r="R96" s="6">
        <f t="shared" si="25"/>
        <v>4.0838336070392084E-2</v>
      </c>
      <c r="S96" s="2"/>
      <c r="T96" s="7">
        <v>68776.5</v>
      </c>
      <c r="U96" s="2"/>
      <c r="V96" s="6">
        <f t="shared" si="26"/>
        <v>3.7589072271101066E-2</v>
      </c>
      <c r="W96" s="2"/>
      <c r="X96" s="7">
        <f t="shared" si="27"/>
        <v>-26829.699999999997</v>
      </c>
      <c r="Y96" s="2"/>
      <c r="Z96" s="6">
        <f t="shared" si="28"/>
        <v>-0.39009981607089628</v>
      </c>
    </row>
    <row r="97" spans="1:26" s="24" customFormat="1" hidden="1" outlineLevel="2" x14ac:dyDescent="0.35">
      <c r="A97" s="29"/>
      <c r="B97" s="11" t="str">
        <f>CONCATENATE("          ", "6008", " - ", "STUDENT HOURLY-FICA EXEMPT")</f>
        <v xml:space="preserve">          6008 - STUDENT HOURLY-FICA EXEMPT</v>
      </c>
      <c r="C97" s="11"/>
      <c r="D97" s="7">
        <v>360.92</v>
      </c>
      <c r="E97" s="2"/>
      <c r="F97" s="6">
        <f t="shared" si="21"/>
        <v>2.5499636955878036E-3</v>
      </c>
      <c r="G97" s="2"/>
      <c r="H97" s="7">
        <v>43449.82</v>
      </c>
      <c r="I97" s="2"/>
      <c r="J97" s="6">
        <f t="shared" si="22"/>
        <v>0.20681723849053729</v>
      </c>
      <c r="K97" s="2"/>
      <c r="L97" s="7">
        <f t="shared" si="23"/>
        <v>-43088.9</v>
      </c>
      <c r="M97" s="2"/>
      <c r="N97" s="6">
        <f t="shared" si="24"/>
        <v>-0.9916934063248134</v>
      </c>
      <c r="O97" s="11"/>
      <c r="P97" s="7">
        <v>3573.94</v>
      </c>
      <c r="Q97" s="2"/>
      <c r="R97" s="6">
        <f t="shared" si="25"/>
        <v>3.4794969536512221E-3</v>
      </c>
      <c r="S97" s="2"/>
      <c r="T97" s="7">
        <v>189353.81999999998</v>
      </c>
      <c r="U97" s="2"/>
      <c r="V97" s="6">
        <f t="shared" si="26"/>
        <v>0.10348933756136271</v>
      </c>
      <c r="W97" s="2"/>
      <c r="X97" s="7">
        <f t="shared" si="27"/>
        <v>-185779.87999999998</v>
      </c>
      <c r="Y97" s="2"/>
      <c r="Z97" s="6">
        <f t="shared" si="28"/>
        <v>-0.98112559862800763</v>
      </c>
    </row>
    <row r="98" spans="1:26" s="24" customFormat="1" hidden="1" outlineLevel="2" x14ac:dyDescent="0.35">
      <c r="A98" s="29"/>
      <c r="B98" s="11" t="str">
        <f>CONCATENATE("          ", "6009", " - ", "TEMPORARY-SEASONAL")</f>
        <v xml:space="preserve">          6009 - TEMPORARY-SEASONAL</v>
      </c>
      <c r="C98" s="11"/>
      <c r="D98" s="7"/>
      <c r="E98" s="2"/>
      <c r="F98" s="6">
        <f t="shared" si="21"/>
        <v>0</v>
      </c>
      <c r="G98" s="2"/>
      <c r="H98" s="7">
        <v>0</v>
      </c>
      <c r="I98" s="2"/>
      <c r="J98" s="6">
        <f t="shared" si="22"/>
        <v>0</v>
      </c>
      <c r="K98" s="2"/>
      <c r="L98" s="7">
        <f t="shared" si="23"/>
        <v>0</v>
      </c>
      <c r="M98" s="2"/>
      <c r="N98" s="6">
        <f t="shared" si="24"/>
        <v>0</v>
      </c>
      <c r="O98" s="11"/>
      <c r="P98" s="7"/>
      <c r="Q98" s="2"/>
      <c r="R98" s="6">
        <f t="shared" si="25"/>
        <v>0</v>
      </c>
      <c r="S98" s="2"/>
      <c r="T98" s="7">
        <v>0</v>
      </c>
      <c r="U98" s="2"/>
      <c r="V98" s="6">
        <f t="shared" si="26"/>
        <v>0</v>
      </c>
      <c r="W98" s="2"/>
      <c r="X98" s="7">
        <f t="shared" si="27"/>
        <v>0</v>
      </c>
      <c r="Y98" s="2"/>
      <c r="Z98" s="6">
        <f t="shared" si="28"/>
        <v>0</v>
      </c>
    </row>
    <row r="99" spans="1:26" s="24" customFormat="1" hidden="1" outlineLevel="2" x14ac:dyDescent="0.35">
      <c r="A99" s="29"/>
      <c r="B99" s="11" t="str">
        <f>CONCATENATE("          ", "6010", " - ", "GRATUITY")</f>
        <v xml:space="preserve">          6010 - GRATUITY</v>
      </c>
      <c r="C99" s="11"/>
      <c r="D99" s="7"/>
      <c r="E99" s="2"/>
      <c r="F99" s="6">
        <f t="shared" si="21"/>
        <v>0</v>
      </c>
      <c r="G99" s="2"/>
      <c r="H99" s="7">
        <v>0</v>
      </c>
      <c r="I99" s="2"/>
      <c r="J99" s="6">
        <f t="shared" si="22"/>
        <v>0</v>
      </c>
      <c r="K99" s="2"/>
      <c r="L99" s="7">
        <f t="shared" si="23"/>
        <v>0</v>
      </c>
      <c r="M99" s="2"/>
      <c r="N99" s="6">
        <f t="shared" si="24"/>
        <v>0</v>
      </c>
      <c r="O99" s="11"/>
      <c r="P99" s="7"/>
      <c r="Q99" s="2"/>
      <c r="R99" s="6">
        <f t="shared" si="25"/>
        <v>0</v>
      </c>
      <c r="S99" s="2"/>
      <c r="T99" s="7">
        <v>0</v>
      </c>
      <c r="U99" s="2"/>
      <c r="V99" s="6">
        <f t="shared" si="26"/>
        <v>0</v>
      </c>
      <c r="W99" s="2"/>
      <c r="X99" s="7">
        <f t="shared" si="27"/>
        <v>0</v>
      </c>
      <c r="Y99" s="2"/>
      <c r="Z99" s="6">
        <f t="shared" si="28"/>
        <v>0</v>
      </c>
    </row>
    <row r="100" spans="1:26" s="28" customFormat="1" outlineLevel="1" collapsed="1" x14ac:dyDescent="0.35">
      <c r="A100" s="27"/>
      <c r="B100" s="14" t="str">
        <f>CONCATENATE("     ","Advertising/Promo                                 ")</f>
        <v xml:space="preserve">     Advertising/Promo                                 </v>
      </c>
      <c r="C100" s="14"/>
      <c r="D100" s="1">
        <f>SUM(OSRRefD22_2x_0)</f>
        <v>637.52</v>
      </c>
      <c r="E100" s="1"/>
      <c r="F100" s="5">
        <f t="shared" ref="F100:F112" si="29">IF(D$12=0,0,D100/D$12)</f>
        <v>4.5041916635573994E-3</v>
      </c>
      <c r="G100" s="1"/>
      <c r="H100" s="1">
        <f>SUM(OSRRefH22_2x_0)</f>
        <v>1080</v>
      </c>
      <c r="I100" s="1"/>
      <c r="J100" s="5">
        <f t="shared" ref="J100:J112" si="30">IF(H$12=0,0,H100/H$12)</f>
        <v>5.140702943528426E-3</v>
      </c>
      <c r="K100" s="1"/>
      <c r="L100" s="1">
        <f t="shared" ref="L100:L112" si="31">+D100-H100</f>
        <v>-442.48</v>
      </c>
      <c r="M100" s="1"/>
      <c r="N100" s="5">
        <f t="shared" ref="N100:N112" si="32">IF(H100=0,0,L100/H100)</f>
        <v>-0.40970370370370374</v>
      </c>
      <c r="O100" s="14"/>
      <c r="P100" s="1">
        <f>SUM(OSRRefP22_2x_0)</f>
        <v>12660.67</v>
      </c>
      <c r="Q100" s="1"/>
      <c r="R100" s="5">
        <f t="shared" ref="R100:R112" si="33">IF(P$12=0,0,P100/P$12)</f>
        <v>1.2326105837306563E-2</v>
      </c>
      <c r="S100" s="1"/>
      <c r="T100" s="1">
        <f>SUM(OSRRefT22_2x_0)</f>
        <v>5060</v>
      </c>
      <c r="U100" s="1"/>
      <c r="V100" s="5">
        <f t="shared" ref="V100:V112" si="34">IF(T$12=0,0,T100/T$12)</f>
        <v>2.7654897485590488E-3</v>
      </c>
      <c r="W100" s="1"/>
      <c r="X100" s="1">
        <f t="shared" ref="X100:X112" si="35">+P100-T100</f>
        <v>7600.67</v>
      </c>
      <c r="Y100" s="1"/>
      <c r="Z100" s="5">
        <f t="shared" ref="Z100:Z112" si="36">IF(T100=0,0,X100/T100)</f>
        <v>1.5021086956521739</v>
      </c>
    </row>
    <row r="101" spans="1:26" s="24" customFormat="1" hidden="1" outlineLevel="2" x14ac:dyDescent="0.35">
      <c r="A101" s="29"/>
      <c r="B101" s="11" t="str">
        <f>CONCATENATE("          ", "6362", " - ", "ADVERTISING EXPENSE")</f>
        <v xml:space="preserve">          6362 - ADVERTISING EXPENSE</v>
      </c>
      <c r="C101" s="11"/>
      <c r="D101" s="7">
        <v>637.52</v>
      </c>
      <c r="E101" s="2"/>
      <c r="F101" s="6">
        <f t="shared" si="29"/>
        <v>4.5041916635573994E-3</v>
      </c>
      <c r="G101" s="2"/>
      <c r="H101" s="7">
        <v>1080</v>
      </c>
      <c r="I101" s="2"/>
      <c r="J101" s="6">
        <f t="shared" si="30"/>
        <v>5.140702943528426E-3</v>
      </c>
      <c r="K101" s="2"/>
      <c r="L101" s="7">
        <f t="shared" si="31"/>
        <v>-442.48</v>
      </c>
      <c r="M101" s="2"/>
      <c r="N101" s="6">
        <f t="shared" si="32"/>
        <v>-0.40970370370370374</v>
      </c>
      <c r="O101" s="11"/>
      <c r="P101" s="7">
        <v>12660.67</v>
      </c>
      <c r="Q101" s="2"/>
      <c r="R101" s="6">
        <f t="shared" si="33"/>
        <v>1.2326105837306563E-2</v>
      </c>
      <c r="S101" s="2"/>
      <c r="T101" s="7">
        <v>5060</v>
      </c>
      <c r="U101" s="2"/>
      <c r="V101" s="6">
        <f t="shared" si="34"/>
        <v>2.7654897485590488E-3</v>
      </c>
      <c r="W101" s="2"/>
      <c r="X101" s="7">
        <f t="shared" si="35"/>
        <v>7600.67</v>
      </c>
      <c r="Y101" s="2"/>
      <c r="Z101" s="6">
        <f t="shared" si="36"/>
        <v>1.5021086956521739</v>
      </c>
    </row>
    <row r="102" spans="1:26" s="28" customFormat="1" outlineLevel="1" collapsed="1" x14ac:dyDescent="0.35">
      <c r="A102" s="27"/>
      <c r="B102" s="14" t="str">
        <f>CONCATENATE("     ","Bad Debts/Over/Short                              ")</f>
        <v xml:space="preserve">     Bad Debts/Over/Short                              </v>
      </c>
      <c r="C102" s="14"/>
      <c r="D102" s="1">
        <f>SUM(OSRRefD22_3x_0)</f>
        <v>0</v>
      </c>
      <c r="E102" s="1"/>
      <c r="F102" s="5">
        <f t="shared" si="29"/>
        <v>0</v>
      </c>
      <c r="G102" s="1"/>
      <c r="H102" s="1">
        <f>SUM(OSRRefH22_3x_0)</f>
        <v>0</v>
      </c>
      <c r="I102" s="1"/>
      <c r="J102" s="5">
        <f t="shared" si="30"/>
        <v>0</v>
      </c>
      <c r="K102" s="1"/>
      <c r="L102" s="1">
        <f t="shared" si="31"/>
        <v>0</v>
      </c>
      <c r="M102" s="1"/>
      <c r="N102" s="5">
        <f t="shared" si="32"/>
        <v>0</v>
      </c>
      <c r="O102" s="14"/>
      <c r="P102" s="1">
        <f>SUM(OSRRefP22_3x_0)</f>
        <v>0</v>
      </c>
      <c r="Q102" s="1"/>
      <c r="R102" s="5">
        <f t="shared" si="33"/>
        <v>0</v>
      </c>
      <c r="S102" s="1"/>
      <c r="T102" s="1">
        <f>SUM(OSRRefT22_3x_0)</f>
        <v>0</v>
      </c>
      <c r="U102" s="1"/>
      <c r="V102" s="5">
        <f t="shared" si="34"/>
        <v>0</v>
      </c>
      <c r="W102" s="1"/>
      <c r="X102" s="1">
        <f t="shared" si="35"/>
        <v>0</v>
      </c>
      <c r="Y102" s="1"/>
      <c r="Z102" s="5">
        <f t="shared" si="36"/>
        <v>0</v>
      </c>
    </row>
    <row r="103" spans="1:26" s="24" customFormat="1" hidden="1" outlineLevel="2" x14ac:dyDescent="0.35">
      <c r="A103" s="29"/>
      <c r="B103" s="11" t="str">
        <f>CONCATENATE("          ", "6272", " - ", "CASH (OVER/SHORT)")</f>
        <v xml:space="preserve">          6272 - CASH (OVER/SHORT)</v>
      </c>
      <c r="C103" s="11"/>
      <c r="D103" s="7"/>
      <c r="E103" s="2"/>
      <c r="F103" s="6">
        <f t="shared" si="29"/>
        <v>0</v>
      </c>
      <c r="G103" s="2"/>
      <c r="H103" s="7">
        <v>0</v>
      </c>
      <c r="I103" s="2"/>
      <c r="J103" s="6">
        <f t="shared" si="30"/>
        <v>0</v>
      </c>
      <c r="K103" s="2"/>
      <c r="L103" s="7">
        <f t="shared" si="31"/>
        <v>0</v>
      </c>
      <c r="M103" s="2"/>
      <c r="N103" s="6">
        <f t="shared" si="32"/>
        <v>0</v>
      </c>
      <c r="O103" s="11"/>
      <c r="P103" s="7"/>
      <c r="Q103" s="2"/>
      <c r="R103" s="6">
        <f t="shared" si="33"/>
        <v>0</v>
      </c>
      <c r="S103" s="2"/>
      <c r="T103" s="7">
        <v>0</v>
      </c>
      <c r="U103" s="2"/>
      <c r="V103" s="6">
        <f t="shared" si="34"/>
        <v>0</v>
      </c>
      <c r="W103" s="2"/>
      <c r="X103" s="7">
        <f t="shared" si="35"/>
        <v>0</v>
      </c>
      <c r="Y103" s="2"/>
      <c r="Z103" s="6">
        <f t="shared" si="36"/>
        <v>0</v>
      </c>
    </row>
    <row r="104" spans="1:26" s="28" customFormat="1" outlineLevel="1" collapsed="1" x14ac:dyDescent="0.35">
      <c r="A104" s="27"/>
      <c r="B104" s="14" t="str">
        <f>CONCATENATE("     ","Bank/card Fees                                    ")</f>
        <v xml:space="preserve">     Bank/card Fees                                    </v>
      </c>
      <c r="C104" s="14"/>
      <c r="D104" s="1">
        <f>SUM(OSRRefD22_4x_0)</f>
        <v>0</v>
      </c>
      <c r="E104" s="1"/>
      <c r="F104" s="5">
        <f t="shared" si="29"/>
        <v>0</v>
      </c>
      <c r="G104" s="1"/>
      <c r="H104" s="1">
        <f>SUM(OSRRefH22_4x_0)</f>
        <v>0</v>
      </c>
      <c r="I104" s="1"/>
      <c r="J104" s="5">
        <f t="shared" si="30"/>
        <v>0</v>
      </c>
      <c r="K104" s="1"/>
      <c r="L104" s="1">
        <f t="shared" si="31"/>
        <v>0</v>
      </c>
      <c r="M104" s="1"/>
      <c r="N104" s="5">
        <f t="shared" si="32"/>
        <v>0</v>
      </c>
      <c r="O104" s="14"/>
      <c r="P104" s="1">
        <f>SUM(OSRRefP22_4x_0)</f>
        <v>0</v>
      </c>
      <c r="Q104" s="1"/>
      <c r="R104" s="5">
        <f t="shared" si="33"/>
        <v>0</v>
      </c>
      <c r="S104" s="1"/>
      <c r="T104" s="1">
        <f>SUM(OSRRefT22_4x_0)</f>
        <v>0</v>
      </c>
      <c r="U104" s="1"/>
      <c r="V104" s="5">
        <f t="shared" si="34"/>
        <v>0</v>
      </c>
      <c r="W104" s="1"/>
      <c r="X104" s="1">
        <f t="shared" si="35"/>
        <v>0</v>
      </c>
      <c r="Y104" s="1"/>
      <c r="Z104" s="5">
        <f t="shared" si="36"/>
        <v>0</v>
      </c>
    </row>
    <row r="105" spans="1:26" s="24" customFormat="1" hidden="1" outlineLevel="2" x14ac:dyDescent="0.35">
      <c r="A105" s="29"/>
      <c r="B105" s="11" t="str">
        <f>CONCATENATE("          ", "6381", " - ", "BANK/CREDIT CARD FEES")</f>
        <v xml:space="preserve">          6381 - BANK/CREDIT CARD FEES</v>
      </c>
      <c r="C105" s="11"/>
      <c r="D105" s="7"/>
      <c r="E105" s="2"/>
      <c r="F105" s="6">
        <f t="shared" si="29"/>
        <v>0</v>
      </c>
      <c r="G105" s="2"/>
      <c r="H105" s="7">
        <v>0</v>
      </c>
      <c r="I105" s="2"/>
      <c r="J105" s="6">
        <f t="shared" si="30"/>
        <v>0</v>
      </c>
      <c r="K105" s="2"/>
      <c r="L105" s="7">
        <f t="shared" si="31"/>
        <v>0</v>
      </c>
      <c r="M105" s="2"/>
      <c r="N105" s="6">
        <f t="shared" si="32"/>
        <v>0</v>
      </c>
      <c r="O105" s="11"/>
      <c r="P105" s="7"/>
      <c r="Q105" s="2"/>
      <c r="R105" s="6">
        <f t="shared" si="33"/>
        <v>0</v>
      </c>
      <c r="S105" s="2"/>
      <c r="T105" s="7">
        <v>0</v>
      </c>
      <c r="U105" s="2"/>
      <c r="V105" s="6">
        <f t="shared" si="34"/>
        <v>0</v>
      </c>
      <c r="W105" s="2"/>
      <c r="X105" s="7">
        <f t="shared" si="35"/>
        <v>0</v>
      </c>
      <c r="Y105" s="2"/>
      <c r="Z105" s="6">
        <f t="shared" si="36"/>
        <v>0</v>
      </c>
    </row>
    <row r="106" spans="1:26" s="28" customFormat="1" outlineLevel="1" collapsed="1" x14ac:dyDescent="0.35">
      <c r="A106" s="27"/>
      <c r="B106" s="14" t="str">
        <f>CONCATENATE("     ","Discounts and Markdowns                           ")</f>
        <v xml:space="preserve">     Discounts and Markdowns                           </v>
      </c>
      <c r="C106" s="14"/>
      <c r="D106" s="1">
        <f>SUM(OSRRefD22_5x_0)</f>
        <v>0</v>
      </c>
      <c r="E106" s="1"/>
      <c r="F106" s="5">
        <f t="shared" si="29"/>
        <v>0</v>
      </c>
      <c r="G106" s="1"/>
      <c r="H106" s="1">
        <f>SUM(OSRRefH22_5x_0)</f>
        <v>15757</v>
      </c>
      <c r="I106" s="1"/>
      <c r="J106" s="5">
        <f t="shared" si="30"/>
        <v>7.5001903964053165E-2</v>
      </c>
      <c r="K106" s="1"/>
      <c r="L106" s="1">
        <f t="shared" si="31"/>
        <v>-15757</v>
      </c>
      <c r="M106" s="1"/>
      <c r="N106" s="5">
        <f t="shared" si="32"/>
        <v>-1</v>
      </c>
      <c r="O106" s="14"/>
      <c r="P106" s="1">
        <f>SUM(OSRRefP22_5x_0)</f>
        <v>0</v>
      </c>
      <c r="Q106" s="1"/>
      <c r="R106" s="5">
        <f t="shared" si="33"/>
        <v>0</v>
      </c>
      <c r="S106" s="1"/>
      <c r="T106" s="1">
        <f>SUM(OSRRefT22_5x_0)</f>
        <v>137227</v>
      </c>
      <c r="U106" s="1"/>
      <c r="V106" s="5">
        <f t="shared" si="34"/>
        <v>7.4999972673026202E-2</v>
      </c>
      <c r="W106" s="1"/>
      <c r="X106" s="1">
        <f t="shared" si="35"/>
        <v>-137227</v>
      </c>
      <c r="Y106" s="1"/>
      <c r="Z106" s="5">
        <f t="shared" si="36"/>
        <v>-1</v>
      </c>
    </row>
    <row r="107" spans="1:26" s="24" customFormat="1" hidden="1" outlineLevel="2" x14ac:dyDescent="0.35">
      <c r="A107" s="29"/>
      <c r="B107" s="11" t="str">
        <f>CONCATENATE("          ", "6382", " - ", "DISCOUNTS/MARK DOWNS")</f>
        <v xml:space="preserve">          6382 - DISCOUNTS/MARK DOWNS</v>
      </c>
      <c r="C107" s="11"/>
      <c r="D107" s="7"/>
      <c r="E107" s="2"/>
      <c r="F107" s="6">
        <f t="shared" si="29"/>
        <v>0</v>
      </c>
      <c r="G107" s="2"/>
      <c r="H107" s="7">
        <v>15757</v>
      </c>
      <c r="I107" s="2"/>
      <c r="J107" s="6">
        <f t="shared" si="30"/>
        <v>7.5001903964053165E-2</v>
      </c>
      <c r="K107" s="2"/>
      <c r="L107" s="7">
        <f t="shared" si="31"/>
        <v>-15757</v>
      </c>
      <c r="M107" s="2"/>
      <c r="N107" s="6">
        <f t="shared" si="32"/>
        <v>-1</v>
      </c>
      <c r="O107" s="11"/>
      <c r="P107" s="7"/>
      <c r="Q107" s="2"/>
      <c r="R107" s="6">
        <f t="shared" si="33"/>
        <v>0</v>
      </c>
      <c r="S107" s="2"/>
      <c r="T107" s="7">
        <v>137227</v>
      </c>
      <c r="U107" s="2"/>
      <c r="V107" s="6">
        <f t="shared" si="34"/>
        <v>7.4999972673026202E-2</v>
      </c>
      <c r="W107" s="2"/>
      <c r="X107" s="7">
        <f t="shared" si="35"/>
        <v>-137227</v>
      </c>
      <c r="Y107" s="2"/>
      <c r="Z107" s="6">
        <f t="shared" si="36"/>
        <v>-1</v>
      </c>
    </row>
    <row r="108" spans="1:26" s="28" customFormat="1" outlineLevel="1" collapsed="1" x14ac:dyDescent="0.35">
      <c r="A108" s="27"/>
      <c r="B108" s="14" t="str">
        <f>CONCATENATE("     ","Employees' Appreciation                           ")</f>
        <v xml:space="preserve">     Employees' Appreciation                           </v>
      </c>
      <c r="C108" s="14"/>
      <c r="D108" s="1">
        <f>SUM(OSRRefD22_6x_0)</f>
        <v>0</v>
      </c>
      <c r="E108" s="1"/>
      <c r="F108" s="5">
        <f t="shared" si="29"/>
        <v>0</v>
      </c>
      <c r="G108" s="1"/>
      <c r="H108" s="1">
        <f>SUM(OSRRefH22_6x_0)</f>
        <v>150</v>
      </c>
      <c r="I108" s="1"/>
      <c r="J108" s="5">
        <f t="shared" si="30"/>
        <v>7.1398651993450366E-4</v>
      </c>
      <c r="K108" s="1"/>
      <c r="L108" s="1">
        <f t="shared" si="31"/>
        <v>-150</v>
      </c>
      <c r="M108" s="1"/>
      <c r="N108" s="5">
        <f t="shared" si="32"/>
        <v>-1</v>
      </c>
      <c r="O108" s="14"/>
      <c r="P108" s="1">
        <f>SUM(OSRRefP22_6x_0)</f>
        <v>0</v>
      </c>
      <c r="Q108" s="1"/>
      <c r="R108" s="5">
        <f t="shared" si="33"/>
        <v>0</v>
      </c>
      <c r="S108" s="1"/>
      <c r="T108" s="1">
        <f>SUM(OSRRefT22_6x_0)</f>
        <v>1050</v>
      </c>
      <c r="U108" s="1"/>
      <c r="V108" s="5">
        <f t="shared" si="34"/>
        <v>5.7386644979980257E-4</v>
      </c>
      <c r="W108" s="1"/>
      <c r="X108" s="1">
        <f t="shared" si="35"/>
        <v>-1050</v>
      </c>
      <c r="Y108" s="1"/>
      <c r="Z108" s="5">
        <f t="shared" si="36"/>
        <v>-1</v>
      </c>
    </row>
    <row r="109" spans="1:26" s="24" customFormat="1" hidden="1" outlineLevel="2" x14ac:dyDescent="0.35">
      <c r="A109" s="29"/>
      <c r="B109" s="11" t="str">
        <f>CONCATENATE("          ", "6277", " - ", "EMPLOYEE APPRECIATION")</f>
        <v xml:space="preserve">          6277 - EMPLOYEE APPRECIATION</v>
      </c>
      <c r="C109" s="11"/>
      <c r="D109" s="7"/>
      <c r="E109" s="2"/>
      <c r="F109" s="6">
        <f t="shared" si="29"/>
        <v>0</v>
      </c>
      <c r="G109" s="2"/>
      <c r="H109" s="7">
        <v>150</v>
      </c>
      <c r="I109" s="2"/>
      <c r="J109" s="6">
        <f t="shared" si="30"/>
        <v>7.1398651993450366E-4</v>
      </c>
      <c r="K109" s="2"/>
      <c r="L109" s="7">
        <f t="shared" si="31"/>
        <v>-150</v>
      </c>
      <c r="M109" s="2"/>
      <c r="N109" s="6">
        <f t="shared" si="32"/>
        <v>-1</v>
      </c>
      <c r="O109" s="11"/>
      <c r="P109" s="7"/>
      <c r="Q109" s="2"/>
      <c r="R109" s="6">
        <f t="shared" si="33"/>
        <v>0</v>
      </c>
      <c r="S109" s="2"/>
      <c r="T109" s="7">
        <v>1050</v>
      </c>
      <c r="U109" s="2"/>
      <c r="V109" s="6">
        <f t="shared" si="34"/>
        <v>5.7386644979980257E-4</v>
      </c>
      <c r="W109" s="2"/>
      <c r="X109" s="7">
        <f t="shared" si="35"/>
        <v>-1050</v>
      </c>
      <c r="Y109" s="2"/>
      <c r="Z109" s="6">
        <f t="shared" si="36"/>
        <v>-1</v>
      </c>
    </row>
    <row r="110" spans="1:26" s="28" customFormat="1" outlineLevel="1" collapsed="1" x14ac:dyDescent="0.35">
      <c r="A110" s="27"/>
      <c r="B110" s="14" t="str">
        <f>CONCATENATE("     ","Freight out/Postage                               ")</f>
        <v xml:space="preserve">     Freight out/Postage                               </v>
      </c>
      <c r="C110" s="14"/>
      <c r="D110" s="1">
        <f>SUM(OSRRefD22_7x_0)</f>
        <v>127.18</v>
      </c>
      <c r="E110" s="1"/>
      <c r="F110" s="5">
        <f t="shared" si="29"/>
        <v>8.9854921535203612E-4</v>
      </c>
      <c r="G110" s="1"/>
      <c r="H110" s="1">
        <f>SUM(OSRRefH22_7x_0)</f>
        <v>10</v>
      </c>
      <c r="I110" s="1"/>
      <c r="J110" s="5">
        <f t="shared" si="30"/>
        <v>4.7599101328966908E-5</v>
      </c>
      <c r="K110" s="1"/>
      <c r="L110" s="1">
        <f t="shared" si="31"/>
        <v>117.18</v>
      </c>
      <c r="M110" s="1"/>
      <c r="N110" s="5">
        <f t="shared" si="32"/>
        <v>11.718</v>
      </c>
      <c r="O110" s="14"/>
      <c r="P110" s="1">
        <f>SUM(OSRRefP22_7x_0)</f>
        <v>234.42</v>
      </c>
      <c r="Q110" s="1"/>
      <c r="R110" s="5">
        <f t="shared" si="33"/>
        <v>2.282253411850561E-4</v>
      </c>
      <c r="S110" s="1"/>
      <c r="T110" s="1">
        <f>SUM(OSRRefT22_7x_0)</f>
        <v>70</v>
      </c>
      <c r="U110" s="1"/>
      <c r="V110" s="5">
        <f t="shared" si="34"/>
        <v>3.8257763319986839E-5</v>
      </c>
      <c r="W110" s="1"/>
      <c r="X110" s="1">
        <f t="shared" si="35"/>
        <v>164.42</v>
      </c>
      <c r="Y110" s="1"/>
      <c r="Z110" s="5">
        <f t="shared" si="36"/>
        <v>2.3488571428571428</v>
      </c>
    </row>
    <row r="111" spans="1:26" s="24" customFormat="1" hidden="1" outlineLevel="2" x14ac:dyDescent="0.35">
      <c r="A111" s="29"/>
      <c r="B111" s="11" t="str">
        <f>CONCATENATE("          ", "6305", " - ", "FREIGHT OUT")</f>
        <v xml:space="preserve">          6305 - FREIGHT OUT</v>
      </c>
      <c r="C111" s="11"/>
      <c r="D111" s="7">
        <v>127.18</v>
      </c>
      <c r="E111" s="2"/>
      <c r="F111" s="6">
        <f t="shared" si="29"/>
        <v>8.9854921535203612E-4</v>
      </c>
      <c r="G111" s="2"/>
      <c r="H111" s="7"/>
      <c r="I111" s="2"/>
      <c r="J111" s="6">
        <f t="shared" si="30"/>
        <v>0</v>
      </c>
      <c r="K111" s="2"/>
      <c r="L111" s="7">
        <f t="shared" si="31"/>
        <v>127.18</v>
      </c>
      <c r="M111" s="2"/>
      <c r="N111" s="6">
        <f t="shared" si="32"/>
        <v>0</v>
      </c>
      <c r="O111" s="11"/>
      <c r="P111" s="7">
        <v>240.42</v>
      </c>
      <c r="Q111" s="2"/>
      <c r="R111" s="6">
        <f t="shared" si="33"/>
        <v>2.3406678836153567E-4</v>
      </c>
      <c r="S111" s="2"/>
      <c r="T111" s="7"/>
      <c r="U111" s="2"/>
      <c r="V111" s="6">
        <f t="shared" si="34"/>
        <v>0</v>
      </c>
      <c r="W111" s="2"/>
      <c r="X111" s="7">
        <f t="shared" si="35"/>
        <v>240.42</v>
      </c>
      <c r="Y111" s="2"/>
      <c r="Z111" s="6">
        <f t="shared" si="36"/>
        <v>0</v>
      </c>
    </row>
    <row r="112" spans="1:26" s="24" customFormat="1" hidden="1" outlineLevel="2" x14ac:dyDescent="0.35">
      <c r="A112" s="29"/>
      <c r="B112" s="11" t="str">
        <f>CONCATENATE("          ", "6307", " - ", "POSTAGE")</f>
        <v xml:space="preserve">          6307 - POSTAGE</v>
      </c>
      <c r="C112" s="11"/>
      <c r="D112" s="7"/>
      <c r="E112" s="2"/>
      <c r="F112" s="6">
        <f t="shared" si="29"/>
        <v>0</v>
      </c>
      <c r="G112" s="2"/>
      <c r="H112" s="7">
        <v>10</v>
      </c>
      <c r="I112" s="2"/>
      <c r="J112" s="6">
        <f t="shared" si="30"/>
        <v>4.7599101328966908E-5</v>
      </c>
      <c r="K112" s="2"/>
      <c r="L112" s="7">
        <f t="shared" si="31"/>
        <v>-10</v>
      </c>
      <c r="M112" s="2"/>
      <c r="N112" s="6">
        <f t="shared" si="32"/>
        <v>-1</v>
      </c>
      <c r="O112" s="11"/>
      <c r="P112" s="7">
        <v>-6</v>
      </c>
      <c r="Q112" s="2"/>
      <c r="R112" s="6">
        <f t="shared" si="33"/>
        <v>-5.8414471764795525E-6</v>
      </c>
      <c r="S112" s="2"/>
      <c r="T112" s="7">
        <v>70</v>
      </c>
      <c r="U112" s="2"/>
      <c r="V112" s="6">
        <f t="shared" si="34"/>
        <v>3.8257763319986839E-5</v>
      </c>
      <c r="W112" s="2"/>
      <c r="X112" s="7">
        <f t="shared" si="35"/>
        <v>-76</v>
      </c>
      <c r="Y112" s="2"/>
      <c r="Z112" s="6">
        <f t="shared" si="36"/>
        <v>-1.0857142857142856</v>
      </c>
    </row>
    <row r="113" spans="1:26" s="28" customFormat="1" outlineLevel="1" collapsed="1" x14ac:dyDescent="0.35">
      <c r="A113" s="27"/>
      <c r="B113" s="14" t="str">
        <f>CONCATENATE("     ","General                                           ")</f>
        <v xml:space="preserve">     General                                           </v>
      </c>
      <c r="C113" s="14"/>
      <c r="D113" s="1">
        <f>SUM(OSRRefD22_8x_0)</f>
        <v>0</v>
      </c>
      <c r="E113" s="1"/>
      <c r="F113" s="5">
        <f t="shared" ref="F113:F124" si="37">IF(D$12=0,0,D113/D$12)</f>
        <v>0</v>
      </c>
      <c r="G113" s="1"/>
      <c r="H113" s="1">
        <f>SUM(OSRRefH22_8x_0)</f>
        <v>500</v>
      </c>
      <c r="I113" s="1"/>
      <c r="J113" s="5">
        <f t="shared" ref="J113:J124" si="38">IF(H$12=0,0,H113/H$12)</f>
        <v>2.3799550664483455E-3</v>
      </c>
      <c r="K113" s="1"/>
      <c r="L113" s="1">
        <f t="shared" ref="L113:L124" si="39">+D113-H113</f>
        <v>-500</v>
      </c>
      <c r="M113" s="1"/>
      <c r="N113" s="5">
        <f t="shared" ref="N113:N124" si="40">IF(H113=0,0,L113/H113)</f>
        <v>-1</v>
      </c>
      <c r="O113" s="14"/>
      <c r="P113" s="1">
        <f>SUM(OSRRefP22_8x_0)</f>
        <v>0</v>
      </c>
      <c r="Q113" s="1"/>
      <c r="R113" s="5">
        <f t="shared" ref="R113:R124" si="41">IF(P$12=0,0,P113/P$12)</f>
        <v>0</v>
      </c>
      <c r="S113" s="1"/>
      <c r="T113" s="1">
        <f>SUM(OSRRefT22_8x_0)</f>
        <v>500</v>
      </c>
      <c r="U113" s="1"/>
      <c r="V113" s="5">
        <f t="shared" ref="V113:V124" si="42">IF(T$12=0,0,T113/T$12)</f>
        <v>2.7326973799990601E-4</v>
      </c>
      <c r="W113" s="1"/>
      <c r="X113" s="1">
        <f t="shared" ref="X113:X124" si="43">+P113-T113</f>
        <v>-500</v>
      </c>
      <c r="Y113" s="1"/>
      <c r="Z113" s="5">
        <f t="shared" ref="Z113:Z124" si="44">IF(T113=0,0,X113/T113)</f>
        <v>-1</v>
      </c>
    </row>
    <row r="114" spans="1:26" s="24" customFormat="1" hidden="1" outlineLevel="2" x14ac:dyDescent="0.35">
      <c r="A114" s="29"/>
      <c r="B114" s="11" t="str">
        <f>CONCATENATE("          ", "6279", " - ", "GENERAL EXPENSE")</f>
        <v xml:space="preserve">          6279 - GENERAL EXPENSE</v>
      </c>
      <c r="C114" s="11"/>
      <c r="D114" s="7"/>
      <c r="E114" s="2"/>
      <c r="F114" s="6">
        <f t="shared" si="37"/>
        <v>0</v>
      </c>
      <c r="G114" s="2"/>
      <c r="H114" s="7">
        <v>500</v>
      </c>
      <c r="I114" s="2"/>
      <c r="J114" s="6">
        <f t="shared" si="38"/>
        <v>2.3799550664483455E-3</v>
      </c>
      <c r="K114" s="2"/>
      <c r="L114" s="7">
        <f t="shared" si="39"/>
        <v>-500</v>
      </c>
      <c r="M114" s="2"/>
      <c r="N114" s="6">
        <f t="shared" si="40"/>
        <v>-1</v>
      </c>
      <c r="O114" s="11"/>
      <c r="P114" s="7"/>
      <c r="Q114" s="2"/>
      <c r="R114" s="6">
        <f t="shared" si="41"/>
        <v>0</v>
      </c>
      <c r="S114" s="2"/>
      <c r="T114" s="7">
        <v>500</v>
      </c>
      <c r="U114" s="2"/>
      <c r="V114" s="6">
        <f t="shared" si="42"/>
        <v>2.7326973799990601E-4</v>
      </c>
      <c r="W114" s="2"/>
      <c r="X114" s="7">
        <f t="shared" si="43"/>
        <v>-500</v>
      </c>
      <c r="Y114" s="2"/>
      <c r="Z114" s="6">
        <f t="shared" si="44"/>
        <v>-1</v>
      </c>
    </row>
    <row r="115" spans="1:26" s="28" customFormat="1" outlineLevel="1" collapsed="1" x14ac:dyDescent="0.35">
      <c r="A115" s="27"/>
      <c r="B115" s="14" t="str">
        <f>CONCATENATE("     ","Inventory Adjustment                              ")</f>
        <v xml:space="preserve">     Inventory Adjustment                              </v>
      </c>
      <c r="C115" s="14"/>
      <c r="D115" s="1">
        <f>SUM(OSRRefD22_9x_0)</f>
        <v>1000</v>
      </c>
      <c r="E115" s="1"/>
      <c r="F115" s="5">
        <f t="shared" si="37"/>
        <v>7.0651770353203028E-3</v>
      </c>
      <c r="G115" s="1"/>
      <c r="H115" s="1">
        <f>SUM(OSRRefH22_9x_0)</f>
        <v>1000</v>
      </c>
      <c r="I115" s="1"/>
      <c r="J115" s="5">
        <f t="shared" si="38"/>
        <v>4.7599101328966911E-3</v>
      </c>
      <c r="K115" s="1"/>
      <c r="L115" s="1">
        <f t="shared" si="39"/>
        <v>0</v>
      </c>
      <c r="M115" s="1"/>
      <c r="N115" s="5">
        <f t="shared" si="40"/>
        <v>0</v>
      </c>
      <c r="O115" s="14"/>
      <c r="P115" s="1">
        <f>SUM(OSRRefP22_9x_0)</f>
        <v>7000</v>
      </c>
      <c r="Q115" s="1"/>
      <c r="R115" s="5">
        <f t="shared" si="41"/>
        <v>6.8150217058928113E-3</v>
      </c>
      <c r="S115" s="1"/>
      <c r="T115" s="1">
        <f>SUM(OSRRefT22_9x_0)</f>
        <v>7000</v>
      </c>
      <c r="U115" s="1"/>
      <c r="V115" s="5">
        <f t="shared" si="42"/>
        <v>3.8257763319986841E-3</v>
      </c>
      <c r="W115" s="1"/>
      <c r="X115" s="1">
        <f t="shared" si="43"/>
        <v>0</v>
      </c>
      <c r="Y115" s="1"/>
      <c r="Z115" s="5">
        <f t="shared" si="44"/>
        <v>0</v>
      </c>
    </row>
    <row r="116" spans="1:26" s="24" customFormat="1" hidden="1" outlineLevel="2" x14ac:dyDescent="0.35">
      <c r="A116" s="29"/>
      <c r="B116" s="11" t="str">
        <f>CONCATENATE("          ", "6408", " - ", "INVENTORY ADJUSTMENT")</f>
        <v xml:space="preserve">          6408 - INVENTORY ADJUSTMENT</v>
      </c>
      <c r="C116" s="11"/>
      <c r="D116" s="7">
        <v>1000</v>
      </c>
      <c r="E116" s="2"/>
      <c r="F116" s="6">
        <f t="shared" si="37"/>
        <v>7.0651770353203028E-3</v>
      </c>
      <c r="G116" s="2"/>
      <c r="H116" s="7">
        <v>1000</v>
      </c>
      <c r="I116" s="2"/>
      <c r="J116" s="6">
        <f t="shared" si="38"/>
        <v>4.7599101328966911E-3</v>
      </c>
      <c r="K116" s="2"/>
      <c r="L116" s="7">
        <f t="shared" si="39"/>
        <v>0</v>
      </c>
      <c r="M116" s="2"/>
      <c r="N116" s="6">
        <f t="shared" si="40"/>
        <v>0</v>
      </c>
      <c r="O116" s="11"/>
      <c r="P116" s="7">
        <v>7000</v>
      </c>
      <c r="Q116" s="2"/>
      <c r="R116" s="6">
        <f t="shared" si="41"/>
        <v>6.8150217058928113E-3</v>
      </c>
      <c r="S116" s="2"/>
      <c r="T116" s="7">
        <v>7000</v>
      </c>
      <c r="U116" s="2"/>
      <c r="V116" s="6">
        <f t="shared" si="42"/>
        <v>3.8257763319986841E-3</v>
      </c>
      <c r="W116" s="2"/>
      <c r="X116" s="7">
        <f t="shared" si="43"/>
        <v>0</v>
      </c>
      <c r="Y116" s="2"/>
      <c r="Z116" s="6">
        <f t="shared" si="44"/>
        <v>0</v>
      </c>
    </row>
    <row r="117" spans="1:26" s="28" customFormat="1" outlineLevel="1" collapsed="1" x14ac:dyDescent="0.35">
      <c r="A117" s="27"/>
      <c r="B117" s="14" t="str">
        <f>CONCATENATE("     ","Professional Services                             ")</f>
        <v xml:space="preserve">     Professional Services                             </v>
      </c>
      <c r="C117" s="14"/>
      <c r="D117" s="1">
        <f>SUM(OSRRefD22_10x_0)</f>
        <v>0</v>
      </c>
      <c r="E117" s="1"/>
      <c r="F117" s="5">
        <f t="shared" si="37"/>
        <v>0</v>
      </c>
      <c r="G117" s="1"/>
      <c r="H117" s="1">
        <f>SUM(OSRRefH22_10x_0)</f>
        <v>250</v>
      </c>
      <c r="I117" s="1"/>
      <c r="J117" s="5">
        <f t="shared" si="38"/>
        <v>1.1899775332241728E-3</v>
      </c>
      <c r="K117" s="1"/>
      <c r="L117" s="1">
        <f t="shared" si="39"/>
        <v>-250</v>
      </c>
      <c r="M117" s="1"/>
      <c r="N117" s="5">
        <f t="shared" si="40"/>
        <v>-1</v>
      </c>
      <c r="O117" s="14"/>
      <c r="P117" s="1">
        <f>SUM(OSRRefP22_10x_0)</f>
        <v>0</v>
      </c>
      <c r="Q117" s="1"/>
      <c r="R117" s="5">
        <f t="shared" si="41"/>
        <v>0</v>
      </c>
      <c r="S117" s="1"/>
      <c r="T117" s="1">
        <f>SUM(OSRRefT22_10x_0)</f>
        <v>5500</v>
      </c>
      <c r="U117" s="1"/>
      <c r="V117" s="5">
        <f t="shared" si="42"/>
        <v>3.0059671179989661E-3</v>
      </c>
      <c r="W117" s="1"/>
      <c r="X117" s="1">
        <f t="shared" si="43"/>
        <v>-5500</v>
      </c>
      <c r="Y117" s="1"/>
      <c r="Z117" s="5">
        <f t="shared" si="44"/>
        <v>-1</v>
      </c>
    </row>
    <row r="118" spans="1:26" s="24" customFormat="1" hidden="1" outlineLevel="2" x14ac:dyDescent="0.35">
      <c r="A118" s="29"/>
      <c r="B118" s="11" t="str">
        <f>CONCATENATE("          ", "6336", " - ", "PROFESSIONAL SERVICES")</f>
        <v xml:space="preserve">          6336 - PROFESSIONAL SERVICES</v>
      </c>
      <c r="C118" s="11"/>
      <c r="D118" s="7"/>
      <c r="E118" s="2"/>
      <c r="F118" s="6">
        <f t="shared" si="37"/>
        <v>0</v>
      </c>
      <c r="G118" s="2"/>
      <c r="H118" s="7">
        <v>250</v>
      </c>
      <c r="I118" s="2"/>
      <c r="J118" s="6">
        <f t="shared" si="38"/>
        <v>1.1899775332241728E-3</v>
      </c>
      <c r="K118" s="2"/>
      <c r="L118" s="7">
        <f t="shared" si="39"/>
        <v>-250</v>
      </c>
      <c r="M118" s="2"/>
      <c r="N118" s="6">
        <f t="shared" si="40"/>
        <v>-1</v>
      </c>
      <c r="O118" s="11"/>
      <c r="P118" s="7"/>
      <c r="Q118" s="2"/>
      <c r="R118" s="6">
        <f t="shared" si="41"/>
        <v>0</v>
      </c>
      <c r="S118" s="2"/>
      <c r="T118" s="7">
        <v>5500</v>
      </c>
      <c r="U118" s="2"/>
      <c r="V118" s="6">
        <f t="shared" si="42"/>
        <v>3.0059671179989661E-3</v>
      </c>
      <c r="W118" s="2"/>
      <c r="X118" s="7">
        <f t="shared" si="43"/>
        <v>-5500</v>
      </c>
      <c r="Y118" s="2"/>
      <c r="Z118" s="6">
        <f t="shared" si="44"/>
        <v>-1</v>
      </c>
    </row>
    <row r="119" spans="1:26" s="28" customFormat="1" outlineLevel="1" collapsed="1" x14ac:dyDescent="0.35">
      <c r="A119" s="27"/>
      <c r="B119" s="14" t="str">
        <f>CONCATENATE("     ","Repair and Maintenance                            ")</f>
        <v xml:space="preserve">     Repair and Maintenance                            </v>
      </c>
      <c r="C119" s="14"/>
      <c r="D119" s="1">
        <f>SUM(OSRRefD22_11x_0)</f>
        <v>0</v>
      </c>
      <c r="E119" s="1"/>
      <c r="F119" s="5">
        <f t="shared" si="37"/>
        <v>0</v>
      </c>
      <c r="G119" s="1"/>
      <c r="H119" s="1">
        <f>SUM(OSRRefH22_11x_0)</f>
        <v>50</v>
      </c>
      <c r="I119" s="1"/>
      <c r="J119" s="5">
        <f t="shared" si="38"/>
        <v>2.3799550664483455E-4</v>
      </c>
      <c r="K119" s="1"/>
      <c r="L119" s="1">
        <f t="shared" si="39"/>
        <v>-50</v>
      </c>
      <c r="M119" s="1"/>
      <c r="N119" s="5">
        <f t="shared" si="40"/>
        <v>-1</v>
      </c>
      <c r="O119" s="14"/>
      <c r="P119" s="1">
        <f>SUM(OSRRefP22_11x_0)</f>
        <v>0</v>
      </c>
      <c r="Q119" s="1"/>
      <c r="R119" s="5">
        <f t="shared" si="41"/>
        <v>0</v>
      </c>
      <c r="S119" s="1"/>
      <c r="T119" s="1">
        <f>SUM(OSRRefT22_11x_0)</f>
        <v>850</v>
      </c>
      <c r="U119" s="1"/>
      <c r="V119" s="5">
        <f t="shared" si="42"/>
        <v>4.6455855459984018E-4</v>
      </c>
      <c r="W119" s="1"/>
      <c r="X119" s="1">
        <f t="shared" si="43"/>
        <v>-850</v>
      </c>
      <c r="Y119" s="1"/>
      <c r="Z119" s="5">
        <f t="shared" si="44"/>
        <v>-1</v>
      </c>
    </row>
    <row r="120" spans="1:26" s="24" customFormat="1" hidden="1" outlineLevel="2" x14ac:dyDescent="0.35">
      <c r="A120" s="29"/>
      <c r="B120" s="11" t="str">
        <f>CONCATENATE("          ", "6375", " - ", "OUTSIDE REPAIRS &amp; MAINTENANCE")</f>
        <v xml:space="preserve">          6375 - OUTSIDE REPAIRS &amp; MAINTENANCE</v>
      </c>
      <c r="C120" s="11"/>
      <c r="D120" s="7"/>
      <c r="E120" s="2"/>
      <c r="F120" s="6">
        <f t="shared" si="37"/>
        <v>0</v>
      </c>
      <c r="G120" s="2"/>
      <c r="H120" s="7">
        <v>50</v>
      </c>
      <c r="I120" s="2"/>
      <c r="J120" s="6">
        <f t="shared" si="38"/>
        <v>2.3799550664483455E-4</v>
      </c>
      <c r="K120" s="2"/>
      <c r="L120" s="7">
        <f t="shared" si="39"/>
        <v>-50</v>
      </c>
      <c r="M120" s="2"/>
      <c r="N120" s="6">
        <f t="shared" si="40"/>
        <v>-1</v>
      </c>
      <c r="O120" s="11"/>
      <c r="P120" s="7"/>
      <c r="Q120" s="2"/>
      <c r="R120" s="6">
        <f t="shared" si="41"/>
        <v>0</v>
      </c>
      <c r="S120" s="2"/>
      <c r="T120" s="7">
        <v>850</v>
      </c>
      <c r="U120" s="2"/>
      <c r="V120" s="6">
        <f t="shared" si="42"/>
        <v>4.6455855459984018E-4</v>
      </c>
      <c r="W120" s="2"/>
      <c r="X120" s="7">
        <f t="shared" si="43"/>
        <v>-850</v>
      </c>
      <c r="Y120" s="2"/>
      <c r="Z120" s="6">
        <f t="shared" si="44"/>
        <v>-1</v>
      </c>
    </row>
    <row r="121" spans="1:26" s="28" customFormat="1" outlineLevel="1" collapsed="1" x14ac:dyDescent="0.35">
      <c r="A121" s="27"/>
      <c r="B121" s="14" t="str">
        <f>CONCATENATE("     ","Royalty &amp; Commissions                             ")</f>
        <v xml:space="preserve">     Royalty &amp; Commissions                             </v>
      </c>
      <c r="C121" s="14"/>
      <c r="D121" s="1">
        <f>SUM(OSRRefD22_12x_0)</f>
        <v>7785.78</v>
      </c>
      <c r="E121" s="1"/>
      <c r="F121" s="5">
        <f t="shared" si="37"/>
        <v>5.5007914058056107E-2</v>
      </c>
      <c r="G121" s="1"/>
      <c r="H121" s="1">
        <f>SUM(OSRRefH22_12x_0)</f>
        <v>6271</v>
      </c>
      <c r="I121" s="1"/>
      <c r="J121" s="5">
        <f t="shared" si="38"/>
        <v>2.9849396443395147E-2</v>
      </c>
      <c r="K121" s="1"/>
      <c r="L121" s="1">
        <f t="shared" si="39"/>
        <v>1514.7799999999997</v>
      </c>
      <c r="M121" s="1"/>
      <c r="N121" s="5">
        <f t="shared" si="40"/>
        <v>0.24155318131079567</v>
      </c>
      <c r="O121" s="14"/>
      <c r="P121" s="1">
        <f>SUM(OSRRefP22_12x_0)</f>
        <v>26197.58</v>
      </c>
      <c r="Q121" s="1"/>
      <c r="R121" s="5">
        <f t="shared" si="41"/>
        <v>2.55052966202662E-2</v>
      </c>
      <c r="S121" s="1"/>
      <c r="T121" s="1">
        <f>SUM(OSRRefT22_12x_0)</f>
        <v>43897</v>
      </c>
      <c r="U121" s="1"/>
      <c r="V121" s="5">
        <f t="shared" si="42"/>
        <v>2.3991443377963748E-2</v>
      </c>
      <c r="W121" s="1"/>
      <c r="X121" s="1">
        <f t="shared" si="43"/>
        <v>-17699.419999999998</v>
      </c>
      <c r="Y121" s="1"/>
      <c r="Z121" s="5">
        <f t="shared" si="44"/>
        <v>-0.4032034079777661</v>
      </c>
    </row>
    <row r="122" spans="1:26" s="24" customFormat="1" hidden="1" outlineLevel="2" x14ac:dyDescent="0.35">
      <c r="A122" s="29"/>
      <c r="B122" s="11" t="str">
        <f>CONCATENATE("          ", "6252", " - ", "ROYALTY DUE CSTV")</f>
        <v xml:space="preserve">          6252 - ROYALTY DUE CSTV</v>
      </c>
      <c r="C122" s="11"/>
      <c r="D122" s="7"/>
      <c r="E122" s="2"/>
      <c r="F122" s="6">
        <f t="shared" si="37"/>
        <v>0</v>
      </c>
      <c r="G122" s="2"/>
      <c r="H122" s="7">
        <v>1085</v>
      </c>
      <c r="I122" s="2"/>
      <c r="J122" s="6">
        <f t="shared" si="38"/>
        <v>5.1645024941929093E-3</v>
      </c>
      <c r="K122" s="2"/>
      <c r="L122" s="7">
        <f t="shared" si="39"/>
        <v>-1085</v>
      </c>
      <c r="M122" s="2"/>
      <c r="N122" s="6">
        <f t="shared" si="40"/>
        <v>-1</v>
      </c>
      <c r="O122" s="11"/>
      <c r="P122" s="7"/>
      <c r="Q122" s="2"/>
      <c r="R122" s="6">
        <f t="shared" si="41"/>
        <v>0</v>
      </c>
      <c r="S122" s="2"/>
      <c r="T122" s="7">
        <v>7595</v>
      </c>
      <c r="U122" s="2"/>
      <c r="V122" s="6">
        <f t="shared" si="42"/>
        <v>4.1509673202185723E-3</v>
      </c>
      <c r="W122" s="2"/>
      <c r="X122" s="7">
        <f t="shared" si="43"/>
        <v>-7595</v>
      </c>
      <c r="Y122" s="2"/>
      <c r="Z122" s="6">
        <f t="shared" si="44"/>
        <v>-1</v>
      </c>
    </row>
    <row r="123" spans="1:26" s="24" customFormat="1" hidden="1" outlineLevel="2" x14ac:dyDescent="0.35">
      <c r="A123" s="29"/>
      <c r="B123" s="11" t="str">
        <f>CONCATENATE("          ", "6253", " - ", "ROYALTY DUE ATHLETICS-LRG")</f>
        <v xml:space="preserve">          6253 - ROYALTY DUE ATHLETICS-LRG</v>
      </c>
      <c r="C123" s="11"/>
      <c r="D123" s="7">
        <v>7785.78</v>
      </c>
      <c r="E123" s="2"/>
      <c r="F123" s="6">
        <f t="shared" si="37"/>
        <v>5.5007914058056107E-2</v>
      </c>
      <c r="G123" s="2"/>
      <c r="H123" s="7">
        <v>4037</v>
      </c>
      <c r="I123" s="2"/>
      <c r="J123" s="6">
        <f t="shared" si="38"/>
        <v>1.9215757206503942E-2</v>
      </c>
      <c r="K123" s="2"/>
      <c r="L123" s="7">
        <f t="shared" si="39"/>
        <v>3748.7799999999997</v>
      </c>
      <c r="M123" s="2"/>
      <c r="N123" s="6">
        <f t="shared" si="40"/>
        <v>0.92860540004954173</v>
      </c>
      <c r="O123" s="11"/>
      <c r="P123" s="7">
        <v>26197.58</v>
      </c>
      <c r="Q123" s="2"/>
      <c r="R123" s="6">
        <f t="shared" si="41"/>
        <v>2.55052966202662E-2</v>
      </c>
      <c r="S123" s="2"/>
      <c r="T123" s="7">
        <v>28259</v>
      </c>
      <c r="U123" s="2"/>
      <c r="V123" s="6">
        <f t="shared" si="42"/>
        <v>1.5444659052278688E-2</v>
      </c>
      <c r="W123" s="2"/>
      <c r="X123" s="7">
        <f t="shared" si="43"/>
        <v>-2061.4199999999983</v>
      </c>
      <c r="Y123" s="2"/>
      <c r="Z123" s="6">
        <f t="shared" si="44"/>
        <v>-7.2947379595880893E-2</v>
      </c>
    </row>
    <row r="124" spans="1:26" s="24" customFormat="1" hidden="1" outlineLevel="2" x14ac:dyDescent="0.35">
      <c r="A124" s="29"/>
      <c r="B124" s="11" t="str">
        <f>CONCATENATE("          ", "6254", " - ", "ROYALTY &amp; COMMISSIONS")</f>
        <v xml:space="preserve">          6254 - ROYALTY &amp; COMMISSIONS</v>
      </c>
      <c r="C124" s="11"/>
      <c r="D124" s="7"/>
      <c r="E124" s="2"/>
      <c r="F124" s="6">
        <f t="shared" si="37"/>
        <v>0</v>
      </c>
      <c r="G124" s="2"/>
      <c r="H124" s="7">
        <v>1149</v>
      </c>
      <c r="I124" s="2"/>
      <c r="J124" s="6">
        <f t="shared" si="38"/>
        <v>5.4691367426982981E-3</v>
      </c>
      <c r="K124" s="2"/>
      <c r="L124" s="7">
        <f t="shared" si="39"/>
        <v>-1149</v>
      </c>
      <c r="M124" s="2"/>
      <c r="N124" s="6">
        <f t="shared" si="40"/>
        <v>-1</v>
      </c>
      <c r="O124" s="11"/>
      <c r="P124" s="7"/>
      <c r="Q124" s="2"/>
      <c r="R124" s="6">
        <f t="shared" si="41"/>
        <v>0</v>
      </c>
      <c r="S124" s="2"/>
      <c r="T124" s="7">
        <v>8043</v>
      </c>
      <c r="U124" s="2"/>
      <c r="V124" s="6">
        <f t="shared" si="42"/>
        <v>4.3958170054664882E-3</v>
      </c>
      <c r="W124" s="2"/>
      <c r="X124" s="7">
        <f t="shared" si="43"/>
        <v>-8043</v>
      </c>
      <c r="Y124" s="2"/>
      <c r="Z124" s="6">
        <f t="shared" si="44"/>
        <v>-1</v>
      </c>
    </row>
    <row r="125" spans="1:26" s="28" customFormat="1" outlineLevel="1" collapsed="1" x14ac:dyDescent="0.35">
      <c r="A125" s="27"/>
      <c r="B125" s="14" t="str">
        <f>CONCATENATE("     ","Subscriptions &amp; Dues                              ")</f>
        <v xml:space="preserve">     Subscriptions &amp; Dues                              </v>
      </c>
      <c r="C125" s="14"/>
      <c r="D125" s="1">
        <f>SUM(OSRRefD22_13x_0)</f>
        <v>133.69999999999999</v>
      </c>
      <c r="E125" s="1"/>
      <c r="F125" s="5">
        <f t="shared" ref="F125:F127" si="45">IF(D$12=0,0,D125/D$12)</f>
        <v>9.4461416962232441E-4</v>
      </c>
      <c r="G125" s="1"/>
      <c r="H125" s="1">
        <f>SUM(OSRRefH22_13x_0)</f>
        <v>0</v>
      </c>
      <c r="I125" s="1"/>
      <c r="J125" s="5">
        <f t="shared" ref="J125:J127" si="46">IF(H$12=0,0,H125/H$12)</f>
        <v>0</v>
      </c>
      <c r="K125" s="1"/>
      <c r="L125" s="1">
        <f t="shared" ref="L125:L127" si="47">+D125-H125</f>
        <v>133.69999999999999</v>
      </c>
      <c r="M125" s="1"/>
      <c r="N125" s="5">
        <f t="shared" ref="N125:N127" si="48">IF(H125=0,0,L125/H125)</f>
        <v>0</v>
      </c>
      <c r="O125" s="14"/>
      <c r="P125" s="1">
        <f>SUM(OSRRefP22_13x_0)</f>
        <v>-231.57</v>
      </c>
      <c r="Q125" s="1"/>
      <c r="R125" s="5">
        <f t="shared" ref="R125:R127" si="49">IF(P$12=0,0,P125/P$12)</f>
        <v>-2.2545065377622834E-4</v>
      </c>
      <c r="S125" s="1"/>
      <c r="T125" s="1">
        <f>SUM(OSRRefT22_13x_0)</f>
        <v>1000</v>
      </c>
      <c r="U125" s="1"/>
      <c r="V125" s="5">
        <f t="shared" ref="V125:V127" si="50">IF(T$12=0,0,T125/T$12)</f>
        <v>5.4653947599981201E-4</v>
      </c>
      <c r="W125" s="1"/>
      <c r="X125" s="1">
        <f t="shared" ref="X125:X127" si="51">+P125-T125</f>
        <v>-1231.57</v>
      </c>
      <c r="Y125" s="1"/>
      <c r="Z125" s="5">
        <f t="shared" ref="Z125:Z127" si="52">IF(T125=0,0,X125/T125)</f>
        <v>-1.2315699999999998</v>
      </c>
    </row>
    <row r="126" spans="1:26" s="24" customFormat="1" hidden="1" outlineLevel="2" x14ac:dyDescent="0.35">
      <c r="A126" s="29"/>
      <c r="B126" s="11" t="str">
        <f>CONCATENATE("          ", "6258", " - ", "MEMBERSHIP DUES")</f>
        <v xml:space="preserve">          6258 - MEMBERSHIP DUES</v>
      </c>
      <c r="C126" s="11"/>
      <c r="D126" s="7">
        <v>133.69999999999999</v>
      </c>
      <c r="E126" s="2"/>
      <c r="F126" s="6">
        <f t="shared" si="45"/>
        <v>9.4461416962232441E-4</v>
      </c>
      <c r="G126" s="2"/>
      <c r="H126" s="7">
        <v>0</v>
      </c>
      <c r="I126" s="2"/>
      <c r="J126" s="6">
        <f t="shared" si="46"/>
        <v>0</v>
      </c>
      <c r="K126" s="2"/>
      <c r="L126" s="7">
        <f t="shared" si="47"/>
        <v>133.69999999999999</v>
      </c>
      <c r="M126" s="2"/>
      <c r="N126" s="6">
        <f t="shared" si="48"/>
        <v>0</v>
      </c>
      <c r="O126" s="11"/>
      <c r="P126" s="7">
        <v>-307.3</v>
      </c>
      <c r="Q126" s="2"/>
      <c r="R126" s="6">
        <f t="shared" si="49"/>
        <v>-2.9917945288869443E-4</v>
      </c>
      <c r="S126" s="2"/>
      <c r="T126" s="7">
        <v>1000</v>
      </c>
      <c r="U126" s="2"/>
      <c r="V126" s="6">
        <f t="shared" si="50"/>
        <v>5.4653947599981201E-4</v>
      </c>
      <c r="W126" s="2"/>
      <c r="X126" s="7">
        <f t="shared" si="51"/>
        <v>-1307.3</v>
      </c>
      <c r="Y126" s="2"/>
      <c r="Z126" s="6">
        <f t="shared" si="52"/>
        <v>-1.3072999999999999</v>
      </c>
    </row>
    <row r="127" spans="1:26" s="24" customFormat="1" hidden="1" outlineLevel="2" x14ac:dyDescent="0.35">
      <c r="A127" s="29"/>
      <c r="B127" s="11" t="str">
        <f>CONCATENATE("          ", "6275", " - ", "SUBSCRIPTIONS")</f>
        <v xml:space="preserve">          6275 - SUBSCRIPTIONS</v>
      </c>
      <c r="C127" s="11"/>
      <c r="D127" s="7"/>
      <c r="E127" s="2"/>
      <c r="F127" s="6">
        <f t="shared" si="45"/>
        <v>0</v>
      </c>
      <c r="G127" s="2"/>
      <c r="H127" s="7"/>
      <c r="I127" s="2"/>
      <c r="J127" s="6">
        <f t="shared" si="46"/>
        <v>0</v>
      </c>
      <c r="K127" s="2"/>
      <c r="L127" s="7">
        <f t="shared" si="47"/>
        <v>0</v>
      </c>
      <c r="M127" s="2"/>
      <c r="N127" s="6">
        <f t="shared" si="48"/>
        <v>0</v>
      </c>
      <c r="O127" s="11"/>
      <c r="P127" s="7">
        <v>75.73</v>
      </c>
      <c r="Q127" s="2"/>
      <c r="R127" s="6">
        <f t="shared" si="49"/>
        <v>7.3728799112466096E-5</v>
      </c>
      <c r="S127" s="2"/>
      <c r="T127" s="7">
        <v>0</v>
      </c>
      <c r="U127" s="2"/>
      <c r="V127" s="6">
        <f t="shared" si="50"/>
        <v>0</v>
      </c>
      <c r="W127" s="2"/>
      <c r="X127" s="7">
        <f t="shared" si="51"/>
        <v>75.73</v>
      </c>
      <c r="Y127" s="2"/>
      <c r="Z127" s="6">
        <f t="shared" si="52"/>
        <v>0</v>
      </c>
    </row>
    <row r="128" spans="1:26" s="28" customFormat="1" outlineLevel="1" collapsed="1" x14ac:dyDescent="0.35">
      <c r="A128" s="27"/>
      <c r="B128" s="14" t="str">
        <f>CONCATENATE("     ","Supplies                                          ")</f>
        <v xml:space="preserve">     Supplies                                          </v>
      </c>
      <c r="C128" s="14"/>
      <c r="D128" s="1">
        <f>SUM(OSRRefD22_14x_0)</f>
        <v>1606.65</v>
      </c>
      <c r="E128" s="1"/>
      <c r="F128" s="5">
        <f t="shared" ref="F128:F135" si="53">IF(D$12=0,0,D128/D$12)</f>
        <v>1.1351266683797365E-2</v>
      </c>
      <c r="G128" s="1"/>
      <c r="H128" s="1">
        <f>SUM(OSRRefH22_14x_0)</f>
        <v>450</v>
      </c>
      <c r="I128" s="1"/>
      <c r="J128" s="5">
        <f t="shared" ref="J128:J135" si="54">IF(H$12=0,0,H128/H$12)</f>
        <v>2.141959559803511E-3</v>
      </c>
      <c r="K128" s="1"/>
      <c r="L128" s="1">
        <f t="shared" ref="L128:L135" si="55">+D128-H128</f>
        <v>1156.6500000000001</v>
      </c>
      <c r="M128" s="1"/>
      <c r="N128" s="5">
        <f t="shared" ref="N128:N135" si="56">IF(H128=0,0,L128/H128)</f>
        <v>2.5703333333333336</v>
      </c>
      <c r="O128" s="14"/>
      <c r="P128" s="1">
        <f>SUM(OSRRefP22_14x_0)</f>
        <v>3297.9399999999996</v>
      </c>
      <c r="Q128" s="1"/>
      <c r="R128" s="5">
        <f t="shared" ref="R128:R135" si="57">IF(P$12=0,0,P128/P$12)</f>
        <v>3.2107903835331621E-3</v>
      </c>
      <c r="S128" s="1"/>
      <c r="T128" s="1">
        <f>SUM(OSRRefT22_14x_0)</f>
        <v>3150</v>
      </c>
      <c r="U128" s="1"/>
      <c r="V128" s="5">
        <f t="shared" ref="V128:V135" si="58">IF(T$12=0,0,T128/T$12)</f>
        <v>1.7215993493994077E-3</v>
      </c>
      <c r="W128" s="1"/>
      <c r="X128" s="1">
        <f t="shared" ref="X128:X135" si="59">+P128-T128</f>
        <v>147.9399999999996</v>
      </c>
      <c r="Y128" s="1"/>
      <c r="Z128" s="5">
        <f t="shared" ref="Z128:Z135" si="60">IF(T128=0,0,X128/T128)</f>
        <v>4.6965079365079238E-2</v>
      </c>
    </row>
    <row r="129" spans="1:26" s="24" customFormat="1" hidden="1" outlineLevel="2" x14ac:dyDescent="0.35">
      <c r="A129" s="29"/>
      <c r="B129" s="11" t="str">
        <f>CONCATENATE("          ", "6234", " - ", "EXPENDABLE SUPPLIES &amp; EQUIPMEN")</f>
        <v xml:space="preserve">          6234 - EXPENDABLE SUPPLIES &amp; EQUIPMEN</v>
      </c>
      <c r="C129" s="11"/>
      <c r="D129" s="7">
        <v>396.5</v>
      </c>
      <c r="E129" s="2"/>
      <c r="F129" s="6">
        <f t="shared" si="53"/>
        <v>2.8013426945045E-3</v>
      </c>
      <c r="G129" s="2"/>
      <c r="H129" s="7">
        <v>50</v>
      </c>
      <c r="I129" s="2"/>
      <c r="J129" s="6">
        <f t="shared" si="54"/>
        <v>2.3799550664483455E-4</v>
      </c>
      <c r="K129" s="2"/>
      <c r="L129" s="7">
        <f t="shared" si="55"/>
        <v>346.5</v>
      </c>
      <c r="M129" s="2"/>
      <c r="N129" s="6">
        <f t="shared" si="56"/>
        <v>6.93</v>
      </c>
      <c r="O129" s="11"/>
      <c r="P129" s="7">
        <v>396.5</v>
      </c>
      <c r="Q129" s="2"/>
      <c r="R129" s="6">
        <f t="shared" si="57"/>
        <v>3.8602230091235712E-4</v>
      </c>
      <c r="S129" s="2"/>
      <c r="T129" s="7">
        <v>350</v>
      </c>
      <c r="U129" s="2"/>
      <c r="V129" s="6">
        <f t="shared" si="58"/>
        <v>1.912888165999342E-4</v>
      </c>
      <c r="W129" s="2"/>
      <c r="X129" s="7">
        <f t="shared" si="59"/>
        <v>46.5</v>
      </c>
      <c r="Y129" s="2"/>
      <c r="Z129" s="6">
        <f t="shared" si="60"/>
        <v>0.13285714285714287</v>
      </c>
    </row>
    <row r="130" spans="1:26" s="24" customFormat="1" hidden="1" outlineLevel="2" x14ac:dyDescent="0.35">
      <c r="A130" s="29"/>
      <c r="B130" s="11" t="str">
        <f>CONCATENATE("          ", "6235", " - ", "COVID-19 EXPENSES")</f>
        <v xml:space="preserve">          6235 - COVID-19 EXPENSES</v>
      </c>
      <c r="C130" s="11"/>
      <c r="D130" s="7"/>
      <c r="E130" s="2"/>
      <c r="F130" s="6">
        <f t="shared" si="53"/>
        <v>0</v>
      </c>
      <c r="G130" s="2"/>
      <c r="H130" s="7">
        <v>100</v>
      </c>
      <c r="I130" s="2"/>
      <c r="J130" s="6">
        <f t="shared" si="54"/>
        <v>4.7599101328966911E-4</v>
      </c>
      <c r="K130" s="2"/>
      <c r="L130" s="7">
        <f t="shared" si="55"/>
        <v>-100</v>
      </c>
      <c r="M130" s="2"/>
      <c r="N130" s="6">
        <f t="shared" si="56"/>
        <v>-1</v>
      </c>
      <c r="O130" s="11"/>
      <c r="P130" s="7">
        <v>1026.43</v>
      </c>
      <c r="Q130" s="2"/>
      <c r="R130" s="6">
        <f t="shared" si="57"/>
        <v>9.9930610422565127E-4</v>
      </c>
      <c r="S130" s="2"/>
      <c r="T130" s="7">
        <v>700</v>
      </c>
      <c r="U130" s="2"/>
      <c r="V130" s="6">
        <f t="shared" si="58"/>
        <v>3.825776331998684E-4</v>
      </c>
      <c r="W130" s="2"/>
      <c r="X130" s="7">
        <f t="shared" si="59"/>
        <v>326.43000000000006</v>
      </c>
      <c r="Y130" s="2"/>
      <c r="Z130" s="6">
        <f t="shared" si="60"/>
        <v>0.46632857142857154</v>
      </c>
    </row>
    <row r="131" spans="1:26" s="24" customFormat="1" hidden="1" outlineLevel="2" x14ac:dyDescent="0.35">
      <c r="A131" s="29"/>
      <c r="B131" s="11" t="str">
        <f>CONCATENATE("          ", "6237", " - ", "JANITORIAL SUPPLIES")</f>
        <v xml:space="preserve">          6237 - JANITORIAL SUPPLIES</v>
      </c>
      <c r="C131" s="11"/>
      <c r="D131" s="7"/>
      <c r="E131" s="2"/>
      <c r="F131" s="6">
        <f t="shared" si="53"/>
        <v>0</v>
      </c>
      <c r="G131" s="2"/>
      <c r="H131" s="7">
        <v>50</v>
      </c>
      <c r="I131" s="2"/>
      <c r="J131" s="6">
        <f t="shared" si="54"/>
        <v>2.3799550664483455E-4</v>
      </c>
      <c r="K131" s="2"/>
      <c r="L131" s="7">
        <f t="shared" si="55"/>
        <v>-50</v>
      </c>
      <c r="M131" s="2"/>
      <c r="N131" s="6">
        <f t="shared" si="56"/>
        <v>-1</v>
      </c>
      <c r="O131" s="11"/>
      <c r="P131" s="7"/>
      <c r="Q131" s="2"/>
      <c r="R131" s="6">
        <f t="shared" si="57"/>
        <v>0</v>
      </c>
      <c r="S131" s="2"/>
      <c r="T131" s="7">
        <v>350</v>
      </c>
      <c r="U131" s="2"/>
      <c r="V131" s="6">
        <f t="shared" si="58"/>
        <v>1.912888165999342E-4</v>
      </c>
      <c r="W131" s="2"/>
      <c r="X131" s="7">
        <f t="shared" si="59"/>
        <v>-350</v>
      </c>
      <c r="Y131" s="2"/>
      <c r="Z131" s="6">
        <f t="shared" si="60"/>
        <v>-1</v>
      </c>
    </row>
    <row r="132" spans="1:26" s="24" customFormat="1" hidden="1" outlineLevel="2" x14ac:dyDescent="0.35">
      <c r="A132" s="29"/>
      <c r="B132" s="11" t="str">
        <f>CONCATENATE("          ", "6241", " - ", "OFFICE EXPENSE")</f>
        <v xml:space="preserve">          6241 - OFFICE EXPENSE</v>
      </c>
      <c r="C132" s="11"/>
      <c r="D132" s="7">
        <v>337.04</v>
      </c>
      <c r="E132" s="2"/>
      <c r="F132" s="6">
        <f t="shared" si="53"/>
        <v>2.3812472679843552E-3</v>
      </c>
      <c r="G132" s="2"/>
      <c r="H132" s="7">
        <v>100</v>
      </c>
      <c r="I132" s="2"/>
      <c r="J132" s="6">
        <f t="shared" si="54"/>
        <v>4.7599101328966911E-4</v>
      </c>
      <c r="K132" s="2"/>
      <c r="L132" s="7">
        <f t="shared" si="55"/>
        <v>237.04000000000002</v>
      </c>
      <c r="M132" s="2"/>
      <c r="N132" s="6">
        <f t="shared" si="56"/>
        <v>2.3704000000000001</v>
      </c>
      <c r="O132" s="11"/>
      <c r="P132" s="7">
        <v>808.44</v>
      </c>
      <c r="Q132" s="2"/>
      <c r="R132" s="6">
        <f t="shared" si="57"/>
        <v>7.8707659255885501E-4</v>
      </c>
      <c r="S132" s="2"/>
      <c r="T132" s="7">
        <v>700</v>
      </c>
      <c r="U132" s="2"/>
      <c r="V132" s="6">
        <f t="shared" si="58"/>
        <v>3.825776331998684E-4</v>
      </c>
      <c r="W132" s="2"/>
      <c r="X132" s="7">
        <f t="shared" si="59"/>
        <v>108.44000000000005</v>
      </c>
      <c r="Y132" s="2"/>
      <c r="Z132" s="6">
        <f t="shared" si="60"/>
        <v>0.15491428571428578</v>
      </c>
    </row>
    <row r="133" spans="1:26" s="24" customFormat="1" hidden="1" outlineLevel="2" x14ac:dyDescent="0.35">
      <c r="A133" s="29"/>
      <c r="B133" s="11" t="str">
        <f>CONCATENATE("          ", "6243", " - ", "PAPER SUPPLIES")</f>
        <v xml:space="preserve">          6243 - PAPER SUPPLIES</v>
      </c>
      <c r="C133" s="11"/>
      <c r="D133" s="7"/>
      <c r="E133" s="2"/>
      <c r="F133" s="6">
        <f t="shared" si="53"/>
        <v>0</v>
      </c>
      <c r="G133" s="2"/>
      <c r="H133" s="7">
        <v>50</v>
      </c>
      <c r="I133" s="2"/>
      <c r="J133" s="6">
        <f t="shared" si="54"/>
        <v>2.3799550664483455E-4</v>
      </c>
      <c r="K133" s="2"/>
      <c r="L133" s="7">
        <f t="shared" si="55"/>
        <v>-50</v>
      </c>
      <c r="M133" s="2"/>
      <c r="N133" s="6">
        <f t="shared" si="56"/>
        <v>-1</v>
      </c>
      <c r="O133" s="11"/>
      <c r="P133" s="7"/>
      <c r="Q133" s="2"/>
      <c r="R133" s="6">
        <f t="shared" si="57"/>
        <v>0</v>
      </c>
      <c r="S133" s="2"/>
      <c r="T133" s="7">
        <v>350</v>
      </c>
      <c r="U133" s="2"/>
      <c r="V133" s="6">
        <f t="shared" si="58"/>
        <v>1.912888165999342E-4</v>
      </c>
      <c r="W133" s="2"/>
      <c r="X133" s="7">
        <f t="shared" si="59"/>
        <v>-350</v>
      </c>
      <c r="Y133" s="2"/>
      <c r="Z133" s="6">
        <f t="shared" si="60"/>
        <v>-1</v>
      </c>
    </row>
    <row r="134" spans="1:26" s="24" customFormat="1" hidden="1" outlineLevel="2" x14ac:dyDescent="0.35">
      <c r="A134" s="29"/>
      <c r="B134" s="11" t="str">
        <f>CONCATENATE("          ", "6245", " - ", "PRINTING")</f>
        <v xml:space="preserve">          6245 - PRINTING</v>
      </c>
      <c r="C134" s="11"/>
      <c r="D134" s="7"/>
      <c r="E134" s="2"/>
      <c r="F134" s="6">
        <f t="shared" si="53"/>
        <v>0</v>
      </c>
      <c r="G134" s="2"/>
      <c r="H134" s="7">
        <v>50</v>
      </c>
      <c r="I134" s="2"/>
      <c r="J134" s="6">
        <f t="shared" si="54"/>
        <v>2.3799550664483455E-4</v>
      </c>
      <c r="K134" s="2"/>
      <c r="L134" s="7">
        <f t="shared" si="55"/>
        <v>-50</v>
      </c>
      <c r="M134" s="2"/>
      <c r="N134" s="6">
        <f t="shared" si="56"/>
        <v>-1</v>
      </c>
      <c r="O134" s="11"/>
      <c r="P134" s="7"/>
      <c r="Q134" s="2"/>
      <c r="R134" s="6">
        <f t="shared" si="57"/>
        <v>0</v>
      </c>
      <c r="S134" s="2"/>
      <c r="T134" s="7">
        <v>350</v>
      </c>
      <c r="U134" s="2"/>
      <c r="V134" s="6">
        <f t="shared" si="58"/>
        <v>1.912888165999342E-4</v>
      </c>
      <c r="W134" s="2"/>
      <c r="X134" s="7">
        <f t="shared" si="59"/>
        <v>-350</v>
      </c>
      <c r="Y134" s="2"/>
      <c r="Z134" s="6">
        <f t="shared" si="60"/>
        <v>-1</v>
      </c>
    </row>
    <row r="135" spans="1:26" s="24" customFormat="1" hidden="1" outlineLevel="2" x14ac:dyDescent="0.35">
      <c r="A135" s="29"/>
      <c r="B135" s="11" t="str">
        <f>CONCATENATE("          ", "6247", " - ", "STORE SUPPLIES")</f>
        <v xml:space="preserve">          6247 - STORE SUPPLIES</v>
      </c>
      <c r="C135" s="11"/>
      <c r="D135" s="7">
        <v>873.11</v>
      </c>
      <c r="E135" s="2"/>
      <c r="F135" s="6">
        <f t="shared" si="53"/>
        <v>6.16867672130851E-3</v>
      </c>
      <c r="G135" s="2"/>
      <c r="H135" s="7">
        <v>50</v>
      </c>
      <c r="I135" s="2"/>
      <c r="J135" s="6">
        <f t="shared" si="54"/>
        <v>2.3799550664483455E-4</v>
      </c>
      <c r="K135" s="2"/>
      <c r="L135" s="7">
        <f t="shared" si="55"/>
        <v>823.11</v>
      </c>
      <c r="M135" s="2"/>
      <c r="N135" s="6">
        <f t="shared" si="56"/>
        <v>16.462199999999999</v>
      </c>
      <c r="O135" s="11"/>
      <c r="P135" s="7">
        <v>1066.57</v>
      </c>
      <c r="Q135" s="2"/>
      <c r="R135" s="6">
        <f t="shared" si="57"/>
        <v>1.0383853858362993E-3</v>
      </c>
      <c r="S135" s="2"/>
      <c r="T135" s="7">
        <v>350</v>
      </c>
      <c r="U135" s="2"/>
      <c r="V135" s="6">
        <f t="shared" si="58"/>
        <v>1.912888165999342E-4</v>
      </c>
      <c r="W135" s="2"/>
      <c r="X135" s="7">
        <f t="shared" si="59"/>
        <v>716.56999999999994</v>
      </c>
      <c r="Y135" s="2"/>
      <c r="Z135" s="6">
        <f t="shared" si="60"/>
        <v>2.0473428571428571</v>
      </c>
    </row>
    <row r="136" spans="1:26" s="28" customFormat="1" outlineLevel="1" collapsed="1" x14ac:dyDescent="0.35">
      <c r="A136" s="27"/>
      <c r="B136" s="14" t="str">
        <f>CONCATENATE("     ","Telephone/Data Lines                              ")</f>
        <v xml:space="preserve">     Telephone/Data Lines                              </v>
      </c>
      <c r="C136" s="14"/>
      <c r="D136" s="1">
        <f>SUM(OSRRefD22_15x_0)</f>
        <v>106.61</v>
      </c>
      <c r="E136" s="1"/>
      <c r="F136" s="5">
        <f t="shared" ref="F136:F142" si="61">IF(D$12=0,0,D136/D$12)</f>
        <v>7.5321852373549751E-4</v>
      </c>
      <c r="G136" s="1"/>
      <c r="H136" s="1">
        <f>SUM(OSRRefH22_15x_0)</f>
        <v>600</v>
      </c>
      <c r="I136" s="1"/>
      <c r="J136" s="5">
        <f t="shared" ref="J136:J142" si="62">IF(H$12=0,0,H136/H$12)</f>
        <v>2.8559460797380146E-3</v>
      </c>
      <c r="K136" s="1"/>
      <c r="L136" s="1">
        <f t="shared" ref="L136:L142" si="63">+D136-H136</f>
        <v>-493.39</v>
      </c>
      <c r="M136" s="1"/>
      <c r="N136" s="5">
        <f t="shared" ref="N136:N142" si="64">IF(H136=0,0,L136/H136)</f>
        <v>-0.8223166666666667</v>
      </c>
      <c r="O136" s="14"/>
      <c r="P136" s="1">
        <f>SUM(OSRRefP22_15x_0)</f>
        <v>2670.59</v>
      </c>
      <c r="Q136" s="1"/>
      <c r="R136" s="5">
        <f t="shared" ref="R136:R142" si="65">IF(P$12=0,0,P136/P$12)</f>
        <v>2.6000184025057548E-3</v>
      </c>
      <c r="S136" s="1"/>
      <c r="T136" s="1">
        <f>SUM(OSRRefT22_15x_0)</f>
        <v>4200</v>
      </c>
      <c r="U136" s="1"/>
      <c r="V136" s="5">
        <f t="shared" ref="V136:V142" si="66">IF(T$12=0,0,T136/T$12)</f>
        <v>2.2954657991992103E-3</v>
      </c>
      <c r="W136" s="1"/>
      <c r="X136" s="1">
        <f t="shared" ref="X136:X142" si="67">+P136-T136</f>
        <v>-1529.4099999999999</v>
      </c>
      <c r="Y136" s="1"/>
      <c r="Z136" s="5">
        <f t="shared" ref="Z136:Z142" si="68">IF(T136=0,0,X136/T136)</f>
        <v>-0.36414523809523808</v>
      </c>
    </row>
    <row r="137" spans="1:26" s="24" customFormat="1" hidden="1" outlineLevel="2" x14ac:dyDescent="0.35">
      <c r="A137" s="29"/>
      <c r="B137" s="11" t="str">
        <f>CONCATENATE("          ", "6309", " - ", "TELEPHONE")</f>
        <v xml:space="preserve">          6309 - TELEPHONE</v>
      </c>
      <c r="C137" s="11"/>
      <c r="D137" s="7">
        <v>106.61</v>
      </c>
      <c r="E137" s="2"/>
      <c r="F137" s="6">
        <f t="shared" si="61"/>
        <v>7.5321852373549751E-4</v>
      </c>
      <c r="G137" s="2"/>
      <c r="H137" s="7">
        <v>600</v>
      </c>
      <c r="I137" s="2"/>
      <c r="J137" s="6">
        <f t="shared" si="62"/>
        <v>2.8559460797380146E-3</v>
      </c>
      <c r="K137" s="2"/>
      <c r="L137" s="7">
        <f t="shared" si="63"/>
        <v>-493.39</v>
      </c>
      <c r="M137" s="2"/>
      <c r="N137" s="6">
        <f t="shared" si="64"/>
        <v>-0.8223166666666667</v>
      </c>
      <c r="O137" s="11"/>
      <c r="P137" s="7">
        <v>2670.59</v>
      </c>
      <c r="Q137" s="2"/>
      <c r="R137" s="6">
        <f t="shared" si="65"/>
        <v>2.6000184025057548E-3</v>
      </c>
      <c r="S137" s="2"/>
      <c r="T137" s="7">
        <v>4200</v>
      </c>
      <c r="U137" s="2"/>
      <c r="V137" s="6">
        <f t="shared" si="66"/>
        <v>2.2954657991992103E-3</v>
      </c>
      <c r="W137" s="2"/>
      <c r="X137" s="7">
        <f t="shared" si="67"/>
        <v>-1529.4099999999999</v>
      </c>
      <c r="Y137" s="2"/>
      <c r="Z137" s="6">
        <f t="shared" si="68"/>
        <v>-0.36414523809523808</v>
      </c>
    </row>
    <row r="138" spans="1:26" s="28" customFormat="1" outlineLevel="1" collapsed="1" x14ac:dyDescent="0.35">
      <c r="A138" s="27"/>
      <c r="B138" s="14" t="str">
        <f>CONCATENATE("     ","Training                                          ")</f>
        <v xml:space="preserve">     Training                                          </v>
      </c>
      <c r="C138" s="14"/>
      <c r="D138" s="1">
        <f>SUM(OSRRefD22_16x_0)</f>
        <v>0</v>
      </c>
      <c r="E138" s="1"/>
      <c r="F138" s="5">
        <f t="shared" si="61"/>
        <v>0</v>
      </c>
      <c r="G138" s="1"/>
      <c r="H138" s="1">
        <f>SUM(OSRRefH22_16x_0)</f>
        <v>1800</v>
      </c>
      <c r="I138" s="1"/>
      <c r="J138" s="5">
        <f t="shared" si="62"/>
        <v>8.5678382392140439E-3</v>
      </c>
      <c r="K138" s="1"/>
      <c r="L138" s="1">
        <f t="shared" si="63"/>
        <v>-1800</v>
      </c>
      <c r="M138" s="1"/>
      <c r="N138" s="5">
        <f t="shared" si="64"/>
        <v>-1</v>
      </c>
      <c r="O138" s="14"/>
      <c r="P138" s="1">
        <f>SUM(OSRRefP22_16x_0)</f>
        <v>0</v>
      </c>
      <c r="Q138" s="1"/>
      <c r="R138" s="5">
        <f t="shared" si="65"/>
        <v>0</v>
      </c>
      <c r="S138" s="1"/>
      <c r="T138" s="1">
        <f>SUM(OSRRefT22_16x_0)</f>
        <v>3600</v>
      </c>
      <c r="U138" s="1"/>
      <c r="V138" s="5">
        <f t="shared" si="66"/>
        <v>1.9675421135993232E-3</v>
      </c>
      <c r="W138" s="1"/>
      <c r="X138" s="1">
        <f t="shared" si="67"/>
        <v>-3600</v>
      </c>
      <c r="Y138" s="1"/>
      <c r="Z138" s="5">
        <f t="shared" si="68"/>
        <v>-1</v>
      </c>
    </row>
    <row r="139" spans="1:26" s="24" customFormat="1" hidden="1" outlineLevel="2" x14ac:dyDescent="0.35">
      <c r="A139" s="29"/>
      <c r="B139" s="11" t="str">
        <f>CONCATENATE("          ", "6376", " - ", "TRAINING")</f>
        <v xml:space="preserve">          6376 - TRAINING</v>
      </c>
      <c r="C139" s="11"/>
      <c r="D139" s="7"/>
      <c r="E139" s="2"/>
      <c r="F139" s="6">
        <f t="shared" si="61"/>
        <v>0</v>
      </c>
      <c r="G139" s="2"/>
      <c r="H139" s="7">
        <v>1800</v>
      </c>
      <c r="I139" s="2"/>
      <c r="J139" s="6">
        <f t="shared" si="62"/>
        <v>8.5678382392140439E-3</v>
      </c>
      <c r="K139" s="2"/>
      <c r="L139" s="7">
        <f t="shared" si="63"/>
        <v>-1800</v>
      </c>
      <c r="M139" s="2"/>
      <c r="N139" s="6">
        <f t="shared" si="64"/>
        <v>-1</v>
      </c>
      <c r="O139" s="11"/>
      <c r="P139" s="7"/>
      <c r="Q139" s="2"/>
      <c r="R139" s="6">
        <f t="shared" si="65"/>
        <v>0</v>
      </c>
      <c r="S139" s="2"/>
      <c r="T139" s="7">
        <v>3600</v>
      </c>
      <c r="U139" s="2"/>
      <c r="V139" s="6">
        <f t="shared" si="66"/>
        <v>1.9675421135993232E-3</v>
      </c>
      <c r="W139" s="2"/>
      <c r="X139" s="7">
        <f t="shared" si="67"/>
        <v>-3600</v>
      </c>
      <c r="Y139" s="2"/>
      <c r="Z139" s="6">
        <f t="shared" si="68"/>
        <v>-1</v>
      </c>
    </row>
    <row r="140" spans="1:26" s="28" customFormat="1" outlineLevel="1" collapsed="1" x14ac:dyDescent="0.35">
      <c r="A140" s="27"/>
      <c r="B140" s="14" t="str">
        <f>CONCATENATE("     ","Travel                                            ")</f>
        <v xml:space="preserve">     Travel                                            </v>
      </c>
      <c r="C140" s="14"/>
      <c r="D140" s="1">
        <f>SUM(OSRRefD22_17x_0)</f>
        <v>69.92</v>
      </c>
      <c r="E140" s="1"/>
      <c r="F140" s="5">
        <f t="shared" si="61"/>
        <v>4.9399717830959553E-4</v>
      </c>
      <c r="G140" s="1"/>
      <c r="H140" s="1">
        <f>SUM(OSRRefH22_17x_0)</f>
        <v>25</v>
      </c>
      <c r="I140" s="1"/>
      <c r="J140" s="5">
        <f t="shared" si="62"/>
        <v>1.1899775332241728E-4</v>
      </c>
      <c r="K140" s="1"/>
      <c r="L140" s="1">
        <f t="shared" si="63"/>
        <v>44.92</v>
      </c>
      <c r="M140" s="1"/>
      <c r="N140" s="5">
        <f t="shared" si="64"/>
        <v>1.7968000000000002</v>
      </c>
      <c r="O140" s="14"/>
      <c r="P140" s="1">
        <f>SUM(OSRRefP22_17x_0)</f>
        <v>69.92</v>
      </c>
      <c r="Q140" s="1"/>
      <c r="R140" s="5">
        <f t="shared" si="65"/>
        <v>6.8072331096575051E-5</v>
      </c>
      <c r="S140" s="1"/>
      <c r="T140" s="1">
        <f>SUM(OSRRefT22_17x_0)</f>
        <v>175</v>
      </c>
      <c r="U140" s="1"/>
      <c r="V140" s="5">
        <f t="shared" si="66"/>
        <v>9.56444082999671E-5</v>
      </c>
      <c r="W140" s="1"/>
      <c r="X140" s="1">
        <f t="shared" si="67"/>
        <v>-105.08</v>
      </c>
      <c r="Y140" s="1"/>
      <c r="Z140" s="5">
        <f t="shared" si="68"/>
        <v>-0.6004571428571428</v>
      </c>
    </row>
    <row r="141" spans="1:26" s="24" customFormat="1" hidden="1" outlineLevel="2" x14ac:dyDescent="0.35">
      <c r="A141" s="29"/>
      <c r="B141" s="11" t="str">
        <f>CONCATENATE("          ", "6294", " - ", "TRAVEL OPERATIONAL")</f>
        <v xml:space="preserve">          6294 - TRAVEL OPERATIONAL</v>
      </c>
      <c r="C141" s="11"/>
      <c r="D141" s="7">
        <v>69.92</v>
      </c>
      <c r="E141" s="2"/>
      <c r="F141" s="6">
        <f t="shared" si="61"/>
        <v>4.9399717830959553E-4</v>
      </c>
      <c r="G141" s="2"/>
      <c r="H141" s="7">
        <v>25</v>
      </c>
      <c r="I141" s="2"/>
      <c r="J141" s="6">
        <f t="shared" si="62"/>
        <v>1.1899775332241728E-4</v>
      </c>
      <c r="K141" s="2"/>
      <c r="L141" s="7">
        <f t="shared" si="63"/>
        <v>44.92</v>
      </c>
      <c r="M141" s="2"/>
      <c r="N141" s="6">
        <f t="shared" si="64"/>
        <v>1.7968000000000002</v>
      </c>
      <c r="O141" s="11"/>
      <c r="P141" s="7">
        <v>69.92</v>
      </c>
      <c r="Q141" s="2"/>
      <c r="R141" s="6">
        <f t="shared" si="65"/>
        <v>6.8072331096575051E-5</v>
      </c>
      <c r="S141" s="2"/>
      <c r="T141" s="7">
        <v>175</v>
      </c>
      <c r="U141" s="2"/>
      <c r="V141" s="6">
        <f t="shared" si="66"/>
        <v>9.56444082999671E-5</v>
      </c>
      <c r="W141" s="2"/>
      <c r="X141" s="7">
        <f t="shared" si="67"/>
        <v>-105.08</v>
      </c>
      <c r="Y141" s="2"/>
      <c r="Z141" s="6">
        <f t="shared" si="68"/>
        <v>-0.6004571428571428</v>
      </c>
    </row>
    <row r="142" spans="1:26" s="24" customFormat="1" hidden="1" outlineLevel="2" x14ac:dyDescent="0.35">
      <c r="A142" s="29"/>
      <c r="B142" s="11" t="str">
        <f>CONCATENATE("          ", "6298", " - ", "VEHICLE MILEAGE")</f>
        <v xml:space="preserve">          6298 - VEHICLE MILEAGE</v>
      </c>
      <c r="C142" s="11"/>
      <c r="D142" s="7"/>
      <c r="E142" s="2"/>
      <c r="F142" s="6">
        <f t="shared" si="61"/>
        <v>0</v>
      </c>
      <c r="G142" s="2"/>
      <c r="H142" s="7">
        <v>0</v>
      </c>
      <c r="I142" s="2"/>
      <c r="J142" s="6">
        <f t="shared" si="62"/>
        <v>0</v>
      </c>
      <c r="K142" s="2"/>
      <c r="L142" s="7">
        <f t="shared" si="63"/>
        <v>0</v>
      </c>
      <c r="M142" s="2"/>
      <c r="N142" s="6">
        <f t="shared" si="64"/>
        <v>0</v>
      </c>
      <c r="O142" s="11"/>
      <c r="P142" s="7"/>
      <c r="Q142" s="2"/>
      <c r="R142" s="6">
        <f t="shared" si="65"/>
        <v>0</v>
      </c>
      <c r="S142" s="2"/>
      <c r="T142" s="7">
        <v>0</v>
      </c>
      <c r="U142" s="2"/>
      <c r="V142" s="6">
        <f t="shared" si="66"/>
        <v>0</v>
      </c>
      <c r="W142" s="2"/>
      <c r="X142" s="7">
        <f t="shared" si="67"/>
        <v>0</v>
      </c>
      <c r="Y142" s="2"/>
      <c r="Z142" s="6">
        <f t="shared" si="68"/>
        <v>0</v>
      </c>
    </row>
    <row r="143" spans="1:26" s="55" customFormat="1" x14ac:dyDescent="0.35">
      <c r="A143" s="36"/>
      <c r="B143" s="36"/>
      <c r="C143" s="36"/>
      <c r="D143" s="1"/>
      <c r="E143" s="1"/>
      <c r="F143" s="5"/>
      <c r="G143" s="1"/>
      <c r="H143" s="1"/>
      <c r="I143" s="1"/>
      <c r="J143" s="5"/>
      <c r="K143" s="1"/>
      <c r="L143" s="1"/>
      <c r="M143" s="1"/>
      <c r="N143" s="5"/>
      <c r="O143" s="36"/>
      <c r="P143" s="1"/>
      <c r="Q143" s="1"/>
      <c r="R143" s="5"/>
      <c r="S143" s="1"/>
      <c r="T143" s="1"/>
      <c r="U143" s="1"/>
      <c r="V143" s="5"/>
      <c r="W143" s="1"/>
      <c r="X143" s="1"/>
      <c r="Y143" s="1"/>
      <c r="Z143" s="5"/>
    </row>
    <row r="144" spans="1:26" s="23" customFormat="1" collapsed="1" x14ac:dyDescent="0.35">
      <c r="A144" s="10"/>
      <c r="B144" s="25" t="s">
        <v>0</v>
      </c>
      <c r="C144" s="10"/>
      <c r="D144" s="4">
        <f>SUM(OSRRefD25x_0)</f>
        <v>15571.57</v>
      </c>
      <c r="E144" s="4"/>
      <c r="F144" s="12">
        <f t="shared" ref="F144:F147" si="69">IF(D$12=0,0,D144/D$12)</f>
        <v>0.11001589876788256</v>
      </c>
      <c r="G144" s="4"/>
      <c r="H144" s="4">
        <f>SUM(OSRRefH25x_0)</f>
        <v>8075</v>
      </c>
      <c r="I144" s="4"/>
      <c r="J144" s="12">
        <f t="shared" ref="J144:J147" si="70">IF(H$12=0,0,H144/H$12)</f>
        <v>3.8436274323140777E-2</v>
      </c>
      <c r="K144" s="4"/>
      <c r="L144" s="4">
        <f t="shared" ref="L144:L147" si="71">+D144-H144</f>
        <v>7496.57</v>
      </c>
      <c r="M144" s="4"/>
      <c r="N144" s="12">
        <f t="shared" ref="N144:N147" si="72">IF(H144=0,0,L144/H144)</f>
        <v>0.92836780185758505</v>
      </c>
      <c r="O144" s="10"/>
      <c r="P144" s="4">
        <f>SUM(OSRRefP25x_0)</f>
        <v>221779.15</v>
      </c>
      <c r="Q144" s="4"/>
      <c r="R144" s="12">
        <f t="shared" ref="R144:R147" si="73">IF(P$12=0,0,P144/P$12)</f>
        <v>0.21591853159492252</v>
      </c>
      <c r="S144" s="4"/>
      <c r="T144" s="4">
        <f>SUM(OSRRefT25x_0)</f>
        <v>230145</v>
      </c>
      <c r="U144" s="4"/>
      <c r="V144" s="12">
        <f t="shared" ref="V144:V147" si="74">IF(T$12=0,0,T144/T$12)</f>
        <v>0.12578332770397674</v>
      </c>
      <c r="W144" s="4"/>
      <c r="X144" s="4">
        <f t="shared" ref="X144:X147" si="75">+P144-T144</f>
        <v>-8365.8500000000058</v>
      </c>
      <c r="Y144" s="4"/>
      <c r="Z144" s="12">
        <f t="shared" ref="Z144:Z147" si="76">IF(T144=0,0,X144/T144)</f>
        <v>-3.635034434812838E-2</v>
      </c>
    </row>
    <row r="145" spans="1:26" s="24" customFormat="1" hidden="1" outlineLevel="1" x14ac:dyDescent="0.35">
      <c r="A145" s="51"/>
      <c r="B145" s="11" t="str">
        <f>CONCATENATE("          ", "9150", " - ", "MISC. INCOME")</f>
        <v xml:space="preserve">          9150 - MISC. INCOME</v>
      </c>
      <c r="C145" s="11"/>
      <c r="D145" s="2">
        <f>--15571.57</f>
        <v>15571.57</v>
      </c>
      <c r="E145" s="2"/>
      <c r="F145" s="22">
        <f t="shared" si="69"/>
        <v>0.11001589876788256</v>
      </c>
      <c r="G145" s="2"/>
      <c r="H145" s="2">
        <v>8075</v>
      </c>
      <c r="I145" s="2"/>
      <c r="J145" s="22">
        <f t="shared" si="70"/>
        <v>3.8436274323140777E-2</v>
      </c>
      <c r="K145" s="2"/>
      <c r="L145" s="2">
        <f t="shared" si="71"/>
        <v>7496.57</v>
      </c>
      <c r="M145" s="2"/>
      <c r="N145" s="22">
        <f t="shared" si="72"/>
        <v>0.92836780185758505</v>
      </c>
      <c r="O145" s="11"/>
      <c r="P145" s="2">
        <f>--46373.31</f>
        <v>46373.31</v>
      </c>
      <c r="Q145" s="2"/>
      <c r="R145" s="22">
        <f t="shared" si="73"/>
        <v>4.5147873460585165E-2</v>
      </c>
      <c r="S145" s="2"/>
      <c r="T145" s="2">
        <v>56525</v>
      </c>
      <c r="U145" s="2"/>
      <c r="V145" s="22">
        <f t="shared" si="74"/>
        <v>3.0893143880889373E-2</v>
      </c>
      <c r="W145" s="2"/>
      <c r="X145" s="2">
        <f t="shared" si="75"/>
        <v>-10151.690000000002</v>
      </c>
      <c r="Y145" s="2"/>
      <c r="Z145" s="22">
        <f t="shared" si="76"/>
        <v>-0.17959646174259181</v>
      </c>
    </row>
    <row r="146" spans="1:26" s="24" customFormat="1" hidden="1" outlineLevel="1" x14ac:dyDescent="0.35">
      <c r="A146" s="51"/>
      <c r="B146" s="11" t="str">
        <f>CONCATENATE("          ", "9151", " - ", "MISC. INCOME")</f>
        <v xml:space="preserve">          9151 - MISC. INCOME</v>
      </c>
      <c r="C146" s="11"/>
      <c r="D146" s="2">
        <f t="shared" ref="D146:D147" si="77">0</f>
        <v>0</v>
      </c>
      <c r="E146" s="2"/>
      <c r="F146" s="22">
        <f t="shared" si="69"/>
        <v>0</v>
      </c>
      <c r="G146" s="2"/>
      <c r="H146" s="2">
        <v>0</v>
      </c>
      <c r="I146" s="2"/>
      <c r="J146" s="22">
        <f t="shared" si="70"/>
        <v>0</v>
      </c>
      <c r="K146" s="2"/>
      <c r="L146" s="2">
        <f t="shared" si="71"/>
        <v>0</v>
      </c>
      <c r="M146" s="2"/>
      <c r="N146" s="22">
        <f t="shared" si="72"/>
        <v>0</v>
      </c>
      <c r="O146" s="11"/>
      <c r="P146" s="2">
        <f>0</f>
        <v>0</v>
      </c>
      <c r="Q146" s="2"/>
      <c r="R146" s="22">
        <f t="shared" si="73"/>
        <v>0</v>
      </c>
      <c r="S146" s="2"/>
      <c r="T146" s="2">
        <v>173620</v>
      </c>
      <c r="U146" s="2"/>
      <c r="V146" s="22">
        <f t="shared" si="74"/>
        <v>9.4890183823087351E-2</v>
      </c>
      <c r="W146" s="2"/>
      <c r="X146" s="2">
        <f t="shared" si="75"/>
        <v>-173620</v>
      </c>
      <c r="Y146" s="2"/>
      <c r="Z146" s="22">
        <f t="shared" si="76"/>
        <v>-1</v>
      </c>
    </row>
    <row r="147" spans="1:26" s="24" customFormat="1" hidden="1" outlineLevel="1" x14ac:dyDescent="0.35">
      <c r="A147" s="51"/>
      <c r="B147" s="11" t="str">
        <f>CONCATENATE("          ", "9163", " - ", "MISC. INCOME")</f>
        <v xml:space="preserve">          9163 - MISC. INCOME</v>
      </c>
      <c r="C147" s="11"/>
      <c r="D147" s="2">
        <f t="shared" si="77"/>
        <v>0</v>
      </c>
      <c r="E147" s="2"/>
      <c r="F147" s="22">
        <f t="shared" si="69"/>
        <v>0</v>
      </c>
      <c r="G147" s="2"/>
      <c r="H147" s="2"/>
      <c r="I147" s="2"/>
      <c r="J147" s="22">
        <f t="shared" si="70"/>
        <v>0</v>
      </c>
      <c r="K147" s="2"/>
      <c r="L147" s="2">
        <f t="shared" si="71"/>
        <v>0</v>
      </c>
      <c r="M147" s="2"/>
      <c r="N147" s="22">
        <f t="shared" si="72"/>
        <v>0</v>
      </c>
      <c r="O147" s="11"/>
      <c r="P147" s="2">
        <f>--175405.84</f>
        <v>175405.84</v>
      </c>
      <c r="Q147" s="2"/>
      <c r="R147" s="22">
        <f t="shared" si="73"/>
        <v>0.17077065813433737</v>
      </c>
      <c r="S147" s="2"/>
      <c r="T147" s="2"/>
      <c r="U147" s="2"/>
      <c r="V147" s="22">
        <f t="shared" si="74"/>
        <v>0</v>
      </c>
      <c r="W147" s="2"/>
      <c r="X147" s="2">
        <f t="shared" si="75"/>
        <v>175405.84</v>
      </c>
      <c r="Y147" s="2"/>
      <c r="Z147" s="22">
        <f t="shared" si="76"/>
        <v>0</v>
      </c>
    </row>
    <row r="148" spans="1:26" x14ac:dyDescent="0.35">
      <c r="A148" s="9"/>
      <c r="B148" s="10"/>
      <c r="C148" s="10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O148" s="10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3" customFormat="1" x14ac:dyDescent="0.35">
      <c r="A149" s="10"/>
      <c r="B149" s="26" t="s">
        <v>3</v>
      </c>
      <c r="C149" s="26"/>
      <c r="D149" s="19">
        <f>+D76-D78+D144</f>
        <v>25487.780000000042</v>
      </c>
      <c r="E149" s="13"/>
      <c r="F149" s="21">
        <f>IF(D$12=0,0,D149/D$12)</f>
        <v>0.1800756779372964</v>
      </c>
      <c r="G149" s="13"/>
      <c r="H149" s="19">
        <f>+H76-H78+H144</f>
        <v>14077.637991653843</v>
      </c>
      <c r="I149" s="13"/>
      <c r="J149" s="21">
        <f>IF(H$12=0,0,H149/H$12)</f>
        <v>6.700829172372455E-2</v>
      </c>
      <c r="K149" s="16"/>
      <c r="L149" s="19">
        <f>+D149-H149</f>
        <v>11410.1420083462</v>
      </c>
      <c r="M149" s="16"/>
      <c r="N149" s="21">
        <f>IF(H149=0,0,L149/H149)</f>
        <v>0.81051537304133614</v>
      </c>
      <c r="O149" s="25"/>
      <c r="P149" s="19">
        <f>+P76-P78+P144</f>
        <v>306972.76</v>
      </c>
      <c r="Q149" s="13"/>
      <c r="R149" s="21">
        <f>IF(P$12=0,0,P149/P$12)</f>
        <v>0.29886086035968923</v>
      </c>
      <c r="S149" s="13"/>
      <c r="T149" s="19">
        <f>+T76-T78+T144</f>
        <v>516779.9240466539</v>
      </c>
      <c r="U149" s="13"/>
      <c r="V149" s="21">
        <f>IF(T$12=0,0,T149/T$12)</f>
        <v>0.28244062889568089</v>
      </c>
      <c r="W149" s="16"/>
      <c r="X149" s="19">
        <f>+P149-T149</f>
        <v>-209807.1640466539</v>
      </c>
      <c r="Y149" s="16"/>
      <c r="Z149" s="21">
        <f>IF(T149=0,0,X149/T149)</f>
        <v>-0.40598938597257295</v>
      </c>
    </row>
    <row r="150" spans="1:26" x14ac:dyDescent="0.35">
      <c r="A150" s="9"/>
      <c r="B150" s="10"/>
      <c r="C150" s="9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s="23" customFormat="1" x14ac:dyDescent="0.35">
      <c r="A151" s="52"/>
      <c r="B151" s="10" t="s">
        <v>14</v>
      </c>
      <c r="C151" s="10"/>
      <c r="D151" s="4">
        <v>16861.57</v>
      </c>
      <c r="E151" s="4"/>
      <c r="F151" s="12">
        <f>IF(D$12=0,0,D151/D$12)</f>
        <v>0.11912997714344575</v>
      </c>
      <c r="G151" s="4"/>
      <c r="H151" s="4">
        <v>10304</v>
      </c>
      <c r="I151" s="4"/>
      <c r="J151" s="12">
        <f>IF(H$12=0,0,H151/H$12)</f>
        <v>4.9046114009367502E-2</v>
      </c>
      <c r="K151" s="4"/>
      <c r="L151" s="4">
        <f>+D151-H151</f>
        <v>6557.57</v>
      </c>
      <c r="M151" s="4"/>
      <c r="N151" s="12">
        <f>IF(H151=0,0,L151/H151)</f>
        <v>0.63641013198757757</v>
      </c>
      <c r="O151" s="10"/>
      <c r="P151" s="4">
        <v>186453.58000000002</v>
      </c>
      <c r="Q151" s="4"/>
      <c r="R151" s="12">
        <f>IF(P$12=0,0,P151/P$12)</f>
        <v>0.18152645640591741</v>
      </c>
      <c r="S151" s="4"/>
      <c r="T151" s="4">
        <v>317529</v>
      </c>
      <c r="U151" s="4"/>
      <c r="V151" s="12">
        <f>IF(T$12=0,0,T151/T$12)</f>
        <v>0.1735421332747443</v>
      </c>
      <c r="W151" s="4"/>
      <c r="X151" s="4">
        <f>+P151-T151</f>
        <v>-131075.41999999998</v>
      </c>
      <c r="Y151" s="4"/>
      <c r="Z151" s="12">
        <f>IF(T151=0,0,X151/T151)</f>
        <v>-0.41279826409556286</v>
      </c>
    </row>
    <row r="152" spans="1:26" x14ac:dyDescent="0.35">
      <c r="A152" s="9"/>
      <c r="B152" s="10"/>
      <c r="C152" s="10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O152" s="10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s="23" customFormat="1" ht="15" thickBot="1" x14ac:dyDescent="0.4">
      <c r="A153" s="10"/>
      <c r="B153" s="26" t="s">
        <v>4</v>
      </c>
      <c r="C153" s="26"/>
      <c r="D153" s="33">
        <f>+D149-D151</f>
        <v>8626.2100000000428</v>
      </c>
      <c r="E153" s="13"/>
      <c r="F153" s="31">
        <f>IF(D$12=0,0,D153/D$12)</f>
        <v>6.094570079385065E-2</v>
      </c>
      <c r="G153" s="13"/>
      <c r="H153" s="33">
        <f>+H149-H151</f>
        <v>3773.6379916538426</v>
      </c>
      <c r="I153" s="13"/>
      <c r="J153" s="31">
        <f>IF(H$12=0,0,H153/H$12)</f>
        <v>1.7962177714357045E-2</v>
      </c>
      <c r="K153" s="16"/>
      <c r="L153" s="33">
        <f>D153-H153</f>
        <v>4852.5720083462002</v>
      </c>
      <c r="M153" s="16"/>
      <c r="N153" s="31">
        <f>IF(H153=0,0,L153/H153)</f>
        <v>1.2859134922530027</v>
      </c>
      <c r="O153" s="25"/>
      <c r="P153" s="33">
        <f>+P149-P151</f>
        <v>120519.18</v>
      </c>
      <c r="Q153" s="13"/>
      <c r="R153" s="31">
        <f>IF(P$12=0,0,P153/P$12)</f>
        <v>0.11733440395377182</v>
      </c>
      <c r="S153" s="13"/>
      <c r="T153" s="33">
        <f>+T149-T151</f>
        <v>199250.9240466539</v>
      </c>
      <c r="U153" s="13"/>
      <c r="V153" s="31">
        <f>IF(T$12=0,0,T153/T$12)</f>
        <v>0.10889849562093656</v>
      </c>
      <c r="W153" s="16"/>
      <c r="X153" s="33">
        <f>P153-T153</f>
        <v>-78731.744046653912</v>
      </c>
      <c r="Y153" s="16"/>
      <c r="Z153" s="31">
        <f>IF(T153=0,0,X153/T153)</f>
        <v>-0.39513866459268793</v>
      </c>
    </row>
    <row r="154" spans="1:26" ht="15" thickTop="1" x14ac:dyDescent="0.35">
      <c r="A154" s="9"/>
      <c r="B154" s="9"/>
      <c r="C154" s="9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x14ac:dyDescent="0.35">
      <c r="A155" s="9"/>
      <c r="B155" s="9"/>
      <c r="C155" s="9"/>
      <c r="D155" s="3"/>
      <c r="E155" s="3"/>
      <c r="F155" s="8"/>
      <c r="G155" s="3"/>
      <c r="H155" s="3"/>
      <c r="I155" s="3"/>
      <c r="J155" s="8"/>
      <c r="K155" s="3"/>
      <c r="L155" s="3"/>
      <c r="M155" s="3"/>
      <c r="N155" s="8"/>
      <c r="P155" s="3"/>
      <c r="Q155" s="3"/>
      <c r="R155" s="8"/>
      <c r="S155" s="3"/>
      <c r="T155" s="3"/>
      <c r="U155" s="3"/>
      <c r="V155" s="8"/>
      <c r="W155" s="3"/>
      <c r="X155" s="3"/>
      <c r="Y155" s="3"/>
      <c r="Z155" s="8"/>
    </row>
    <row r="156" spans="1:26" s="23" customFormat="1" ht="15" thickBot="1" x14ac:dyDescent="0.4">
      <c r="A156" s="10"/>
      <c r="B156" s="26" t="s">
        <v>5</v>
      </c>
      <c r="C156" s="26"/>
      <c r="D156" s="34">
        <f>SUM(D153:D155)</f>
        <v>8626.2100000000428</v>
      </c>
      <c r="E156" s="13"/>
      <c r="F156" s="32">
        <f>IF(D$12=0,0,D156/D$12)</f>
        <v>6.094570079385065E-2</v>
      </c>
      <c r="G156" s="13"/>
      <c r="H156" s="34">
        <f>SUM(H153:H155)</f>
        <v>3773.6379916538426</v>
      </c>
      <c r="I156" s="13"/>
      <c r="J156" s="32">
        <f>IF(H$12=0,0,H156/H$12)</f>
        <v>1.7962177714357045E-2</v>
      </c>
      <c r="K156" s="16"/>
      <c r="L156" s="34">
        <f>+D156-H156</f>
        <v>4852.5720083462002</v>
      </c>
      <c r="M156" s="16"/>
      <c r="N156" s="32">
        <f>IF(H156=0,0,L156/H156)</f>
        <v>1.2859134922530027</v>
      </c>
      <c r="O156" s="25"/>
      <c r="P156" s="34">
        <f>SUM(P153:P155)</f>
        <v>120519.18</v>
      </c>
      <c r="Q156" s="13"/>
      <c r="R156" s="32">
        <f>IF(P$12=0,0,P156/P$12)</f>
        <v>0.11733440395377182</v>
      </c>
      <c r="S156" s="13"/>
      <c r="T156" s="34">
        <f>SUM(T153:T155)</f>
        <v>199250.9240466539</v>
      </c>
      <c r="U156" s="13"/>
      <c r="V156" s="32">
        <f>IF(T$12=0,0,T156/T$12)</f>
        <v>0.10889849562093656</v>
      </c>
      <c r="W156" s="16"/>
      <c r="X156" s="34">
        <f>+P156-T156</f>
        <v>-78731.744046653912</v>
      </c>
      <c r="Y156" s="16"/>
      <c r="Z156" s="32">
        <f>IF(T156=0,0,X156/T156)</f>
        <v>-0.39513866459268793</v>
      </c>
    </row>
    <row r="157" spans="1:26" ht="15" thickTop="1" x14ac:dyDescent="0.35">
      <c r="A157" s="9"/>
      <c r="C157" s="9"/>
      <c r="D157" s="18"/>
      <c r="E157" s="18"/>
      <c r="G157" s="18"/>
      <c r="H157" s="18"/>
      <c r="I157" s="18"/>
      <c r="J157" s="43"/>
      <c r="K157" s="18"/>
      <c r="L157" s="18"/>
      <c r="M157" s="18"/>
      <c r="P157" s="18"/>
      <c r="Q157" s="18"/>
      <c r="R157" s="43"/>
      <c r="S157" s="18"/>
      <c r="T157" s="18"/>
      <c r="U157" s="18"/>
      <c r="V157" s="43"/>
      <c r="W157" s="18"/>
      <c r="X157" s="18"/>
    </row>
    <row r="158" spans="1:26" x14ac:dyDescent="0.35">
      <c r="A158" s="9"/>
      <c r="B158" s="60">
        <v>44238.490491122684</v>
      </c>
      <c r="D158" s="18"/>
      <c r="E158" s="18"/>
      <c r="G158" s="18"/>
      <c r="H158" s="18"/>
      <c r="I158" s="18"/>
      <c r="J158" s="43"/>
      <c r="K158" s="18"/>
      <c r="L158" s="18"/>
      <c r="M158" s="18"/>
      <c r="P158" s="18"/>
      <c r="Q158" s="18"/>
      <c r="R158" s="43"/>
      <c r="S158" s="18"/>
      <c r="T158" s="18"/>
      <c r="U158" s="18"/>
      <c r="V158" s="43"/>
      <c r="W158" s="18"/>
      <c r="X158" s="18"/>
    </row>
    <row r="159" spans="1:26" x14ac:dyDescent="0.35">
      <c r="A159" s="9"/>
      <c r="B159" s="59" t="s">
        <v>314</v>
      </c>
      <c r="D159" s="18"/>
      <c r="E159" s="18"/>
      <c r="G159" s="18"/>
      <c r="H159" s="18"/>
      <c r="I159" s="18"/>
      <c r="J159" s="43"/>
      <c r="K159" s="18"/>
      <c r="L159" s="18"/>
      <c r="M159" s="18"/>
      <c r="P159" s="18"/>
      <c r="Q159" s="18"/>
      <c r="R159" s="43"/>
      <c r="S159" s="18"/>
      <c r="T159" s="18"/>
      <c r="U159" s="18"/>
      <c r="V159" s="43"/>
      <c r="W159" s="18"/>
      <c r="X159" s="18"/>
    </row>
    <row r="160" spans="1:26" x14ac:dyDescent="0.35">
      <c r="A160" s="9"/>
      <c r="B160" s="58"/>
      <c r="D160" s="18"/>
      <c r="E160" s="18"/>
      <c r="G160" s="18"/>
      <c r="H160" s="18"/>
      <c r="I160" s="18"/>
      <c r="J160" s="43"/>
      <c r="K160" s="18"/>
      <c r="L160" s="18"/>
      <c r="M160" s="18"/>
      <c r="P160" s="18"/>
      <c r="Q160" s="18"/>
      <c r="R160" s="43"/>
      <c r="S160" s="18"/>
      <c r="T160" s="18"/>
      <c r="U160" s="18"/>
      <c r="V160" s="43"/>
      <c r="W160" s="18"/>
      <c r="X160" s="18"/>
    </row>
    <row r="161" spans="4:24" x14ac:dyDescent="0.35">
      <c r="D161" s="18"/>
      <c r="E161" s="18"/>
      <c r="G161" s="18"/>
      <c r="H161" s="18"/>
      <c r="I161" s="18"/>
      <c r="J161" s="43"/>
      <c r="K161" s="18"/>
      <c r="L161" s="18"/>
      <c r="M161" s="18"/>
      <c r="P161" s="18"/>
      <c r="Q161" s="18"/>
      <c r="R161" s="43"/>
      <c r="S161" s="18"/>
      <c r="T161" s="18"/>
      <c r="U161" s="18"/>
      <c r="V161" s="43"/>
      <c r="W161" s="18"/>
      <c r="X161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299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","326", " - ", "2nd Street Store")</f>
        <v>Department 326 - 2nd Street Store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18753.109999999997</v>
      </c>
      <c r="E12" s="4"/>
      <c r="F12" s="12"/>
      <c r="G12" s="4"/>
      <c r="H12" s="4">
        <f>SUM(OSRRefH13x_0)</f>
        <v>71270</v>
      </c>
      <c r="I12" s="4"/>
      <c r="J12" s="12"/>
      <c r="K12" s="4"/>
      <c r="L12" s="4">
        <f t="shared" ref="L12:L33" si="0">+D12-H12</f>
        <v>-52516.89</v>
      </c>
      <c r="M12" s="4"/>
      <c r="N12" s="12">
        <f t="shared" ref="N12:N33" si="1">IF(H12=0,0,L12/H12)</f>
        <v>-0.73687231654272489</v>
      </c>
      <c r="O12" s="10"/>
      <c r="P12" s="4">
        <f>SUM(OSRRefP13x_0)</f>
        <v>163670.20000000007</v>
      </c>
      <c r="Q12" s="4"/>
      <c r="R12" s="12"/>
      <c r="S12" s="4"/>
      <c r="T12" s="4">
        <f>SUM(OSRRefT13x_0)</f>
        <v>341415</v>
      </c>
      <c r="U12" s="4"/>
      <c r="V12" s="12"/>
      <c r="W12" s="4"/>
      <c r="X12" s="4">
        <f t="shared" ref="X12:X33" si="2">+P12-T12</f>
        <v>-177744.79999999993</v>
      </c>
      <c r="Y12" s="4"/>
      <c r="Z12" s="12">
        <f t="shared" ref="Z12:Z33" si="3">IF(T12=0,0,X12/T12)</f>
        <v>-0.5206121582238622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>-1022.41</f>
        <v>-1022.41</v>
      </c>
      <c r="E13" s="2"/>
      <c r="F13" s="22"/>
      <c r="G13" s="2"/>
      <c r="H13" s="2">
        <v>71270</v>
      </c>
      <c r="I13" s="2"/>
      <c r="J13" s="22"/>
      <c r="K13" s="2"/>
      <c r="L13" s="2">
        <f t="shared" si="0"/>
        <v>-72292.41</v>
      </c>
      <c r="M13" s="2"/>
      <c r="N13" s="22">
        <f t="shared" si="1"/>
        <v>-1.014345587203592</v>
      </c>
      <c r="O13" s="11"/>
      <c r="P13" s="2">
        <f>-4366.12</f>
        <v>-4366.12</v>
      </c>
      <c r="Q13" s="2"/>
      <c r="R13" s="22"/>
      <c r="S13" s="2"/>
      <c r="T13" s="2">
        <v>341415</v>
      </c>
      <c r="U13" s="2"/>
      <c r="V13" s="22"/>
      <c r="W13" s="2"/>
      <c r="X13" s="2">
        <f t="shared" si="2"/>
        <v>-345781.12</v>
      </c>
      <c r="Y13" s="2"/>
      <c r="Z13" s="22">
        <f t="shared" si="3"/>
        <v>-1.0127883074850255</v>
      </c>
    </row>
    <row r="14" spans="1:26" s="24" customFormat="1" hidden="1" outlineLevel="1" x14ac:dyDescent="0.3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--34.62</f>
        <v>34.619999999999997</v>
      </c>
      <c r="E14" s="2"/>
      <c r="F14" s="22"/>
      <c r="G14" s="2"/>
      <c r="H14" s="2"/>
      <c r="I14" s="2"/>
      <c r="J14" s="22"/>
      <c r="K14" s="2"/>
      <c r="L14" s="2">
        <f t="shared" si="0"/>
        <v>34.619999999999997</v>
      </c>
      <c r="M14" s="2"/>
      <c r="N14" s="22">
        <f t="shared" si="1"/>
        <v>0</v>
      </c>
      <c r="O14" s="11"/>
      <c r="P14" s="2">
        <f>--167.5</f>
        <v>167.5</v>
      </c>
      <c r="Q14" s="2"/>
      <c r="R14" s="22"/>
      <c r="S14" s="2"/>
      <c r="T14" s="2"/>
      <c r="U14" s="2"/>
      <c r="V14" s="22"/>
      <c r="W14" s="2"/>
      <c r="X14" s="2">
        <f t="shared" si="2"/>
        <v>167.5</v>
      </c>
      <c r="Y14" s="2"/>
      <c r="Z14" s="22">
        <f t="shared" si="3"/>
        <v>0</v>
      </c>
    </row>
    <row r="15" spans="1:26" s="24" customFormat="1" hidden="1" outlineLevel="1" x14ac:dyDescent="0.3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--60.44</f>
        <v>60.44</v>
      </c>
      <c r="E15" s="2"/>
      <c r="F15" s="22"/>
      <c r="G15" s="2"/>
      <c r="H15" s="2"/>
      <c r="I15" s="2"/>
      <c r="J15" s="22"/>
      <c r="K15" s="2"/>
      <c r="L15" s="2">
        <f t="shared" si="0"/>
        <v>60.44</v>
      </c>
      <c r="M15" s="2"/>
      <c r="N15" s="22">
        <f t="shared" si="1"/>
        <v>0</v>
      </c>
      <c r="O15" s="11"/>
      <c r="P15" s="2">
        <f>--291.11</f>
        <v>291.11</v>
      </c>
      <c r="Q15" s="2"/>
      <c r="R15" s="22"/>
      <c r="S15" s="2"/>
      <c r="T15" s="2"/>
      <c r="U15" s="2"/>
      <c r="V15" s="22"/>
      <c r="W15" s="2"/>
      <c r="X15" s="2">
        <f t="shared" si="2"/>
        <v>291.11</v>
      </c>
      <c r="Y15" s="2"/>
      <c r="Z15" s="22">
        <f t="shared" si="3"/>
        <v>0</v>
      </c>
    </row>
    <row r="16" spans="1:26" s="24" customFormat="1" hidden="1" outlineLevel="1" x14ac:dyDescent="0.3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>--3</f>
        <v>3</v>
      </c>
      <c r="E16" s="2"/>
      <c r="F16" s="22"/>
      <c r="G16" s="2"/>
      <c r="H16" s="2"/>
      <c r="I16" s="2"/>
      <c r="J16" s="22"/>
      <c r="K16" s="2"/>
      <c r="L16" s="2">
        <f t="shared" si="0"/>
        <v>3</v>
      </c>
      <c r="M16" s="2"/>
      <c r="N16" s="22">
        <f t="shared" si="1"/>
        <v>0</v>
      </c>
      <c r="O16" s="11"/>
      <c r="P16" s="2">
        <f>--29.24</f>
        <v>29.24</v>
      </c>
      <c r="Q16" s="2"/>
      <c r="R16" s="22"/>
      <c r="S16" s="2"/>
      <c r="T16" s="2"/>
      <c r="U16" s="2"/>
      <c r="V16" s="22"/>
      <c r="W16" s="2"/>
      <c r="X16" s="2">
        <f t="shared" si="2"/>
        <v>29.24</v>
      </c>
      <c r="Y16" s="2"/>
      <c r="Z16" s="22">
        <f t="shared" si="3"/>
        <v>0</v>
      </c>
    </row>
    <row r="17" spans="1:26" s="24" customFormat="1" hidden="1" outlineLevel="1" x14ac:dyDescent="0.35">
      <c r="A17" s="51"/>
      <c r="B17" s="11" t="str">
        <f>CONCATENATE("          ", "4040", " - ", "TAXABLE SALES-LOGO CLOTHING")</f>
        <v xml:space="preserve">          4040 - TAXABLE SALES-LOGO CLOTHING</v>
      </c>
      <c r="C17" s="11"/>
      <c r="D17" s="2">
        <f>--17116.98</f>
        <v>17116.98</v>
      </c>
      <c r="E17" s="2"/>
      <c r="F17" s="22"/>
      <c r="G17" s="2"/>
      <c r="H17" s="2"/>
      <c r="I17" s="2"/>
      <c r="J17" s="22"/>
      <c r="K17" s="2"/>
      <c r="L17" s="2">
        <f t="shared" si="0"/>
        <v>17116.98</v>
      </c>
      <c r="M17" s="2"/>
      <c r="N17" s="22">
        <f t="shared" si="1"/>
        <v>0</v>
      </c>
      <c r="O17" s="11"/>
      <c r="P17" s="2">
        <f>--135980.92</f>
        <v>135980.92000000001</v>
      </c>
      <c r="Q17" s="2"/>
      <c r="R17" s="22"/>
      <c r="S17" s="2"/>
      <c r="T17" s="2"/>
      <c r="U17" s="2"/>
      <c r="V17" s="22"/>
      <c r="W17" s="2"/>
      <c r="X17" s="2">
        <f t="shared" si="2"/>
        <v>135980.92000000001</v>
      </c>
      <c r="Y17" s="2"/>
      <c r="Z17" s="22">
        <f t="shared" si="3"/>
        <v>0</v>
      </c>
    </row>
    <row r="18" spans="1:26" s="24" customFormat="1" hidden="1" outlineLevel="1" x14ac:dyDescent="0.35">
      <c r="A18" s="51"/>
      <c r="B18" s="11" t="str">
        <f>CONCATENATE("          ", "4041", " - ", "TAXABLE SALES-LOGO GIFTS")</f>
        <v xml:space="preserve">          4041 - TAXABLE SALES-LOGO GIFTS</v>
      </c>
      <c r="C18" s="11"/>
      <c r="D18" s="2">
        <f>--2350.56</f>
        <v>2350.56</v>
      </c>
      <c r="E18" s="2"/>
      <c r="F18" s="22"/>
      <c r="G18" s="2"/>
      <c r="H18" s="2"/>
      <c r="I18" s="2"/>
      <c r="J18" s="22"/>
      <c r="K18" s="2"/>
      <c r="L18" s="2">
        <f t="shared" si="0"/>
        <v>2350.56</v>
      </c>
      <c r="M18" s="2"/>
      <c r="N18" s="22">
        <f t="shared" si="1"/>
        <v>0</v>
      </c>
      <c r="O18" s="11"/>
      <c r="P18" s="2">
        <f>--21297.98</f>
        <v>21297.98</v>
      </c>
      <c r="Q18" s="2"/>
      <c r="R18" s="22"/>
      <c r="S18" s="2"/>
      <c r="T18" s="2"/>
      <c r="U18" s="2"/>
      <c r="V18" s="22"/>
      <c r="W18" s="2"/>
      <c r="X18" s="2">
        <f t="shared" si="2"/>
        <v>21297.98</v>
      </c>
      <c r="Y18" s="2"/>
      <c r="Z18" s="22">
        <f t="shared" si="3"/>
        <v>0</v>
      </c>
    </row>
    <row r="19" spans="1:26" s="24" customFormat="1" hidden="1" outlineLevel="1" x14ac:dyDescent="0.35">
      <c r="A19" s="51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--472.39</f>
        <v>472.39</v>
      </c>
      <c r="E19" s="2"/>
      <c r="F19" s="22"/>
      <c r="G19" s="2"/>
      <c r="H19" s="2"/>
      <c r="I19" s="2"/>
      <c r="J19" s="22"/>
      <c r="K19" s="2"/>
      <c r="L19" s="2">
        <f t="shared" si="0"/>
        <v>472.39</v>
      </c>
      <c r="M19" s="2"/>
      <c r="N19" s="22">
        <f t="shared" si="1"/>
        <v>0</v>
      </c>
      <c r="O19" s="11"/>
      <c r="P19" s="2">
        <f>--6626.33</f>
        <v>6626.33</v>
      </c>
      <c r="Q19" s="2"/>
      <c r="R19" s="22"/>
      <c r="S19" s="2"/>
      <c r="T19" s="2"/>
      <c r="U19" s="2"/>
      <c r="V19" s="22"/>
      <c r="W19" s="2"/>
      <c r="X19" s="2">
        <f t="shared" si="2"/>
        <v>6626.33</v>
      </c>
      <c r="Y19" s="2"/>
      <c r="Z19" s="22">
        <f t="shared" si="3"/>
        <v>0</v>
      </c>
    </row>
    <row r="20" spans="1:26" s="24" customFormat="1" hidden="1" outlineLevel="1" x14ac:dyDescent="0.35">
      <c r="A20" s="51"/>
      <c r="B20" s="11" t="str">
        <f>CONCATENATE("          ", "4043", " - ", "TAXABLE SALES-CARDS")</f>
        <v xml:space="preserve">          4043 - TAXABLE SALES-CARDS</v>
      </c>
      <c r="C20" s="11"/>
      <c r="D20" s="2">
        <f>--1965.02</f>
        <v>1965.02</v>
      </c>
      <c r="E20" s="2"/>
      <c r="F20" s="22"/>
      <c r="G20" s="2"/>
      <c r="H20" s="2"/>
      <c r="I20" s="2"/>
      <c r="J20" s="22"/>
      <c r="K20" s="2"/>
      <c r="L20" s="2">
        <f t="shared" si="0"/>
        <v>1965.02</v>
      </c>
      <c r="M20" s="2"/>
      <c r="N20" s="22">
        <f t="shared" si="1"/>
        <v>0</v>
      </c>
      <c r="O20" s="11"/>
      <c r="P20" s="2">
        <f>--8205.25</f>
        <v>8205.25</v>
      </c>
      <c r="Q20" s="2"/>
      <c r="R20" s="22"/>
      <c r="S20" s="2"/>
      <c r="T20" s="2"/>
      <c r="U20" s="2"/>
      <c r="V20" s="22"/>
      <c r="W20" s="2"/>
      <c r="X20" s="2">
        <f t="shared" si="2"/>
        <v>8205.25</v>
      </c>
      <c r="Y20" s="2"/>
      <c r="Z20" s="22">
        <f t="shared" si="3"/>
        <v>0</v>
      </c>
    </row>
    <row r="21" spans="1:26" s="24" customFormat="1" hidden="1" outlineLevel="1" x14ac:dyDescent="0.35">
      <c r="A21" s="51"/>
      <c r="B21" s="11" t="str">
        <f>CONCATENATE("          ", "4044", " - ", "TAXABLE SALES-ACCESSORIES")</f>
        <v xml:space="preserve">          4044 - TAXABLE SALES-ACCESSORIES</v>
      </c>
      <c r="C21" s="11"/>
      <c r="D21" s="2">
        <f>--92.31</f>
        <v>92.31</v>
      </c>
      <c r="E21" s="2"/>
      <c r="F21" s="22"/>
      <c r="G21" s="2"/>
      <c r="H21" s="2"/>
      <c r="I21" s="2"/>
      <c r="J21" s="22"/>
      <c r="K21" s="2"/>
      <c r="L21" s="2">
        <f t="shared" si="0"/>
        <v>92.31</v>
      </c>
      <c r="M21" s="2"/>
      <c r="N21" s="22">
        <f t="shared" si="1"/>
        <v>0</v>
      </c>
      <c r="O21" s="11"/>
      <c r="P21" s="2">
        <f>--1933.17</f>
        <v>1933.17</v>
      </c>
      <c r="Q21" s="2"/>
      <c r="R21" s="22"/>
      <c r="S21" s="2"/>
      <c r="T21" s="2"/>
      <c r="U21" s="2"/>
      <c r="V21" s="22"/>
      <c r="W21" s="2"/>
      <c r="X21" s="2">
        <f t="shared" si="2"/>
        <v>1933.17</v>
      </c>
      <c r="Y21" s="2"/>
      <c r="Z21" s="22">
        <f t="shared" si="3"/>
        <v>0</v>
      </c>
    </row>
    <row r="22" spans="1:26" s="24" customFormat="1" hidden="1" outlineLevel="1" x14ac:dyDescent="0.35">
      <c r="A22" s="51"/>
      <c r="B22" s="11" t="str">
        <f>CONCATENATE("          ", "4045", " - ", "TAXABLE SALES-SPECIAL ORDERS")</f>
        <v xml:space="preserve">          4045 - TAXABLE SALES-SPECIAL ORDERS</v>
      </c>
      <c r="C22" s="11"/>
      <c r="D22" s="2">
        <f t="shared" ref="D22:D27" si="4">0</f>
        <v>0</v>
      </c>
      <c r="E22" s="2"/>
      <c r="F22" s="22"/>
      <c r="G22" s="2"/>
      <c r="H22" s="2"/>
      <c r="I22" s="2"/>
      <c r="J22" s="22"/>
      <c r="K22" s="2"/>
      <c r="L22" s="2">
        <f t="shared" si="0"/>
        <v>0</v>
      </c>
      <c r="M22" s="2"/>
      <c r="N22" s="22">
        <f t="shared" si="1"/>
        <v>0</v>
      </c>
      <c r="O22" s="11"/>
      <c r="P22" s="2">
        <f>--326.37</f>
        <v>326.37</v>
      </c>
      <c r="Q22" s="2"/>
      <c r="R22" s="22"/>
      <c r="S22" s="2"/>
      <c r="T22" s="2"/>
      <c r="U22" s="2"/>
      <c r="V22" s="22"/>
      <c r="W22" s="2"/>
      <c r="X22" s="2">
        <f t="shared" si="2"/>
        <v>326.37</v>
      </c>
      <c r="Y22" s="2"/>
      <c r="Z22" s="22">
        <f t="shared" si="3"/>
        <v>0</v>
      </c>
    </row>
    <row r="23" spans="1:26" s="24" customFormat="1" hidden="1" outlineLevel="1" x14ac:dyDescent="0.35">
      <c r="A23" s="51"/>
      <c r="B23" s="11" t="str">
        <f>CONCATENATE("          ", "4131", " - ", "NON-TAXABLE SALES-FOOD")</f>
        <v xml:space="preserve">          4131 - NON-TAXABLE SALES-FOOD</v>
      </c>
      <c r="C23" s="11"/>
      <c r="D23" s="2">
        <f t="shared" si="4"/>
        <v>0</v>
      </c>
      <c r="E23" s="2"/>
      <c r="F23" s="22"/>
      <c r="G23" s="2"/>
      <c r="H23" s="2"/>
      <c r="I23" s="2"/>
      <c r="J23" s="22"/>
      <c r="K23" s="2"/>
      <c r="L23" s="2">
        <f t="shared" si="0"/>
        <v>0</v>
      </c>
      <c r="M23" s="2"/>
      <c r="N23" s="22">
        <f t="shared" si="1"/>
        <v>0</v>
      </c>
      <c r="O23" s="11"/>
      <c r="P23" s="2">
        <f>--37.5</f>
        <v>37.5</v>
      </c>
      <c r="Q23" s="2"/>
      <c r="R23" s="22"/>
      <c r="S23" s="2"/>
      <c r="T23" s="2"/>
      <c r="U23" s="2"/>
      <c r="V23" s="22"/>
      <c r="W23" s="2"/>
      <c r="X23" s="2">
        <f t="shared" si="2"/>
        <v>37.5</v>
      </c>
      <c r="Y23" s="2"/>
      <c r="Z23" s="22">
        <f t="shared" si="3"/>
        <v>0</v>
      </c>
    </row>
    <row r="24" spans="1:26" s="24" customFormat="1" hidden="1" outlineLevel="1" x14ac:dyDescent="0.35">
      <c r="A24" s="51"/>
      <c r="B24" s="11" t="str">
        <f>CONCATENATE("          ", "4137", " - ", "NON-TAXABLE SALES-WATER")</f>
        <v xml:space="preserve">          4137 - NON-TAXABLE SALES-WATER</v>
      </c>
      <c r="C24" s="11"/>
      <c r="D24" s="2">
        <f t="shared" si="4"/>
        <v>0</v>
      </c>
      <c r="E24" s="2"/>
      <c r="F24" s="22"/>
      <c r="G24" s="2"/>
      <c r="H24" s="2"/>
      <c r="I24" s="2"/>
      <c r="J24" s="22"/>
      <c r="K24" s="2"/>
      <c r="L24" s="2">
        <f t="shared" si="0"/>
        <v>0</v>
      </c>
      <c r="M24" s="2"/>
      <c r="N24" s="22">
        <f t="shared" si="1"/>
        <v>0</v>
      </c>
      <c r="O24" s="11"/>
      <c r="P24" s="2">
        <f>--9</f>
        <v>9</v>
      </c>
      <c r="Q24" s="2"/>
      <c r="R24" s="22"/>
      <c r="S24" s="2"/>
      <c r="T24" s="2"/>
      <c r="U24" s="2"/>
      <c r="V24" s="22"/>
      <c r="W24" s="2"/>
      <c r="X24" s="2">
        <f t="shared" si="2"/>
        <v>9</v>
      </c>
      <c r="Y24" s="2"/>
      <c r="Z24" s="22">
        <f t="shared" si="3"/>
        <v>0</v>
      </c>
    </row>
    <row r="25" spans="1:26" s="24" customFormat="1" hidden="1" outlineLevel="1" x14ac:dyDescent="0.35">
      <c r="A25" s="51"/>
      <c r="B25" s="11" t="str">
        <f>CONCATENATE("          ", "4140", " - ", "NON-TAXABLE SALES-LOGO CLOTHIN")</f>
        <v xml:space="preserve">          4140 - NON-TAXABLE SALES-LOGO CLOTHIN</v>
      </c>
      <c r="C25" s="11"/>
      <c r="D25" s="2">
        <f t="shared" si="4"/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--165.78</f>
        <v>165.78</v>
      </c>
      <c r="Q25" s="2"/>
      <c r="R25" s="22"/>
      <c r="S25" s="2"/>
      <c r="T25" s="2"/>
      <c r="U25" s="2"/>
      <c r="V25" s="22"/>
      <c r="W25" s="2"/>
      <c r="X25" s="2">
        <f t="shared" si="2"/>
        <v>165.78</v>
      </c>
      <c r="Y25" s="2"/>
      <c r="Z25" s="22">
        <f t="shared" si="3"/>
        <v>0</v>
      </c>
    </row>
    <row r="26" spans="1:26" s="24" customFormat="1" hidden="1" outlineLevel="1" x14ac:dyDescent="0.35">
      <c r="A26" s="51"/>
      <c r="B26" s="11" t="str">
        <f>CONCATENATE("          ", "4145", " - ", "NON-TAXABLE SALES-SPECIAL ORDE")</f>
        <v xml:space="preserve">          4145 - NON-TAXABLE SALES-SPECIAL ORDE</v>
      </c>
      <c r="C26" s="11"/>
      <c r="D26" s="2">
        <f t="shared" si="4"/>
        <v>0</v>
      </c>
      <c r="E26" s="2"/>
      <c r="F26" s="22"/>
      <c r="G26" s="2"/>
      <c r="H26" s="2"/>
      <c r="I26" s="2"/>
      <c r="J26" s="22"/>
      <c r="K26" s="2"/>
      <c r="L26" s="2">
        <f t="shared" si="0"/>
        <v>0</v>
      </c>
      <c r="M26" s="2"/>
      <c r="N26" s="22">
        <f t="shared" si="1"/>
        <v>0</v>
      </c>
      <c r="O26" s="11"/>
      <c r="P26" s="2">
        <f>--7</f>
        <v>7</v>
      </c>
      <c r="Q26" s="2"/>
      <c r="R26" s="22"/>
      <c r="S26" s="2"/>
      <c r="T26" s="2"/>
      <c r="U26" s="2"/>
      <c r="V26" s="22"/>
      <c r="W26" s="2"/>
      <c r="X26" s="2">
        <f t="shared" si="2"/>
        <v>7</v>
      </c>
      <c r="Y26" s="2"/>
      <c r="Z26" s="22">
        <f t="shared" si="3"/>
        <v>0</v>
      </c>
    </row>
    <row r="27" spans="1:26" s="24" customFormat="1" hidden="1" outlineLevel="1" x14ac:dyDescent="0.35">
      <c r="A27" s="51"/>
      <c r="B27" s="11" t="str">
        <f>CONCATENATE("          ", "4226", " - ", "SALES RETURN TAXABLE-WRITING I")</f>
        <v xml:space="preserve">          4226 - SALES RETURN TAXABLE-WRITING I</v>
      </c>
      <c r="C27" s="11"/>
      <c r="D27" s="2">
        <f t="shared" si="4"/>
        <v>0</v>
      </c>
      <c r="E27" s="2"/>
      <c r="F27" s="22"/>
      <c r="G27" s="2"/>
      <c r="H27" s="2"/>
      <c r="I27" s="2"/>
      <c r="J27" s="22"/>
      <c r="K27" s="2"/>
      <c r="L27" s="2">
        <f t="shared" si="0"/>
        <v>0</v>
      </c>
      <c r="M27" s="2"/>
      <c r="N27" s="22">
        <f t="shared" si="1"/>
        <v>0</v>
      </c>
      <c r="O27" s="11"/>
      <c r="P27" s="2">
        <f>-27.85</f>
        <v>-27.85</v>
      </c>
      <c r="Q27" s="2"/>
      <c r="R27" s="22"/>
      <c r="S27" s="2"/>
      <c r="T27" s="2"/>
      <c r="U27" s="2"/>
      <c r="V27" s="22"/>
      <c r="W27" s="2"/>
      <c r="X27" s="2">
        <f t="shared" si="2"/>
        <v>-27.85</v>
      </c>
      <c r="Y27" s="2"/>
      <c r="Z27" s="22">
        <f t="shared" si="3"/>
        <v>0</v>
      </c>
    </row>
    <row r="28" spans="1:26" s="24" customFormat="1" hidden="1" outlineLevel="1" x14ac:dyDescent="0.35">
      <c r="A28" s="51"/>
      <c r="B28" s="11" t="str">
        <f>CONCATENATE("          ", "4227", " - ", "SALES RETURN TAXABLE-SCHOOL SU")</f>
        <v xml:space="preserve">          4227 - SALES RETURN TAXABLE-SCHOOL SU</v>
      </c>
      <c r="C28" s="11"/>
      <c r="D28" s="2">
        <f>-3.99</f>
        <v>-3.99</v>
      </c>
      <c r="E28" s="2"/>
      <c r="F28" s="22"/>
      <c r="G28" s="2"/>
      <c r="H28" s="2"/>
      <c r="I28" s="2"/>
      <c r="J28" s="22"/>
      <c r="K28" s="2"/>
      <c r="L28" s="2">
        <f t="shared" si="0"/>
        <v>-3.99</v>
      </c>
      <c r="M28" s="2"/>
      <c r="N28" s="22">
        <f t="shared" si="1"/>
        <v>0</v>
      </c>
      <c r="O28" s="11"/>
      <c r="P28" s="2">
        <f>-43.21</f>
        <v>-43.21</v>
      </c>
      <c r="Q28" s="2"/>
      <c r="R28" s="22"/>
      <c r="S28" s="2"/>
      <c r="T28" s="2"/>
      <c r="U28" s="2"/>
      <c r="V28" s="22"/>
      <c r="W28" s="2"/>
      <c r="X28" s="2">
        <f t="shared" si="2"/>
        <v>-43.21</v>
      </c>
      <c r="Y28" s="2"/>
      <c r="Z28" s="22">
        <f t="shared" si="3"/>
        <v>0</v>
      </c>
    </row>
    <row r="29" spans="1:26" s="24" customFormat="1" hidden="1" outlineLevel="1" x14ac:dyDescent="0.35">
      <c r="A29" s="51"/>
      <c r="B29" s="11" t="str">
        <f>CONCATENATE("          ", "4240", " - ", "SALES RETURN TAXABLE-LOGO CLOT")</f>
        <v xml:space="preserve">          4240 - SALES RETURN TAXABLE-LOGO CLOT</v>
      </c>
      <c r="C29" s="11"/>
      <c r="D29" s="2">
        <f>-2310.86</f>
        <v>-2310.86</v>
      </c>
      <c r="E29" s="2"/>
      <c r="F29" s="22"/>
      <c r="G29" s="2"/>
      <c r="H29" s="2"/>
      <c r="I29" s="2"/>
      <c r="J29" s="22"/>
      <c r="K29" s="2"/>
      <c r="L29" s="2">
        <f t="shared" si="0"/>
        <v>-2310.86</v>
      </c>
      <c r="M29" s="2"/>
      <c r="N29" s="22">
        <f t="shared" si="1"/>
        <v>0</v>
      </c>
      <c r="O29" s="11"/>
      <c r="P29" s="2">
        <f>-6402.33</f>
        <v>-6402.33</v>
      </c>
      <c r="Q29" s="2"/>
      <c r="R29" s="22"/>
      <c r="S29" s="2"/>
      <c r="T29" s="2"/>
      <c r="U29" s="2"/>
      <c r="V29" s="22"/>
      <c r="W29" s="2"/>
      <c r="X29" s="2">
        <f t="shared" si="2"/>
        <v>-6402.33</v>
      </c>
      <c r="Y29" s="2"/>
      <c r="Z29" s="22">
        <f t="shared" si="3"/>
        <v>0</v>
      </c>
    </row>
    <row r="30" spans="1:26" s="24" customFormat="1" hidden="1" outlineLevel="1" x14ac:dyDescent="0.35">
      <c r="A30" s="51"/>
      <c r="B30" s="11" t="str">
        <f>CONCATENATE("          ", "4241", " - ", "SALES RETURN TAXABLE-LOGO GIFT")</f>
        <v xml:space="preserve">          4241 - SALES RETURN TAXABLE-LOGO GIFT</v>
      </c>
      <c r="C30" s="11"/>
      <c r="D30" s="2">
        <f>-4.95</f>
        <v>-4.95</v>
      </c>
      <c r="E30" s="2"/>
      <c r="F30" s="22"/>
      <c r="G30" s="2"/>
      <c r="H30" s="2"/>
      <c r="I30" s="2"/>
      <c r="J30" s="22"/>
      <c r="K30" s="2"/>
      <c r="L30" s="2">
        <f t="shared" si="0"/>
        <v>-4.95</v>
      </c>
      <c r="M30" s="2"/>
      <c r="N30" s="22">
        <f t="shared" si="1"/>
        <v>0</v>
      </c>
      <c r="O30" s="11"/>
      <c r="P30" s="2">
        <f>-279.36</f>
        <v>-279.36</v>
      </c>
      <c r="Q30" s="2"/>
      <c r="R30" s="22"/>
      <c r="S30" s="2"/>
      <c r="T30" s="2"/>
      <c r="U30" s="2"/>
      <c r="V30" s="22"/>
      <c r="W30" s="2"/>
      <c r="X30" s="2">
        <f t="shared" si="2"/>
        <v>-279.36</v>
      </c>
      <c r="Y30" s="2"/>
      <c r="Z30" s="22">
        <f t="shared" si="3"/>
        <v>0</v>
      </c>
    </row>
    <row r="31" spans="1:26" s="24" customFormat="1" hidden="1" outlineLevel="1" x14ac:dyDescent="0.35">
      <c r="A31" s="51"/>
      <c r="B31" s="11" t="str">
        <f>CONCATENATE("          ", "4242", " - ", "SALES RETURN TAXABLE-EVERYDAY")</f>
        <v xml:space="preserve">          4242 - SALES RETURN TAXABLE-EVERYDAY</v>
      </c>
      <c r="C31" s="11"/>
      <c r="D31" s="2">
        <f t="shared" ref="D31:D33" si="5">0</f>
        <v>0</v>
      </c>
      <c r="E31" s="2"/>
      <c r="F31" s="22"/>
      <c r="G31" s="2"/>
      <c r="H31" s="2"/>
      <c r="I31" s="2"/>
      <c r="J31" s="22"/>
      <c r="K31" s="2"/>
      <c r="L31" s="2">
        <f t="shared" si="0"/>
        <v>0</v>
      </c>
      <c r="M31" s="2"/>
      <c r="N31" s="22">
        <f t="shared" si="1"/>
        <v>0</v>
      </c>
      <c r="O31" s="11"/>
      <c r="P31" s="2">
        <f>-251.15</f>
        <v>-251.15</v>
      </c>
      <c r="Q31" s="2"/>
      <c r="R31" s="22"/>
      <c r="S31" s="2"/>
      <c r="T31" s="2"/>
      <c r="U31" s="2"/>
      <c r="V31" s="22"/>
      <c r="W31" s="2"/>
      <c r="X31" s="2">
        <f t="shared" si="2"/>
        <v>-251.15</v>
      </c>
      <c r="Y31" s="2"/>
      <c r="Z31" s="22">
        <f t="shared" si="3"/>
        <v>0</v>
      </c>
    </row>
    <row r="32" spans="1:26" s="24" customFormat="1" hidden="1" outlineLevel="1" x14ac:dyDescent="0.35">
      <c r="A32" s="51"/>
      <c r="B32" s="11" t="str">
        <f>CONCATENATE("          ", "4244", " - ", "SALES RETURN TAXABLE-ACCESSORI")</f>
        <v xml:space="preserve">          4244 - SALES RETURN TAXABLE-ACCESSORI</v>
      </c>
      <c r="C32" s="11"/>
      <c r="D32" s="2">
        <f t="shared" si="5"/>
        <v>0</v>
      </c>
      <c r="E32" s="2"/>
      <c r="F32" s="22"/>
      <c r="G32" s="2"/>
      <c r="H32" s="2"/>
      <c r="I32" s="2"/>
      <c r="J32" s="22"/>
      <c r="K32" s="2"/>
      <c r="L32" s="2">
        <f t="shared" si="0"/>
        <v>0</v>
      </c>
      <c r="M32" s="2"/>
      <c r="N32" s="22">
        <f t="shared" si="1"/>
        <v>0</v>
      </c>
      <c r="O32" s="11"/>
      <c r="P32" s="2">
        <f>-29.93</f>
        <v>-29.93</v>
      </c>
      <c r="Q32" s="2"/>
      <c r="R32" s="22"/>
      <c r="S32" s="2"/>
      <c r="T32" s="2"/>
      <c r="U32" s="2"/>
      <c r="V32" s="22"/>
      <c r="W32" s="2"/>
      <c r="X32" s="2">
        <f t="shared" si="2"/>
        <v>-29.93</v>
      </c>
      <c r="Y32" s="2"/>
      <c r="Z32" s="22">
        <f t="shared" si="3"/>
        <v>0</v>
      </c>
    </row>
    <row r="33" spans="1:26" s="24" customFormat="1" hidden="1" outlineLevel="1" x14ac:dyDescent="0.35">
      <c r="A33" s="51"/>
      <c r="B33" s="11" t="str">
        <f>CONCATENATE("          ", "4245", " - ", "SALES RETURN TAXABLE-SPECIAL O")</f>
        <v xml:space="preserve">          4245 - SALES RETURN TAXABLE-SPECIAL O</v>
      </c>
      <c r="C33" s="11"/>
      <c r="D33" s="2">
        <f t="shared" si="5"/>
        <v>0</v>
      </c>
      <c r="E33" s="2"/>
      <c r="F33" s="22"/>
      <c r="G33" s="2"/>
      <c r="H33" s="2"/>
      <c r="I33" s="2"/>
      <c r="J33" s="22"/>
      <c r="K33" s="2"/>
      <c r="L33" s="2">
        <f t="shared" si="0"/>
        <v>0</v>
      </c>
      <c r="M33" s="2"/>
      <c r="N33" s="22">
        <f t="shared" si="1"/>
        <v>0</v>
      </c>
      <c r="O33" s="11"/>
      <c r="P33" s="2">
        <f>-7</f>
        <v>-7</v>
      </c>
      <c r="Q33" s="2"/>
      <c r="R33" s="22"/>
      <c r="S33" s="2"/>
      <c r="T33" s="2"/>
      <c r="U33" s="2"/>
      <c r="V33" s="22"/>
      <c r="W33" s="2"/>
      <c r="X33" s="2">
        <f t="shared" si="2"/>
        <v>-7</v>
      </c>
      <c r="Y33" s="2"/>
      <c r="Z33" s="22">
        <f t="shared" si="3"/>
        <v>0</v>
      </c>
    </row>
    <row r="34" spans="1:26" x14ac:dyDescent="0.3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35">
      <c r="A35" s="10"/>
      <c r="B35" s="25" t="s">
        <v>8</v>
      </c>
      <c r="C35" s="10"/>
      <c r="D35" s="4">
        <f>SUM(OSRRefD16x_0)</f>
        <v>9339</v>
      </c>
      <c r="E35" s="4"/>
      <c r="F35" s="12">
        <f t="shared" ref="F35:F40" si="6">IF(D$12=0,0,D35/D$12)</f>
        <v>0.49799739883144722</v>
      </c>
      <c r="G35" s="4"/>
      <c r="H35" s="4">
        <f>SUM(OSRRefH16x_0)</f>
        <v>30646</v>
      </c>
      <c r="I35" s="4"/>
      <c r="J35" s="12">
        <f t="shared" ref="J35:J40" si="7">IF(H$12=0,0,H35/H$12)</f>
        <v>0.4299985968850849</v>
      </c>
      <c r="K35" s="4"/>
      <c r="L35" s="4">
        <f t="shared" ref="L35:L40" si="8">+D35-H35</f>
        <v>-21307</v>
      </c>
      <c r="M35" s="4"/>
      <c r="N35" s="12">
        <f t="shared" ref="N35:N40" si="9">IF(H35=0,0,L35/H35)</f>
        <v>-0.69526202440775309</v>
      </c>
      <c r="O35" s="10"/>
      <c r="P35" s="4">
        <f>SUM(OSRRefP16x_0)</f>
        <v>72879</v>
      </c>
      <c r="Q35" s="4"/>
      <c r="R35" s="12">
        <f t="shared" ref="R35:R40" si="10">IF(P$12=0,0,P35/P$12)</f>
        <v>0.44527959274198947</v>
      </c>
      <c r="S35" s="4"/>
      <c r="T35" s="4">
        <f>SUM(OSRRefT16x_0)</f>
        <v>146808</v>
      </c>
      <c r="U35" s="4"/>
      <c r="V35" s="12">
        <f t="shared" ref="V35:V40" si="11">IF(T$12=0,0,T35/T$12)</f>
        <v>0.42999868195597735</v>
      </c>
      <c r="W35" s="4"/>
      <c r="X35" s="4">
        <f t="shared" ref="X35:X40" si="12">+P35-T35</f>
        <v>-73929</v>
      </c>
      <c r="Y35" s="4"/>
      <c r="Z35" s="12">
        <f t="shared" ref="Z35:Z40" si="13">IF(T35=0,0,X35/T35)</f>
        <v>-0.50357609939512837</v>
      </c>
    </row>
    <row r="36" spans="1:26" s="24" customFormat="1" hidden="1" outlineLevel="1" x14ac:dyDescent="0.35">
      <c r="A36" s="51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22">
        <f t="shared" si="6"/>
        <v>0</v>
      </c>
      <c r="G36" s="2"/>
      <c r="H36" s="2">
        <v>30646</v>
      </c>
      <c r="I36" s="2"/>
      <c r="J36" s="22">
        <f t="shared" si="7"/>
        <v>0.4299985968850849</v>
      </c>
      <c r="K36" s="2"/>
      <c r="L36" s="2">
        <f t="shared" si="8"/>
        <v>-30646</v>
      </c>
      <c r="M36" s="2"/>
      <c r="N36" s="22">
        <f t="shared" si="9"/>
        <v>-1</v>
      </c>
      <c r="O36" s="11"/>
      <c r="P36" s="2"/>
      <c r="Q36" s="2"/>
      <c r="R36" s="22">
        <f t="shared" si="10"/>
        <v>0</v>
      </c>
      <c r="S36" s="2"/>
      <c r="T36" s="2">
        <v>146808</v>
      </c>
      <c r="U36" s="2"/>
      <c r="V36" s="22">
        <f t="shared" si="11"/>
        <v>0.42999868195597735</v>
      </c>
      <c r="W36" s="2"/>
      <c r="X36" s="2">
        <f t="shared" si="12"/>
        <v>-146808</v>
      </c>
      <c r="Y36" s="2"/>
      <c r="Z36" s="22">
        <f t="shared" si="13"/>
        <v>-1</v>
      </c>
    </row>
    <row r="37" spans="1:26" s="24" customFormat="1" hidden="1" outlineLevel="1" x14ac:dyDescent="0.35">
      <c r="A37" s="51"/>
      <c r="B37" s="11" t="str">
        <f>CONCATENATE("          ", "5041", " - ", "PURCHASES @ COST-LOGO GIFTS")</f>
        <v xml:space="preserve">          5041 - PURCHASES @ COST-LOGO GIFTS</v>
      </c>
      <c r="C37" s="11"/>
      <c r="D37" s="2"/>
      <c r="E37" s="2"/>
      <c r="F37" s="22">
        <f t="shared" si="6"/>
        <v>0</v>
      </c>
      <c r="G37" s="2"/>
      <c r="H37" s="2"/>
      <c r="I37" s="2"/>
      <c r="J37" s="22">
        <f t="shared" si="7"/>
        <v>0</v>
      </c>
      <c r="K37" s="2"/>
      <c r="L37" s="2">
        <f t="shared" si="8"/>
        <v>0</v>
      </c>
      <c r="M37" s="2"/>
      <c r="N37" s="22">
        <f t="shared" si="9"/>
        <v>0</v>
      </c>
      <c r="O37" s="11"/>
      <c r="P37" s="2">
        <v>207.6</v>
      </c>
      <c r="Q37" s="2"/>
      <c r="R37" s="22">
        <f t="shared" si="10"/>
        <v>1.268404388825821E-3</v>
      </c>
      <c r="S37" s="2"/>
      <c r="T37" s="2"/>
      <c r="U37" s="2"/>
      <c r="V37" s="22">
        <f t="shared" si="11"/>
        <v>0</v>
      </c>
      <c r="W37" s="2"/>
      <c r="X37" s="2">
        <f t="shared" si="12"/>
        <v>207.6</v>
      </c>
      <c r="Y37" s="2"/>
      <c r="Z37" s="22">
        <f t="shared" si="13"/>
        <v>0</v>
      </c>
    </row>
    <row r="38" spans="1:26" s="24" customFormat="1" hidden="1" outlineLevel="1" x14ac:dyDescent="0.35">
      <c r="A38" s="51"/>
      <c r="B38" s="11" t="str">
        <f>CONCATENATE("          ", "5042", " - ", "PURCHASES @ COST-EVERYDAY GIFT")</f>
        <v xml:space="preserve">          5042 - PURCHASES @ COST-EVERYDAY GIFT</v>
      </c>
      <c r="C38" s="11"/>
      <c r="D38" s="2"/>
      <c r="E38" s="2"/>
      <c r="F38" s="22">
        <f t="shared" si="6"/>
        <v>0</v>
      </c>
      <c r="G38" s="2"/>
      <c r="H38" s="2"/>
      <c r="I38" s="2"/>
      <c r="J38" s="22">
        <f t="shared" si="7"/>
        <v>0</v>
      </c>
      <c r="K38" s="2"/>
      <c r="L38" s="2">
        <f t="shared" si="8"/>
        <v>0</v>
      </c>
      <c r="M38" s="2"/>
      <c r="N38" s="22">
        <f t="shared" si="9"/>
        <v>0</v>
      </c>
      <c r="O38" s="11"/>
      <c r="P38" s="2">
        <v>7946.04</v>
      </c>
      <c r="Q38" s="2"/>
      <c r="R38" s="22">
        <f t="shared" si="10"/>
        <v>4.8549094459467861E-2</v>
      </c>
      <c r="S38" s="2"/>
      <c r="T38" s="2"/>
      <c r="U38" s="2"/>
      <c r="V38" s="22">
        <f t="shared" si="11"/>
        <v>0</v>
      </c>
      <c r="W38" s="2"/>
      <c r="X38" s="2">
        <f t="shared" si="12"/>
        <v>7946.04</v>
      </c>
      <c r="Y38" s="2"/>
      <c r="Z38" s="22">
        <f t="shared" si="13"/>
        <v>0</v>
      </c>
    </row>
    <row r="39" spans="1:26" s="24" customFormat="1" hidden="1" outlineLevel="1" x14ac:dyDescent="0.35">
      <c r="A39" s="51"/>
      <c r="B39" s="11" t="str">
        <f>CONCATENATE("          ", "5200", " - ", "PURCHASES OFFSET")</f>
        <v xml:space="preserve">          5200 - PURCHASES OFFSET</v>
      </c>
      <c r="C39" s="11"/>
      <c r="D39" s="2"/>
      <c r="E39" s="2"/>
      <c r="F39" s="22">
        <f t="shared" si="6"/>
        <v>0</v>
      </c>
      <c r="G39" s="2"/>
      <c r="H39" s="2"/>
      <c r="I39" s="2"/>
      <c r="J39" s="22">
        <f t="shared" si="7"/>
        <v>0</v>
      </c>
      <c r="K39" s="2"/>
      <c r="L39" s="2">
        <f t="shared" si="8"/>
        <v>0</v>
      </c>
      <c r="M39" s="2"/>
      <c r="N39" s="22">
        <f t="shared" si="9"/>
        <v>0</v>
      </c>
      <c r="O39" s="11"/>
      <c r="P39" s="2">
        <v>-8153.64</v>
      </c>
      <c r="Q39" s="2"/>
      <c r="R39" s="22">
        <f t="shared" si="10"/>
        <v>-4.9817498848293687E-2</v>
      </c>
      <c r="S39" s="2"/>
      <c r="T39" s="2"/>
      <c r="U39" s="2"/>
      <c r="V39" s="22">
        <f t="shared" si="11"/>
        <v>0</v>
      </c>
      <c r="W39" s="2"/>
      <c r="X39" s="2">
        <f t="shared" si="12"/>
        <v>-8153.64</v>
      </c>
      <c r="Y39" s="2"/>
      <c r="Z39" s="22">
        <f t="shared" si="13"/>
        <v>0</v>
      </c>
    </row>
    <row r="40" spans="1:26" s="24" customFormat="1" hidden="1" outlineLevel="1" x14ac:dyDescent="0.35">
      <c r="A40" s="51"/>
      <c r="B40" s="11" t="str">
        <f>CONCATENATE("          ", "5300", " - ", "COG$ OFFSET")</f>
        <v xml:space="preserve">          5300 - COG$ OFFSET</v>
      </c>
      <c r="C40" s="11"/>
      <c r="D40" s="2">
        <v>9339</v>
      </c>
      <c r="E40" s="2"/>
      <c r="F40" s="22">
        <f t="shared" si="6"/>
        <v>0.49799739883144722</v>
      </c>
      <c r="G40" s="2"/>
      <c r="H40" s="2"/>
      <c r="I40" s="2"/>
      <c r="J40" s="22">
        <f t="shared" si="7"/>
        <v>0</v>
      </c>
      <c r="K40" s="2"/>
      <c r="L40" s="2">
        <f t="shared" si="8"/>
        <v>9339</v>
      </c>
      <c r="M40" s="2"/>
      <c r="N40" s="22">
        <f t="shared" si="9"/>
        <v>0</v>
      </c>
      <c r="O40" s="11"/>
      <c r="P40" s="2">
        <v>72879</v>
      </c>
      <c r="Q40" s="2"/>
      <c r="R40" s="22">
        <f t="shared" si="10"/>
        <v>0.44527959274198947</v>
      </c>
      <c r="S40" s="2"/>
      <c r="T40" s="2"/>
      <c r="U40" s="2"/>
      <c r="V40" s="22">
        <f t="shared" si="11"/>
        <v>0</v>
      </c>
      <c r="W40" s="2"/>
      <c r="X40" s="2">
        <f t="shared" si="12"/>
        <v>72879</v>
      </c>
      <c r="Y40" s="2"/>
      <c r="Z40" s="22">
        <f t="shared" si="13"/>
        <v>0</v>
      </c>
    </row>
    <row r="41" spans="1:26" x14ac:dyDescent="0.35">
      <c r="A41" s="9"/>
      <c r="B41" s="10"/>
      <c r="C41" s="10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O41" s="10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x14ac:dyDescent="0.35">
      <c r="A42" s="10"/>
      <c r="B42" s="26" t="s">
        <v>6</v>
      </c>
      <c r="C42" s="26"/>
      <c r="D42" s="19">
        <f>D12-D35</f>
        <v>9414.1099999999969</v>
      </c>
      <c r="E42" s="13"/>
      <c r="F42" s="21">
        <f>IF(D$12=0,0,D42/D$12)</f>
        <v>0.50200260116855278</v>
      </c>
      <c r="G42" s="13"/>
      <c r="H42" s="19">
        <f>H12-H35</f>
        <v>40624</v>
      </c>
      <c r="I42" s="13"/>
      <c r="J42" s="21">
        <f>IF(H$12=0,0,H42/H$12)</f>
        <v>0.5700014031149151</v>
      </c>
      <c r="K42" s="16"/>
      <c r="L42" s="19">
        <f>+D42-H42</f>
        <v>-31209.890000000003</v>
      </c>
      <c r="M42" s="16"/>
      <c r="N42" s="21">
        <f>IF(H42=0,0,L42/H42)</f>
        <v>-0.76826235722725489</v>
      </c>
      <c r="O42" s="25"/>
      <c r="P42" s="19">
        <f>P12-P35</f>
        <v>90791.20000000007</v>
      </c>
      <c r="Q42" s="13"/>
      <c r="R42" s="21">
        <f>IF(P$12=0,0,P42/P$12)</f>
        <v>0.55472040725801053</v>
      </c>
      <c r="S42" s="13"/>
      <c r="T42" s="19">
        <f>T12-T35</f>
        <v>194607</v>
      </c>
      <c r="U42" s="13"/>
      <c r="V42" s="21">
        <f>IF(T$12=0,0,T42/T$12)</f>
        <v>0.57000131804402265</v>
      </c>
      <c r="W42" s="16"/>
      <c r="X42" s="19">
        <f>+P42-T42</f>
        <v>-103815.79999999993</v>
      </c>
      <c r="Y42" s="16"/>
      <c r="Z42" s="21">
        <f>IF(T42=0,0,X42/T42)</f>
        <v>-0.53346385279049535</v>
      </c>
    </row>
    <row r="43" spans="1:26" x14ac:dyDescent="0.35">
      <c r="A43" s="9"/>
      <c r="B43" s="10"/>
      <c r="C43" s="9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6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35">
      <c r="A44" s="10"/>
      <c r="B44" s="25" t="s">
        <v>9</v>
      </c>
      <c r="C44" s="10"/>
      <c r="D44" s="20">
        <f>SUM(OSRRefD22x_0)</f>
        <v>22705.47</v>
      </c>
      <c r="E44" s="20"/>
      <c r="F44" s="30">
        <f t="shared" ref="F44:F54" si="14">IF(D$12=0,0,D44/D$12)</f>
        <v>1.2107575756767814</v>
      </c>
      <c r="G44" s="20"/>
      <c r="H44" s="20">
        <f>SUM(OSRRefH22x_0)</f>
        <v>29833.223452307688</v>
      </c>
      <c r="I44" s="20"/>
      <c r="J44" s="30">
        <f t="shared" ref="J44:J54" si="15">IF(H$12=0,0,H44/H$12)</f>
        <v>0.41859440791788532</v>
      </c>
      <c r="K44" s="4"/>
      <c r="L44" s="20">
        <f t="shared" ref="L44:L54" si="16">+D44-H44</f>
        <v>-7127.7534523076865</v>
      </c>
      <c r="M44" s="4"/>
      <c r="N44" s="30">
        <f t="shared" ref="N44:N54" si="17">IF(H44=0,0,L44/H44)</f>
        <v>-0.23891999011445522</v>
      </c>
      <c r="O44" s="10"/>
      <c r="P44" s="20">
        <f>SUM(OSRRefP22x_0)</f>
        <v>152726.88999999998</v>
      </c>
      <c r="Q44" s="20"/>
      <c r="R44" s="30">
        <f t="shared" ref="R44:R54" si="18">IF(P$12=0,0,P44/P$12)</f>
        <v>0.933138042233711</v>
      </c>
      <c r="S44" s="20"/>
      <c r="T44" s="20">
        <f>SUM(OSRRefT22x_0)</f>
        <v>183184.54975230768</v>
      </c>
      <c r="U44" s="20"/>
      <c r="V44" s="30">
        <f t="shared" ref="V44:V54" si="19">IF(T$12=0,0,T44/T$12)</f>
        <v>0.5365451129924218</v>
      </c>
      <c r="W44" s="4"/>
      <c r="X44" s="20">
        <f t="shared" ref="X44:X54" si="20">+P44-T44</f>
        <v>-30457.659752307693</v>
      </c>
      <c r="Y44" s="4"/>
      <c r="Z44" s="30">
        <f t="shared" ref="Z44:Z54" si="21">IF(T44=0,0,X44/T44)</f>
        <v>-0.16626762351678079</v>
      </c>
    </row>
    <row r="45" spans="1:26" s="28" customFormat="1" outlineLevel="1" collapsed="1" x14ac:dyDescent="0.35">
      <c r="A45" s="27"/>
      <c r="B45" s="14" t="str">
        <f>CONCATENATE("     ","*Benefits                                         ")</f>
        <v xml:space="preserve">     *Benefits                                         </v>
      </c>
      <c r="C45" s="14"/>
      <c r="D45" s="1">
        <f>SUM(OSRRefD22_0x_0)</f>
        <v>4683.9400000000005</v>
      </c>
      <c r="E45" s="1"/>
      <c r="F45" s="5">
        <f t="shared" si="14"/>
        <v>0.24976870503079229</v>
      </c>
      <c r="G45" s="1"/>
      <c r="H45" s="1">
        <f>SUM(OSRRefH22_0x_0)</f>
        <v>2393.6272984615389</v>
      </c>
      <c r="I45" s="1"/>
      <c r="J45" s="5">
        <f t="shared" si="15"/>
        <v>3.3585341636895451E-2</v>
      </c>
      <c r="K45" s="1"/>
      <c r="L45" s="1">
        <f t="shared" si="16"/>
        <v>2290.3127015384616</v>
      </c>
      <c r="M45" s="1"/>
      <c r="N45" s="5">
        <f t="shared" si="17"/>
        <v>0.9568376426064823</v>
      </c>
      <c r="O45" s="14"/>
      <c r="P45" s="1">
        <f>SUM(OSRRefP22_0x_0)</f>
        <v>35811.009999999995</v>
      </c>
      <c r="Q45" s="1"/>
      <c r="R45" s="5">
        <f t="shared" si="18"/>
        <v>0.21879981817093141</v>
      </c>
      <c r="S45" s="1"/>
      <c r="T45" s="1">
        <f>SUM(OSRRefT22_0x_0)</f>
        <v>16564.453598461543</v>
      </c>
      <c r="U45" s="1"/>
      <c r="V45" s="5">
        <f t="shared" si="19"/>
        <v>4.8517064565006054E-2</v>
      </c>
      <c r="W45" s="1"/>
      <c r="X45" s="1">
        <f t="shared" si="20"/>
        <v>19246.556401538452</v>
      </c>
      <c r="Y45" s="1"/>
      <c r="Z45" s="5">
        <f t="shared" si="21"/>
        <v>1.1619191835779004</v>
      </c>
    </row>
    <row r="46" spans="1:26" s="24" customFormat="1" hidden="1" outlineLevel="2" x14ac:dyDescent="0.35">
      <c r="A46" s="29"/>
      <c r="B46" s="11" t="str">
        <f>CONCATENATE("          ", "6111", " - ", "F.I.C.A.")</f>
        <v xml:space="preserve">          6111 - F.I.C.A.</v>
      </c>
      <c r="C46" s="11"/>
      <c r="D46" s="7">
        <v>574.86</v>
      </c>
      <c r="E46" s="2"/>
      <c r="F46" s="6">
        <f t="shared" si="14"/>
        <v>3.0654115504041735E-2</v>
      </c>
      <c r="G46" s="2"/>
      <c r="H46" s="7">
        <v>354.13374461538501</v>
      </c>
      <c r="I46" s="2"/>
      <c r="J46" s="6">
        <f t="shared" si="15"/>
        <v>4.9689033901415044E-3</v>
      </c>
      <c r="K46" s="2"/>
      <c r="L46" s="7">
        <f t="shared" si="16"/>
        <v>220.726255384615</v>
      </c>
      <c r="M46" s="2"/>
      <c r="N46" s="6">
        <f t="shared" si="17"/>
        <v>0.62328501234565981</v>
      </c>
      <c r="O46" s="11"/>
      <c r="P46" s="7">
        <v>5020.8999999999996</v>
      </c>
      <c r="Q46" s="2"/>
      <c r="R46" s="6">
        <f t="shared" si="18"/>
        <v>3.0676934469439136E-2</v>
      </c>
      <c r="S46" s="2"/>
      <c r="T46" s="7">
        <v>3067.887544615387</v>
      </c>
      <c r="U46" s="2"/>
      <c r="V46" s="6">
        <f t="shared" si="19"/>
        <v>8.985801867566999E-3</v>
      </c>
      <c r="W46" s="2"/>
      <c r="X46" s="7">
        <f t="shared" si="20"/>
        <v>1953.0124553846126</v>
      </c>
      <c r="Y46" s="2"/>
      <c r="Z46" s="6">
        <f t="shared" si="21"/>
        <v>0.6365984499048698</v>
      </c>
    </row>
    <row r="47" spans="1:26" s="24" customFormat="1" hidden="1" outlineLevel="2" x14ac:dyDescent="0.35">
      <c r="A47" s="29"/>
      <c r="B47" s="11" t="str">
        <f>CONCATENATE("          ", "6112", " - ", "COMPENSATION INSURANCE")</f>
        <v xml:space="preserve">          6112 - COMPENSATION INSURANCE</v>
      </c>
      <c r="C47" s="11"/>
      <c r="D47" s="7">
        <v>-19.62</v>
      </c>
      <c r="E47" s="2"/>
      <c r="F47" s="6">
        <f t="shared" si="14"/>
        <v>-1.0462264659035223E-3</v>
      </c>
      <c r="G47" s="2"/>
      <c r="H47" s="7">
        <v>213.66361538461499</v>
      </c>
      <c r="I47" s="2"/>
      <c r="J47" s="6">
        <f t="shared" si="15"/>
        <v>2.9979460556281042E-3</v>
      </c>
      <c r="K47" s="2"/>
      <c r="L47" s="7">
        <f t="shared" si="16"/>
        <v>-233.28361538461499</v>
      </c>
      <c r="M47" s="2"/>
      <c r="N47" s="6">
        <f t="shared" si="17"/>
        <v>-1.0918265843469985</v>
      </c>
      <c r="O47" s="11"/>
      <c r="P47" s="7">
        <v>1763.05</v>
      </c>
      <c r="Q47" s="2"/>
      <c r="R47" s="6">
        <f t="shared" si="18"/>
        <v>1.0771967041037398E-2</v>
      </c>
      <c r="S47" s="2"/>
      <c r="T47" s="7">
        <v>1276.9511153846129</v>
      </c>
      <c r="U47" s="2"/>
      <c r="V47" s="6">
        <f t="shared" si="19"/>
        <v>3.7401728552776325E-3</v>
      </c>
      <c r="W47" s="2"/>
      <c r="X47" s="7">
        <f t="shared" si="20"/>
        <v>486.09888461538708</v>
      </c>
      <c r="Y47" s="2"/>
      <c r="Z47" s="6">
        <f t="shared" si="21"/>
        <v>0.3806714906772104</v>
      </c>
    </row>
    <row r="48" spans="1:26" s="24" customFormat="1" hidden="1" outlineLevel="2" x14ac:dyDescent="0.35">
      <c r="A48" s="29"/>
      <c r="B48" s="11" t="str">
        <f>CONCATENATE("          ", "6113", " - ", "GROUP INSURANCE")</f>
        <v xml:space="preserve">          6113 - GROUP INSURANCE</v>
      </c>
      <c r="C48" s="11"/>
      <c r="D48" s="7">
        <v>2704.67</v>
      </c>
      <c r="E48" s="2"/>
      <c r="F48" s="6">
        <f t="shared" si="14"/>
        <v>0.14422514452269519</v>
      </c>
      <c r="G48" s="2"/>
      <c r="H48" s="7">
        <v>990</v>
      </c>
      <c r="I48" s="2"/>
      <c r="J48" s="6">
        <f t="shared" si="15"/>
        <v>1.3890837659604322E-2</v>
      </c>
      <c r="K48" s="2"/>
      <c r="L48" s="7">
        <f t="shared" si="16"/>
        <v>1714.67</v>
      </c>
      <c r="M48" s="2"/>
      <c r="N48" s="6">
        <f t="shared" si="17"/>
        <v>1.731989898989899</v>
      </c>
      <c r="O48" s="11"/>
      <c r="P48" s="7">
        <v>18292.04</v>
      </c>
      <c r="Q48" s="2"/>
      <c r="R48" s="6">
        <f t="shared" si="18"/>
        <v>0.11176157907792618</v>
      </c>
      <c r="S48" s="2"/>
      <c r="T48" s="7">
        <v>6930</v>
      </c>
      <c r="U48" s="2"/>
      <c r="V48" s="6">
        <f t="shared" si="19"/>
        <v>2.0297877949123501E-2</v>
      </c>
      <c r="W48" s="2"/>
      <c r="X48" s="7">
        <f t="shared" si="20"/>
        <v>11362.04</v>
      </c>
      <c r="Y48" s="2"/>
      <c r="Z48" s="6">
        <f t="shared" si="21"/>
        <v>1.6395440115440116</v>
      </c>
    </row>
    <row r="49" spans="1:26" s="24" customFormat="1" hidden="1" outlineLevel="2" x14ac:dyDescent="0.35">
      <c r="A49" s="29"/>
      <c r="B49" s="11" t="str">
        <f>CONCATENATE("          ", "6114", " - ", "STATE UNEMPLOYMENT INSURANCE")</f>
        <v xml:space="preserve">          6114 - STATE UNEMPLOYMENT INSURANCE</v>
      </c>
      <c r="C49" s="11"/>
      <c r="D49" s="7">
        <v>47.07</v>
      </c>
      <c r="E49" s="2"/>
      <c r="F49" s="6">
        <f t="shared" si="14"/>
        <v>2.5099836773740465E-3</v>
      </c>
      <c r="G49" s="2"/>
      <c r="H49" s="7">
        <v>30.028400000000001</v>
      </c>
      <c r="I49" s="2"/>
      <c r="J49" s="6">
        <f t="shared" si="15"/>
        <v>4.2133295916935598E-4</v>
      </c>
      <c r="K49" s="2"/>
      <c r="L49" s="7">
        <f t="shared" si="16"/>
        <v>17.041599999999999</v>
      </c>
      <c r="M49" s="2"/>
      <c r="N49" s="6">
        <f t="shared" si="17"/>
        <v>0.56751608477308146</v>
      </c>
      <c r="O49" s="11"/>
      <c r="P49" s="7">
        <v>221.44</v>
      </c>
      <c r="Q49" s="2"/>
      <c r="R49" s="6">
        <f t="shared" si="18"/>
        <v>1.3529646814142092E-3</v>
      </c>
      <c r="S49" s="2"/>
      <c r="T49" s="7">
        <v>179.46340000000001</v>
      </c>
      <c r="U49" s="2"/>
      <c r="V49" s="6">
        <f t="shared" si="19"/>
        <v>5.2564591479577639E-4</v>
      </c>
      <c r="W49" s="2"/>
      <c r="X49" s="7">
        <f t="shared" si="20"/>
        <v>41.976599999999991</v>
      </c>
      <c r="Y49" s="2"/>
      <c r="Z49" s="6">
        <f t="shared" si="21"/>
        <v>0.2339006170617518</v>
      </c>
    </row>
    <row r="50" spans="1:26" s="24" customFormat="1" hidden="1" outlineLevel="2" x14ac:dyDescent="0.35">
      <c r="A50" s="29"/>
      <c r="B50" s="11" t="str">
        <f>CONCATENATE("          ", "6115", " - ", "P.E.R.S.")</f>
        <v xml:space="preserve">          6115 - P.E.R.S.</v>
      </c>
      <c r="C50" s="11"/>
      <c r="D50" s="7">
        <v>543.17999999999995</v>
      </c>
      <c r="E50" s="2"/>
      <c r="F50" s="6">
        <f t="shared" si="14"/>
        <v>2.8964795705885584E-2</v>
      </c>
      <c r="G50" s="2"/>
      <c r="H50" s="7">
        <v>251.79807692307702</v>
      </c>
      <c r="I50" s="2"/>
      <c r="J50" s="6">
        <f t="shared" si="15"/>
        <v>3.5330163732717416E-3</v>
      </c>
      <c r="K50" s="2"/>
      <c r="L50" s="7">
        <f t="shared" si="16"/>
        <v>291.38192307692293</v>
      </c>
      <c r="M50" s="2"/>
      <c r="N50" s="6">
        <f t="shared" si="17"/>
        <v>1.1572047198991855</v>
      </c>
      <c r="O50" s="11"/>
      <c r="P50" s="7">
        <v>2788.32</v>
      </c>
      <c r="Q50" s="2"/>
      <c r="R50" s="6">
        <f t="shared" si="18"/>
        <v>1.7036210623558833E-2</v>
      </c>
      <c r="S50" s="2"/>
      <c r="T50" s="7">
        <v>1561.1480769230791</v>
      </c>
      <c r="U50" s="2"/>
      <c r="V50" s="6">
        <f t="shared" si="19"/>
        <v>4.5725819806484167E-3</v>
      </c>
      <c r="W50" s="2"/>
      <c r="X50" s="7">
        <f t="shared" si="20"/>
        <v>1227.1719230769211</v>
      </c>
      <c r="Y50" s="2"/>
      <c r="Z50" s="6">
        <f t="shared" si="21"/>
        <v>0.78607016286090992</v>
      </c>
    </row>
    <row r="51" spans="1:26" s="24" customFormat="1" hidden="1" outlineLevel="2" x14ac:dyDescent="0.35">
      <c r="A51" s="29"/>
      <c r="B51" s="11" t="str">
        <f>CONCATENATE("          ", "6116", " - ", "EDUCATIONAL BENEFITS")</f>
        <v xml:space="preserve">          6116 - EDUCATIONAL BENEFITS</v>
      </c>
      <c r="C51" s="11"/>
      <c r="D51" s="7"/>
      <c r="E51" s="2"/>
      <c r="F51" s="6">
        <f t="shared" si="14"/>
        <v>0</v>
      </c>
      <c r="G51" s="2"/>
      <c r="H51" s="7">
        <v>0</v>
      </c>
      <c r="I51" s="2"/>
      <c r="J51" s="6">
        <f t="shared" si="15"/>
        <v>0</v>
      </c>
      <c r="K51" s="2"/>
      <c r="L51" s="7">
        <f t="shared" si="16"/>
        <v>0</v>
      </c>
      <c r="M51" s="2"/>
      <c r="N51" s="6">
        <f t="shared" si="17"/>
        <v>0</v>
      </c>
      <c r="O51" s="11"/>
      <c r="P51" s="7"/>
      <c r="Q51" s="2"/>
      <c r="R51" s="6">
        <f t="shared" si="18"/>
        <v>0</v>
      </c>
      <c r="S51" s="2"/>
      <c r="T51" s="7">
        <v>0</v>
      </c>
      <c r="U51" s="2"/>
      <c r="V51" s="6">
        <f t="shared" si="19"/>
        <v>0</v>
      </c>
      <c r="W51" s="2"/>
      <c r="X51" s="7">
        <f t="shared" si="20"/>
        <v>0</v>
      </c>
      <c r="Y51" s="2"/>
      <c r="Z51" s="6">
        <f t="shared" si="21"/>
        <v>0</v>
      </c>
    </row>
    <row r="52" spans="1:26" s="24" customFormat="1" hidden="1" outlineLevel="2" x14ac:dyDescent="0.35">
      <c r="A52" s="29"/>
      <c r="B52" s="11" t="str">
        <f>CONCATENATE("          ", "6118", " - ", "VACATION")</f>
        <v xml:space="preserve">          6118 - VACATION</v>
      </c>
      <c r="C52" s="11"/>
      <c r="D52" s="7">
        <v>438.81</v>
      </c>
      <c r="E52" s="2"/>
      <c r="F52" s="6">
        <f t="shared" si="14"/>
        <v>2.3399318832982907E-2</v>
      </c>
      <c r="G52" s="2"/>
      <c r="H52" s="7">
        <v>146.394230769231</v>
      </c>
      <c r="I52" s="2"/>
      <c r="J52" s="6">
        <f t="shared" si="15"/>
        <v>2.0540792867858987E-3</v>
      </c>
      <c r="K52" s="2"/>
      <c r="L52" s="7">
        <f t="shared" si="16"/>
        <v>292.415769230769</v>
      </c>
      <c r="M52" s="2"/>
      <c r="N52" s="6">
        <f t="shared" si="17"/>
        <v>1.9974541871921134</v>
      </c>
      <c r="O52" s="11"/>
      <c r="P52" s="7">
        <v>3584.5</v>
      </c>
      <c r="Q52" s="2"/>
      <c r="R52" s="6">
        <f t="shared" si="18"/>
        <v>2.1900749189528688E-2</v>
      </c>
      <c r="S52" s="2"/>
      <c r="T52" s="7">
        <v>907.64423076923299</v>
      </c>
      <c r="U52" s="2"/>
      <c r="V52" s="6">
        <f t="shared" si="19"/>
        <v>2.6584778957258262E-3</v>
      </c>
      <c r="W52" s="2"/>
      <c r="X52" s="7">
        <f t="shared" si="20"/>
        <v>2676.8557692307668</v>
      </c>
      <c r="Y52" s="2"/>
      <c r="Z52" s="6">
        <f t="shared" si="21"/>
        <v>2.9492345992902069</v>
      </c>
    </row>
    <row r="53" spans="1:26" s="24" customFormat="1" hidden="1" outlineLevel="2" x14ac:dyDescent="0.35">
      <c r="A53" s="29"/>
      <c r="B53" s="11" t="str">
        <f>CONCATENATE("          ", "6119", " - ", "SICK LEAVE")</f>
        <v xml:space="preserve">          6119 - SICK LEAVE</v>
      </c>
      <c r="C53" s="11"/>
      <c r="D53" s="7">
        <v>331.39</v>
      </c>
      <c r="E53" s="2"/>
      <c r="F53" s="6">
        <f t="shared" si="14"/>
        <v>1.7671202269916832E-2</v>
      </c>
      <c r="G53" s="2"/>
      <c r="H53" s="7">
        <v>232.609230769231</v>
      </c>
      <c r="I53" s="2"/>
      <c r="J53" s="6">
        <f t="shared" si="15"/>
        <v>3.2637748108493196E-3</v>
      </c>
      <c r="K53" s="2"/>
      <c r="L53" s="7">
        <f t="shared" si="16"/>
        <v>98.780769230768982</v>
      </c>
      <c r="M53" s="2"/>
      <c r="N53" s="6">
        <f t="shared" si="17"/>
        <v>0.42466401227545553</v>
      </c>
      <c r="O53" s="11"/>
      <c r="P53" s="7">
        <v>3011.59</v>
      </c>
      <c r="Q53" s="2"/>
      <c r="R53" s="6">
        <f t="shared" si="18"/>
        <v>1.8400356326319627E-2</v>
      </c>
      <c r="S53" s="2"/>
      <c r="T53" s="7">
        <v>1416.3592307692331</v>
      </c>
      <c r="U53" s="2"/>
      <c r="V53" s="6">
        <f t="shared" si="19"/>
        <v>4.1484973734874954E-3</v>
      </c>
      <c r="W53" s="2"/>
      <c r="X53" s="7">
        <f t="shared" si="20"/>
        <v>1595.230769230767</v>
      </c>
      <c r="Y53" s="2"/>
      <c r="Z53" s="6">
        <f t="shared" si="21"/>
        <v>1.1262896690159514</v>
      </c>
    </row>
    <row r="54" spans="1:26" s="24" customFormat="1" hidden="1" outlineLevel="2" x14ac:dyDescent="0.35">
      <c r="A54" s="29"/>
      <c r="B54" s="11" t="str">
        <f>CONCATENATE("          ", "6156", " - ", "EMPLOYEE MEALS")</f>
        <v xml:space="preserve">          6156 - EMPLOYEE MEALS</v>
      </c>
      <c r="C54" s="11"/>
      <c r="D54" s="7">
        <v>63.58</v>
      </c>
      <c r="E54" s="2"/>
      <c r="F54" s="6">
        <f t="shared" si="14"/>
        <v>3.3903709837994874E-3</v>
      </c>
      <c r="G54" s="2"/>
      <c r="H54" s="7">
        <v>175</v>
      </c>
      <c r="I54" s="2"/>
      <c r="J54" s="6">
        <f t="shared" si="15"/>
        <v>2.4554511014452086E-3</v>
      </c>
      <c r="K54" s="2"/>
      <c r="L54" s="7">
        <f t="shared" si="16"/>
        <v>-111.42</v>
      </c>
      <c r="M54" s="2"/>
      <c r="N54" s="6">
        <f t="shared" si="17"/>
        <v>-0.6366857142857143</v>
      </c>
      <c r="O54" s="11"/>
      <c r="P54" s="7">
        <v>1129.17</v>
      </c>
      <c r="Q54" s="2"/>
      <c r="R54" s="6">
        <f t="shared" si="18"/>
        <v>6.8990567617073818E-3</v>
      </c>
      <c r="S54" s="2"/>
      <c r="T54" s="7">
        <v>1225</v>
      </c>
      <c r="U54" s="2"/>
      <c r="V54" s="6">
        <f t="shared" si="19"/>
        <v>3.5880087283804169E-3</v>
      </c>
      <c r="W54" s="2"/>
      <c r="X54" s="7">
        <f t="shared" si="20"/>
        <v>-95.829999999999927</v>
      </c>
      <c r="Y54" s="2"/>
      <c r="Z54" s="6">
        <f t="shared" si="21"/>
        <v>-7.822857142857137E-2</v>
      </c>
    </row>
    <row r="55" spans="1:26" s="28" customFormat="1" outlineLevel="1" collapsed="1" x14ac:dyDescent="0.35">
      <c r="A55" s="27"/>
      <c r="B55" s="14" t="str">
        <f>CONCATENATE("     ","*Payroll                                          ")</f>
        <v xml:space="preserve">     *Payroll                                          </v>
      </c>
      <c r="C55" s="14"/>
      <c r="D55" s="1">
        <f>SUM(OSRRefD22_1x_0)</f>
        <v>10135.630000000001</v>
      </c>
      <c r="E55" s="1"/>
      <c r="F55" s="5">
        <f t="shared" ref="F55:F65" si="22">IF(D$12=0,0,D55/D$12)</f>
        <v>0.54047728616746782</v>
      </c>
      <c r="G55" s="1"/>
      <c r="H55" s="1">
        <f>SUM(OSRRefH22_1x_0)</f>
        <v>11256.596153846149</v>
      </c>
      <c r="I55" s="1"/>
      <c r="J55" s="5">
        <f t="shared" ref="J55:J65" si="23">IF(H$12=0,0,H55/H$12)</f>
        <v>0.15794297956848813</v>
      </c>
      <c r="K55" s="1"/>
      <c r="L55" s="1">
        <f t="shared" ref="L55:L65" si="24">+D55-H55</f>
        <v>-1120.9661538461478</v>
      </c>
      <c r="M55" s="1"/>
      <c r="N55" s="5">
        <f t="shared" ref="N55:N65" si="25">IF(H55=0,0,L55/H55)</f>
        <v>-9.9583047888160803E-2</v>
      </c>
      <c r="O55" s="14"/>
      <c r="P55" s="1">
        <f>SUM(OSRRefP22_1x_0)</f>
        <v>57976.63</v>
      </c>
      <c r="Q55" s="1"/>
      <c r="R55" s="5">
        <f t="shared" ref="R55:R65" si="26">IF(P$12=0,0,P55/P$12)</f>
        <v>0.35422838122028305</v>
      </c>
      <c r="S55" s="1"/>
      <c r="T55" s="1">
        <f>SUM(OSRRefT22_1x_0)</f>
        <v>67209.096153846127</v>
      </c>
      <c r="U55" s="1"/>
      <c r="V55" s="5">
        <f t="shared" ref="V55:V65" si="27">IF(T$12=0,0,T55/T$12)</f>
        <v>0.19685454989923151</v>
      </c>
      <c r="W55" s="1"/>
      <c r="X55" s="1">
        <f t="shared" ref="X55:X65" si="28">+P55-T55</f>
        <v>-9232.4661538461296</v>
      </c>
      <c r="Y55" s="1"/>
      <c r="Z55" s="5">
        <f t="shared" ref="Z55:Z65" si="29">IF(T55=0,0,X55/T55)</f>
        <v>-0.13736929496436606</v>
      </c>
    </row>
    <row r="56" spans="1:26" s="24" customFormat="1" hidden="1" outlineLevel="2" x14ac:dyDescent="0.35">
      <c r="A56" s="29"/>
      <c r="B56" s="11" t="str">
        <f>CONCATENATE("          ", "6001", " - ", "ADMINISTRATIVE SALARIES")</f>
        <v xml:space="preserve">          6001 - ADMINISTRATIVE SALARIES</v>
      </c>
      <c r="C56" s="11"/>
      <c r="D56" s="7"/>
      <c r="E56" s="2"/>
      <c r="F56" s="6">
        <f t="shared" si="22"/>
        <v>0</v>
      </c>
      <c r="G56" s="2"/>
      <c r="H56" s="7">
        <v>0</v>
      </c>
      <c r="I56" s="2"/>
      <c r="J56" s="6">
        <f t="shared" si="23"/>
        <v>0</v>
      </c>
      <c r="K56" s="2"/>
      <c r="L56" s="7">
        <f t="shared" si="24"/>
        <v>0</v>
      </c>
      <c r="M56" s="2"/>
      <c r="N56" s="6">
        <f t="shared" si="25"/>
        <v>0</v>
      </c>
      <c r="O56" s="11"/>
      <c r="P56" s="7"/>
      <c r="Q56" s="2"/>
      <c r="R56" s="6">
        <f t="shared" si="26"/>
        <v>0</v>
      </c>
      <c r="S56" s="2"/>
      <c r="T56" s="7">
        <v>0</v>
      </c>
      <c r="U56" s="2"/>
      <c r="V56" s="6">
        <f t="shared" si="27"/>
        <v>0</v>
      </c>
      <c r="W56" s="2"/>
      <c r="X56" s="7">
        <f t="shared" si="28"/>
        <v>0</v>
      </c>
      <c r="Y56" s="2"/>
      <c r="Z56" s="6">
        <f t="shared" si="29"/>
        <v>0</v>
      </c>
    </row>
    <row r="57" spans="1:26" s="24" customFormat="1" hidden="1" outlineLevel="2" x14ac:dyDescent="0.35">
      <c r="A57" s="29"/>
      <c r="B57" s="11" t="str">
        <f>CONCATENATE("          ", "6002", " - ", "STAFF SALARIES")</f>
        <v xml:space="preserve">          6002 - STAFF SALARIES</v>
      </c>
      <c r="C57" s="11"/>
      <c r="D57" s="7">
        <v>5462.16</v>
      </c>
      <c r="E57" s="2"/>
      <c r="F57" s="6">
        <f t="shared" si="22"/>
        <v>0.29126688853208887</v>
      </c>
      <c r="G57" s="2"/>
      <c r="H57" s="7">
        <v>2635.0961538461497</v>
      </c>
      <c r="I57" s="2"/>
      <c r="J57" s="6">
        <f t="shared" si="23"/>
        <v>3.6973427162146064E-2</v>
      </c>
      <c r="K57" s="2"/>
      <c r="L57" s="7">
        <f t="shared" si="24"/>
        <v>2827.0638461538501</v>
      </c>
      <c r="M57" s="2"/>
      <c r="N57" s="6">
        <f t="shared" si="25"/>
        <v>1.0728503557744968</v>
      </c>
      <c r="O57" s="11"/>
      <c r="P57" s="7">
        <v>33569.879999999997</v>
      </c>
      <c r="Q57" s="2"/>
      <c r="R57" s="6">
        <f t="shared" si="26"/>
        <v>0.20510685512695642</v>
      </c>
      <c r="S57" s="2"/>
      <c r="T57" s="7">
        <v>16337.596153846131</v>
      </c>
      <c r="U57" s="2"/>
      <c r="V57" s="6">
        <f t="shared" si="27"/>
        <v>4.7852602123064691E-2</v>
      </c>
      <c r="W57" s="2"/>
      <c r="X57" s="7">
        <f t="shared" si="28"/>
        <v>17232.283846153867</v>
      </c>
      <c r="Y57" s="2"/>
      <c r="Z57" s="6">
        <f t="shared" si="29"/>
        <v>1.0547625050761897</v>
      </c>
    </row>
    <row r="58" spans="1:26" s="24" customFormat="1" hidden="1" outlineLevel="2" x14ac:dyDescent="0.35">
      <c r="A58" s="29"/>
      <c r="B58" s="11" t="str">
        <f>CONCATENATE("          ", "6003", " - ", "STAFF HOURLY-9 MONTH")</f>
        <v xml:space="preserve">          6003 - STAFF HOURLY-9 MONTH</v>
      </c>
      <c r="C58" s="11"/>
      <c r="D58" s="7"/>
      <c r="E58" s="2"/>
      <c r="F58" s="6">
        <f t="shared" si="22"/>
        <v>0</v>
      </c>
      <c r="G58" s="2"/>
      <c r="H58" s="7">
        <v>0</v>
      </c>
      <c r="I58" s="2"/>
      <c r="J58" s="6">
        <f t="shared" si="23"/>
        <v>0</v>
      </c>
      <c r="K58" s="2"/>
      <c r="L58" s="7">
        <f t="shared" si="24"/>
        <v>0</v>
      </c>
      <c r="M58" s="2"/>
      <c r="N58" s="6">
        <f t="shared" si="25"/>
        <v>0</v>
      </c>
      <c r="O58" s="11"/>
      <c r="P58" s="7"/>
      <c r="Q58" s="2"/>
      <c r="R58" s="6">
        <f t="shared" si="26"/>
        <v>0</v>
      </c>
      <c r="S58" s="2"/>
      <c r="T58" s="7">
        <v>0</v>
      </c>
      <c r="U58" s="2"/>
      <c r="V58" s="6">
        <f t="shared" si="27"/>
        <v>0</v>
      </c>
      <c r="W58" s="2"/>
      <c r="X58" s="7">
        <f t="shared" si="28"/>
        <v>0</v>
      </c>
      <c r="Y58" s="2"/>
      <c r="Z58" s="6">
        <f t="shared" si="29"/>
        <v>0</v>
      </c>
    </row>
    <row r="59" spans="1:26" s="24" customFormat="1" hidden="1" outlineLevel="2" x14ac:dyDescent="0.35">
      <c r="A59" s="29"/>
      <c r="B59" s="11" t="str">
        <f>CONCATENATE("          ", "6004", " - ", "STAFF HOURLY")</f>
        <v xml:space="preserve">          6004 - STAFF HOURLY</v>
      </c>
      <c r="C59" s="11"/>
      <c r="D59" s="7">
        <v>365</v>
      </c>
      <c r="E59" s="2"/>
      <c r="F59" s="6">
        <f t="shared" si="22"/>
        <v>1.9463438331028829E-2</v>
      </c>
      <c r="G59" s="2"/>
      <c r="H59" s="7">
        <v>1699.5</v>
      </c>
      <c r="I59" s="2"/>
      <c r="J59" s="6">
        <f t="shared" si="23"/>
        <v>2.3845937982320754E-2</v>
      </c>
      <c r="K59" s="2"/>
      <c r="L59" s="7">
        <f t="shared" si="24"/>
        <v>-1334.5</v>
      </c>
      <c r="M59" s="2"/>
      <c r="N59" s="6">
        <f t="shared" si="25"/>
        <v>-0.78523095027949397</v>
      </c>
      <c r="O59" s="11"/>
      <c r="P59" s="7">
        <v>3456.21</v>
      </c>
      <c r="Q59" s="2"/>
      <c r="R59" s="6">
        <f t="shared" si="26"/>
        <v>2.11169168241989E-2</v>
      </c>
      <c r="S59" s="2"/>
      <c r="T59" s="7">
        <v>10279.5</v>
      </c>
      <c r="U59" s="2"/>
      <c r="V59" s="6">
        <f t="shared" si="27"/>
        <v>3.0108518957866526E-2</v>
      </c>
      <c r="W59" s="2"/>
      <c r="X59" s="7">
        <f t="shared" si="28"/>
        <v>-6823.29</v>
      </c>
      <c r="Y59" s="2"/>
      <c r="Z59" s="6">
        <f t="shared" si="29"/>
        <v>-0.66377644827083027</v>
      </c>
    </row>
    <row r="60" spans="1:26" s="24" customFormat="1" hidden="1" outlineLevel="2" x14ac:dyDescent="0.35">
      <c r="A60" s="29"/>
      <c r="B60" s="11" t="str">
        <f>CONCATENATE("          ", "6005", " - ", "TEMPORARY WAGES-HOURLY")</f>
        <v xml:space="preserve">          6005 - TEMPORARY WAGES-HOURLY</v>
      </c>
      <c r="C60" s="11"/>
      <c r="D60" s="7">
        <v>1980.01</v>
      </c>
      <c r="E60" s="2"/>
      <c r="F60" s="6">
        <f t="shared" si="22"/>
        <v>0.10558302062964492</v>
      </c>
      <c r="G60" s="2"/>
      <c r="H60" s="7">
        <v>0</v>
      </c>
      <c r="I60" s="2"/>
      <c r="J60" s="6">
        <f t="shared" si="23"/>
        <v>0</v>
      </c>
      <c r="K60" s="2"/>
      <c r="L60" s="7">
        <f t="shared" si="24"/>
        <v>1980.01</v>
      </c>
      <c r="M60" s="2"/>
      <c r="N60" s="6">
        <f t="shared" si="25"/>
        <v>0</v>
      </c>
      <c r="O60" s="11"/>
      <c r="P60" s="7">
        <v>9890.65</v>
      </c>
      <c r="Q60" s="2"/>
      <c r="R60" s="6">
        <f t="shared" si="26"/>
        <v>6.0430365454432117E-2</v>
      </c>
      <c r="S60" s="2"/>
      <c r="T60" s="7">
        <v>0</v>
      </c>
      <c r="U60" s="2"/>
      <c r="V60" s="6">
        <f t="shared" si="27"/>
        <v>0</v>
      </c>
      <c r="W60" s="2"/>
      <c r="X60" s="7">
        <f t="shared" si="28"/>
        <v>9890.65</v>
      </c>
      <c r="Y60" s="2"/>
      <c r="Z60" s="6">
        <f t="shared" si="29"/>
        <v>0</v>
      </c>
    </row>
    <row r="61" spans="1:26" s="24" customFormat="1" hidden="1" outlineLevel="2" x14ac:dyDescent="0.35">
      <c r="A61" s="29"/>
      <c r="B61" s="11" t="str">
        <f>CONCATENATE("          ", "6006", " - ", "TEMPORARY PART TIME")</f>
        <v xml:space="preserve">          6006 - TEMPORARY PART TIME</v>
      </c>
      <c r="C61" s="11"/>
      <c r="D61" s="7"/>
      <c r="E61" s="2"/>
      <c r="F61" s="6">
        <f t="shared" si="22"/>
        <v>0</v>
      </c>
      <c r="G61" s="2"/>
      <c r="H61" s="7">
        <v>0</v>
      </c>
      <c r="I61" s="2"/>
      <c r="J61" s="6">
        <f t="shared" si="23"/>
        <v>0</v>
      </c>
      <c r="K61" s="2"/>
      <c r="L61" s="7">
        <f t="shared" si="24"/>
        <v>0</v>
      </c>
      <c r="M61" s="2"/>
      <c r="N61" s="6">
        <f t="shared" si="25"/>
        <v>0</v>
      </c>
      <c r="O61" s="11"/>
      <c r="P61" s="7"/>
      <c r="Q61" s="2"/>
      <c r="R61" s="6">
        <f t="shared" si="26"/>
        <v>0</v>
      </c>
      <c r="S61" s="2"/>
      <c r="T61" s="7">
        <v>0</v>
      </c>
      <c r="U61" s="2"/>
      <c r="V61" s="6">
        <f t="shared" si="27"/>
        <v>0</v>
      </c>
      <c r="W61" s="2"/>
      <c r="X61" s="7">
        <f t="shared" si="28"/>
        <v>0</v>
      </c>
      <c r="Y61" s="2"/>
      <c r="Z61" s="6">
        <f t="shared" si="29"/>
        <v>0</v>
      </c>
    </row>
    <row r="62" spans="1:26" s="24" customFormat="1" hidden="1" outlineLevel="2" x14ac:dyDescent="0.35">
      <c r="A62" s="29"/>
      <c r="B62" s="11" t="str">
        <f>CONCATENATE("          ", "6007", " - ", "STUDENT HOURLY")</f>
        <v xml:space="preserve">          6007 - STUDENT HOURLY</v>
      </c>
      <c r="C62" s="11"/>
      <c r="D62" s="7">
        <v>2126.86</v>
      </c>
      <c r="E62" s="2"/>
      <c r="F62" s="6">
        <f t="shared" si="22"/>
        <v>0.11341372177734789</v>
      </c>
      <c r="G62" s="2"/>
      <c r="H62" s="7">
        <v>0</v>
      </c>
      <c r="I62" s="2"/>
      <c r="J62" s="6">
        <f t="shared" si="23"/>
        <v>0</v>
      </c>
      <c r="K62" s="2"/>
      <c r="L62" s="7">
        <f t="shared" si="24"/>
        <v>2126.86</v>
      </c>
      <c r="M62" s="2"/>
      <c r="N62" s="6">
        <f t="shared" si="25"/>
        <v>0</v>
      </c>
      <c r="O62" s="11"/>
      <c r="P62" s="7">
        <v>9140.86</v>
      </c>
      <c r="Q62" s="2"/>
      <c r="R62" s="6">
        <f t="shared" si="26"/>
        <v>5.5849262724674352E-2</v>
      </c>
      <c r="S62" s="2"/>
      <c r="T62" s="7">
        <v>11655</v>
      </c>
      <c r="U62" s="2"/>
      <c r="V62" s="6">
        <f t="shared" si="27"/>
        <v>3.4137340187162253E-2</v>
      </c>
      <c r="W62" s="2"/>
      <c r="X62" s="7">
        <f t="shared" si="28"/>
        <v>-2514.1399999999994</v>
      </c>
      <c r="Y62" s="2"/>
      <c r="Z62" s="6">
        <f t="shared" si="29"/>
        <v>-0.21571342771342766</v>
      </c>
    </row>
    <row r="63" spans="1:26" s="24" customFormat="1" hidden="1" outlineLevel="2" x14ac:dyDescent="0.35">
      <c r="A63" s="29"/>
      <c r="B63" s="11" t="str">
        <f>CONCATENATE("          ", "6008", " - ", "STUDENT HOURLY-FICA EXEMPT")</f>
        <v xml:space="preserve">          6008 - STUDENT HOURLY-FICA EXEMPT</v>
      </c>
      <c r="C63" s="11"/>
      <c r="D63" s="7">
        <v>201.6</v>
      </c>
      <c r="E63" s="2"/>
      <c r="F63" s="6">
        <f t="shared" si="22"/>
        <v>1.0750216897357293E-2</v>
      </c>
      <c r="G63" s="2"/>
      <c r="H63" s="7">
        <v>6922</v>
      </c>
      <c r="I63" s="2"/>
      <c r="J63" s="6">
        <f t="shared" si="23"/>
        <v>9.7123614424021329E-2</v>
      </c>
      <c r="K63" s="2"/>
      <c r="L63" s="7">
        <f t="shared" si="24"/>
        <v>-6720.4</v>
      </c>
      <c r="M63" s="2"/>
      <c r="N63" s="6">
        <f t="shared" si="25"/>
        <v>-0.97087546951748049</v>
      </c>
      <c r="O63" s="11"/>
      <c r="P63" s="7">
        <v>1919.03</v>
      </c>
      <c r="Q63" s="2"/>
      <c r="R63" s="6">
        <f t="shared" si="26"/>
        <v>1.1724981090021269E-2</v>
      </c>
      <c r="S63" s="2"/>
      <c r="T63" s="7">
        <v>28937</v>
      </c>
      <c r="U63" s="2"/>
      <c r="V63" s="6">
        <f t="shared" si="27"/>
        <v>8.4756088631138052E-2</v>
      </c>
      <c r="W63" s="2"/>
      <c r="X63" s="7">
        <f t="shared" si="28"/>
        <v>-27017.97</v>
      </c>
      <c r="Y63" s="2"/>
      <c r="Z63" s="6">
        <f t="shared" si="29"/>
        <v>-0.93368248263468923</v>
      </c>
    </row>
    <row r="64" spans="1:26" s="24" customFormat="1" hidden="1" outlineLevel="2" x14ac:dyDescent="0.35">
      <c r="A64" s="29"/>
      <c r="B64" s="11" t="str">
        <f>CONCATENATE("          ", "6009", " - ", "TEMPORARY-SEASONAL")</f>
        <v xml:space="preserve">          6009 - TEMPORARY-SEASONAL</v>
      </c>
      <c r="C64" s="11"/>
      <c r="D64" s="7"/>
      <c r="E64" s="2"/>
      <c r="F64" s="6">
        <f t="shared" si="22"/>
        <v>0</v>
      </c>
      <c r="G64" s="2"/>
      <c r="H64" s="7">
        <v>0</v>
      </c>
      <c r="I64" s="2"/>
      <c r="J64" s="6">
        <f t="shared" si="23"/>
        <v>0</v>
      </c>
      <c r="K64" s="2"/>
      <c r="L64" s="7">
        <f t="shared" si="24"/>
        <v>0</v>
      </c>
      <c r="M64" s="2"/>
      <c r="N64" s="6">
        <f t="shared" si="25"/>
        <v>0</v>
      </c>
      <c r="O64" s="11"/>
      <c r="P64" s="7"/>
      <c r="Q64" s="2"/>
      <c r="R64" s="6">
        <f t="shared" si="26"/>
        <v>0</v>
      </c>
      <c r="S64" s="2"/>
      <c r="T64" s="7">
        <v>0</v>
      </c>
      <c r="U64" s="2"/>
      <c r="V64" s="6">
        <f t="shared" si="27"/>
        <v>0</v>
      </c>
      <c r="W64" s="2"/>
      <c r="X64" s="7">
        <f t="shared" si="28"/>
        <v>0</v>
      </c>
      <c r="Y64" s="2"/>
      <c r="Z64" s="6">
        <f t="shared" si="29"/>
        <v>0</v>
      </c>
    </row>
    <row r="65" spans="1:26" s="24" customFormat="1" hidden="1" outlineLevel="2" x14ac:dyDescent="0.35">
      <c r="A65" s="29"/>
      <c r="B65" s="11" t="str">
        <f>CONCATENATE("          ", "6010", " - ", "GRATUITY")</f>
        <v xml:space="preserve">          6010 - GRATUITY</v>
      </c>
      <c r="C65" s="11"/>
      <c r="D65" s="7"/>
      <c r="E65" s="2"/>
      <c r="F65" s="6">
        <f t="shared" si="22"/>
        <v>0</v>
      </c>
      <c r="G65" s="2"/>
      <c r="H65" s="7">
        <v>0</v>
      </c>
      <c r="I65" s="2"/>
      <c r="J65" s="6">
        <f t="shared" si="23"/>
        <v>0</v>
      </c>
      <c r="K65" s="2"/>
      <c r="L65" s="7">
        <f t="shared" si="24"/>
        <v>0</v>
      </c>
      <c r="M65" s="2"/>
      <c r="N65" s="6">
        <f t="shared" si="25"/>
        <v>0</v>
      </c>
      <c r="O65" s="11"/>
      <c r="P65" s="7"/>
      <c r="Q65" s="2"/>
      <c r="R65" s="6">
        <f t="shared" si="26"/>
        <v>0</v>
      </c>
      <c r="S65" s="2"/>
      <c r="T65" s="7">
        <v>0</v>
      </c>
      <c r="U65" s="2"/>
      <c r="V65" s="6">
        <f t="shared" si="27"/>
        <v>0</v>
      </c>
      <c r="W65" s="2"/>
      <c r="X65" s="7">
        <f t="shared" si="28"/>
        <v>0</v>
      </c>
      <c r="Y65" s="2"/>
      <c r="Z65" s="6">
        <f t="shared" si="29"/>
        <v>0</v>
      </c>
    </row>
    <row r="66" spans="1:26" s="28" customFormat="1" outlineLevel="1" collapsed="1" x14ac:dyDescent="0.35">
      <c r="A66" s="27"/>
      <c r="B66" s="14" t="str">
        <f>CONCATENATE("     ","Advertising/Promo                                 ")</f>
        <v xml:space="preserve">     Advertising/Promo                                 </v>
      </c>
      <c r="C66" s="14"/>
      <c r="D66" s="1">
        <f>SUM(OSRRefD22_2x_0)</f>
        <v>0</v>
      </c>
      <c r="E66" s="1"/>
      <c r="F66" s="5">
        <f t="shared" ref="F66:F80" si="30">IF(D$12=0,0,D66/D$12)</f>
        <v>0</v>
      </c>
      <c r="G66" s="1"/>
      <c r="H66" s="1">
        <f>SUM(OSRRefH22_2x_0)</f>
        <v>50</v>
      </c>
      <c r="I66" s="1"/>
      <c r="J66" s="5">
        <f t="shared" ref="J66:J80" si="31">IF(H$12=0,0,H66/H$12)</f>
        <v>7.0155745755577377E-4</v>
      </c>
      <c r="K66" s="1"/>
      <c r="L66" s="1">
        <f t="shared" ref="L66:L80" si="32">+D66-H66</f>
        <v>-50</v>
      </c>
      <c r="M66" s="1"/>
      <c r="N66" s="5">
        <f t="shared" ref="N66:N80" si="33">IF(H66=0,0,L66/H66)</f>
        <v>-1</v>
      </c>
      <c r="O66" s="14"/>
      <c r="P66" s="1">
        <f>SUM(OSRRefP22_2x_0)</f>
        <v>1024.2</v>
      </c>
      <c r="Q66" s="1"/>
      <c r="R66" s="5">
        <f t="shared" ref="R66:R80" si="34">IF(P$12=0,0,P66/P$12)</f>
        <v>6.2577060454499329E-3</v>
      </c>
      <c r="S66" s="1"/>
      <c r="T66" s="1">
        <f>SUM(OSRRefT22_2x_0)</f>
        <v>350</v>
      </c>
      <c r="U66" s="1"/>
      <c r="V66" s="5">
        <f t="shared" ref="V66:V80" si="35">IF(T$12=0,0,T66/T$12)</f>
        <v>1.0251453509658333E-3</v>
      </c>
      <c r="W66" s="1"/>
      <c r="X66" s="1">
        <f t="shared" ref="X66:X80" si="36">+P66-T66</f>
        <v>674.2</v>
      </c>
      <c r="Y66" s="1"/>
      <c r="Z66" s="5">
        <f t="shared" ref="Z66:Z80" si="37">IF(T66=0,0,X66/T66)</f>
        <v>1.9262857142857144</v>
      </c>
    </row>
    <row r="67" spans="1:26" s="24" customFormat="1" hidden="1" outlineLevel="2" x14ac:dyDescent="0.35">
      <c r="A67" s="29"/>
      <c r="B67" s="11" t="str">
        <f>CONCATENATE("          ", "6362", " - ", "ADVERTISING EXPENSE")</f>
        <v xml:space="preserve">          6362 - ADVERTISING EXPENSE</v>
      </c>
      <c r="C67" s="11"/>
      <c r="D67" s="7"/>
      <c r="E67" s="2"/>
      <c r="F67" s="6">
        <f t="shared" si="30"/>
        <v>0</v>
      </c>
      <c r="G67" s="2"/>
      <c r="H67" s="7">
        <v>50</v>
      </c>
      <c r="I67" s="2"/>
      <c r="J67" s="6">
        <f t="shared" si="31"/>
        <v>7.0155745755577377E-4</v>
      </c>
      <c r="K67" s="2"/>
      <c r="L67" s="7">
        <f t="shared" si="32"/>
        <v>-50</v>
      </c>
      <c r="M67" s="2"/>
      <c r="N67" s="6">
        <f t="shared" si="33"/>
        <v>-1</v>
      </c>
      <c r="O67" s="11"/>
      <c r="P67" s="7">
        <v>1024.2</v>
      </c>
      <c r="Q67" s="2"/>
      <c r="R67" s="6">
        <f t="shared" si="34"/>
        <v>6.2577060454499329E-3</v>
      </c>
      <c r="S67" s="2"/>
      <c r="T67" s="7">
        <v>350</v>
      </c>
      <c r="U67" s="2"/>
      <c r="V67" s="6">
        <f t="shared" si="35"/>
        <v>1.0251453509658333E-3</v>
      </c>
      <c r="W67" s="2"/>
      <c r="X67" s="7">
        <f t="shared" si="36"/>
        <v>674.2</v>
      </c>
      <c r="Y67" s="2"/>
      <c r="Z67" s="6">
        <f t="shared" si="37"/>
        <v>1.9262857142857144</v>
      </c>
    </row>
    <row r="68" spans="1:26" s="28" customFormat="1" outlineLevel="1" collapsed="1" x14ac:dyDescent="0.35">
      <c r="A68" s="27"/>
      <c r="B68" s="14" t="str">
        <f>CONCATENATE("     ","Bad Debts/Over/Short                              ")</f>
        <v xml:space="preserve">     Bad Debts/Over/Short                              </v>
      </c>
      <c r="C68" s="14"/>
      <c r="D68" s="1">
        <f>SUM(OSRRefD22_3x_0)</f>
        <v>-0.41</v>
      </c>
      <c r="E68" s="1"/>
      <c r="F68" s="5">
        <f t="shared" si="30"/>
        <v>-2.1863040317046082E-5</v>
      </c>
      <c r="G68" s="1"/>
      <c r="H68" s="1">
        <f>SUM(OSRRefH22_3x_0)</f>
        <v>10</v>
      </c>
      <c r="I68" s="1"/>
      <c r="J68" s="5">
        <f t="shared" si="31"/>
        <v>1.4031149151115475E-4</v>
      </c>
      <c r="K68" s="1"/>
      <c r="L68" s="1">
        <f t="shared" si="32"/>
        <v>-10.41</v>
      </c>
      <c r="M68" s="1"/>
      <c r="N68" s="5">
        <f t="shared" si="33"/>
        <v>-1.0409999999999999</v>
      </c>
      <c r="O68" s="14"/>
      <c r="P68" s="1">
        <f>SUM(OSRRefP22_3x_0)</f>
        <v>-1.8</v>
      </c>
      <c r="Q68" s="1"/>
      <c r="R68" s="5">
        <f t="shared" si="34"/>
        <v>-1.099772591467475E-5</v>
      </c>
      <c r="S68" s="1"/>
      <c r="T68" s="1">
        <f>SUM(OSRRefT22_3x_0)</f>
        <v>70</v>
      </c>
      <c r="U68" s="1"/>
      <c r="V68" s="5">
        <f t="shared" si="35"/>
        <v>2.0502907019316667E-4</v>
      </c>
      <c r="W68" s="1"/>
      <c r="X68" s="1">
        <f t="shared" si="36"/>
        <v>-71.8</v>
      </c>
      <c r="Y68" s="1"/>
      <c r="Z68" s="5">
        <f t="shared" si="37"/>
        <v>-1.0257142857142856</v>
      </c>
    </row>
    <row r="69" spans="1:26" s="24" customFormat="1" hidden="1" outlineLevel="2" x14ac:dyDescent="0.35">
      <c r="A69" s="29"/>
      <c r="B69" s="11" t="str">
        <f>CONCATENATE("          ", "6272", " - ", "CASH (OVER/SHORT)")</f>
        <v xml:space="preserve">          6272 - CASH (OVER/SHORT)</v>
      </c>
      <c r="C69" s="11"/>
      <c r="D69" s="7">
        <v>-0.41</v>
      </c>
      <c r="E69" s="2"/>
      <c r="F69" s="6">
        <f t="shared" si="30"/>
        <v>-2.1863040317046082E-5</v>
      </c>
      <c r="G69" s="2"/>
      <c r="H69" s="7">
        <v>10</v>
      </c>
      <c r="I69" s="2"/>
      <c r="J69" s="6">
        <f t="shared" si="31"/>
        <v>1.4031149151115475E-4</v>
      </c>
      <c r="K69" s="2"/>
      <c r="L69" s="7">
        <f t="shared" si="32"/>
        <v>-10.41</v>
      </c>
      <c r="M69" s="2"/>
      <c r="N69" s="6">
        <f t="shared" si="33"/>
        <v>-1.0409999999999999</v>
      </c>
      <c r="O69" s="11"/>
      <c r="P69" s="7">
        <v>-1.8</v>
      </c>
      <c r="Q69" s="2"/>
      <c r="R69" s="6">
        <f t="shared" si="34"/>
        <v>-1.099772591467475E-5</v>
      </c>
      <c r="S69" s="2"/>
      <c r="T69" s="7">
        <v>70</v>
      </c>
      <c r="U69" s="2"/>
      <c r="V69" s="6">
        <f t="shared" si="35"/>
        <v>2.0502907019316667E-4</v>
      </c>
      <c r="W69" s="2"/>
      <c r="X69" s="7">
        <f t="shared" si="36"/>
        <v>-71.8</v>
      </c>
      <c r="Y69" s="2"/>
      <c r="Z69" s="6">
        <f t="shared" si="37"/>
        <v>-1.0257142857142856</v>
      </c>
    </row>
    <row r="70" spans="1:26" s="28" customFormat="1" outlineLevel="1" collapsed="1" x14ac:dyDescent="0.35">
      <c r="A70" s="27"/>
      <c r="B70" s="14" t="str">
        <f>CONCATENATE("     ","Bank/card Fees                                    ")</f>
        <v xml:space="preserve">     Bank/card Fees                                    </v>
      </c>
      <c r="C70" s="14"/>
      <c r="D70" s="1">
        <f>SUM(OSRRefD22_4x_0)</f>
        <v>244.74</v>
      </c>
      <c r="E70" s="1"/>
      <c r="F70" s="5">
        <f t="shared" si="30"/>
        <v>1.3050635334619167E-2</v>
      </c>
      <c r="G70" s="1"/>
      <c r="H70" s="1">
        <f>SUM(OSRRefH22_4x_0)</f>
        <v>490</v>
      </c>
      <c r="I70" s="1"/>
      <c r="J70" s="5">
        <f t="shared" si="31"/>
        <v>6.8752630840465834E-3</v>
      </c>
      <c r="K70" s="1"/>
      <c r="L70" s="1">
        <f t="shared" si="32"/>
        <v>-245.26</v>
      </c>
      <c r="M70" s="1"/>
      <c r="N70" s="5">
        <f t="shared" si="33"/>
        <v>-0.50053061224489792</v>
      </c>
      <c r="O70" s="14"/>
      <c r="P70" s="1">
        <f>SUM(OSRRefP22_4x_0)</f>
        <v>2559.0100000000002</v>
      </c>
      <c r="Q70" s="1"/>
      <c r="R70" s="5">
        <f t="shared" si="34"/>
        <v>1.5635161440506574E-2</v>
      </c>
      <c r="S70" s="1"/>
      <c r="T70" s="1">
        <f>SUM(OSRRefT22_4x_0)</f>
        <v>4986</v>
      </c>
      <c r="U70" s="1"/>
      <c r="V70" s="5">
        <f t="shared" si="35"/>
        <v>1.4603927771187557E-2</v>
      </c>
      <c r="W70" s="1"/>
      <c r="X70" s="1">
        <f t="shared" si="36"/>
        <v>-2426.9899999999998</v>
      </c>
      <c r="Y70" s="1"/>
      <c r="Z70" s="5">
        <f t="shared" si="37"/>
        <v>-0.48676093060569592</v>
      </c>
    </row>
    <row r="71" spans="1:26" s="24" customFormat="1" hidden="1" outlineLevel="2" x14ac:dyDescent="0.35">
      <c r="A71" s="29"/>
      <c r="B71" s="11" t="str">
        <f>CONCATENATE("          ", "6381", " - ", "BANK/CREDIT CARD FEES")</f>
        <v xml:space="preserve">          6381 - BANK/CREDIT CARD FEES</v>
      </c>
      <c r="C71" s="11"/>
      <c r="D71" s="7">
        <v>244.74</v>
      </c>
      <c r="E71" s="2"/>
      <c r="F71" s="6">
        <f t="shared" si="30"/>
        <v>1.3050635334619167E-2</v>
      </c>
      <c r="G71" s="2"/>
      <c r="H71" s="7">
        <v>490</v>
      </c>
      <c r="I71" s="2"/>
      <c r="J71" s="6">
        <f t="shared" si="31"/>
        <v>6.8752630840465834E-3</v>
      </c>
      <c r="K71" s="2"/>
      <c r="L71" s="7">
        <f t="shared" si="32"/>
        <v>-245.26</v>
      </c>
      <c r="M71" s="2"/>
      <c r="N71" s="6">
        <f t="shared" si="33"/>
        <v>-0.50053061224489792</v>
      </c>
      <c r="O71" s="11"/>
      <c r="P71" s="7">
        <v>2559.0100000000002</v>
      </c>
      <c r="Q71" s="2"/>
      <c r="R71" s="6">
        <f t="shared" si="34"/>
        <v>1.5635161440506574E-2</v>
      </c>
      <c r="S71" s="2"/>
      <c r="T71" s="7">
        <v>4986</v>
      </c>
      <c r="U71" s="2"/>
      <c r="V71" s="6">
        <f t="shared" si="35"/>
        <v>1.4603927771187557E-2</v>
      </c>
      <c r="W71" s="2"/>
      <c r="X71" s="7">
        <f t="shared" si="36"/>
        <v>-2426.9899999999998</v>
      </c>
      <c r="Y71" s="2"/>
      <c r="Z71" s="6">
        <f t="shared" si="37"/>
        <v>-0.48676093060569592</v>
      </c>
    </row>
    <row r="72" spans="1:26" s="28" customFormat="1" outlineLevel="1" collapsed="1" x14ac:dyDescent="0.35">
      <c r="A72" s="27"/>
      <c r="B72" s="14" t="str">
        <f>CONCATENATE("     ","Discounts and Markdowns                           ")</f>
        <v xml:space="preserve">     Discounts and Markdowns                           </v>
      </c>
      <c r="C72" s="14"/>
      <c r="D72" s="1">
        <f>SUM(OSRRefD22_5x_0)</f>
        <v>0</v>
      </c>
      <c r="E72" s="1"/>
      <c r="F72" s="5">
        <f t="shared" si="30"/>
        <v>0</v>
      </c>
      <c r="G72" s="1"/>
      <c r="H72" s="1">
        <f>SUM(OSRRefH22_5x_0)</f>
        <v>7127</v>
      </c>
      <c r="I72" s="1"/>
      <c r="J72" s="5">
        <f t="shared" si="31"/>
        <v>0.1</v>
      </c>
      <c r="K72" s="1"/>
      <c r="L72" s="1">
        <f t="shared" si="32"/>
        <v>-7127</v>
      </c>
      <c r="M72" s="1"/>
      <c r="N72" s="5">
        <f t="shared" si="33"/>
        <v>-1</v>
      </c>
      <c r="O72" s="14"/>
      <c r="P72" s="1">
        <f>SUM(OSRRefP22_5x_0)</f>
        <v>0</v>
      </c>
      <c r="Q72" s="1"/>
      <c r="R72" s="5">
        <f t="shared" si="34"/>
        <v>0</v>
      </c>
      <c r="S72" s="1"/>
      <c r="T72" s="1">
        <f>SUM(OSRRefT22_5x_0)</f>
        <v>34142</v>
      </c>
      <c r="U72" s="1"/>
      <c r="V72" s="5">
        <f t="shared" si="35"/>
        <v>0.10000146449335852</v>
      </c>
      <c r="W72" s="1"/>
      <c r="X72" s="1">
        <f t="shared" si="36"/>
        <v>-34142</v>
      </c>
      <c r="Y72" s="1"/>
      <c r="Z72" s="5">
        <f t="shared" si="37"/>
        <v>-1</v>
      </c>
    </row>
    <row r="73" spans="1:26" s="24" customFormat="1" hidden="1" outlineLevel="2" x14ac:dyDescent="0.35">
      <c r="A73" s="29"/>
      <c r="B73" s="11" t="str">
        <f>CONCATENATE("          ", "6382", " - ", "DISCOUNTS/MARK DOWNS")</f>
        <v xml:space="preserve">          6382 - DISCOUNTS/MARK DOWNS</v>
      </c>
      <c r="C73" s="11"/>
      <c r="D73" s="7"/>
      <c r="E73" s="2"/>
      <c r="F73" s="6">
        <f t="shared" si="30"/>
        <v>0</v>
      </c>
      <c r="G73" s="2"/>
      <c r="H73" s="7">
        <v>7127</v>
      </c>
      <c r="I73" s="2"/>
      <c r="J73" s="6">
        <f t="shared" si="31"/>
        <v>0.1</v>
      </c>
      <c r="K73" s="2"/>
      <c r="L73" s="7">
        <f t="shared" si="32"/>
        <v>-7127</v>
      </c>
      <c r="M73" s="2"/>
      <c r="N73" s="6">
        <f t="shared" si="33"/>
        <v>-1</v>
      </c>
      <c r="O73" s="11"/>
      <c r="P73" s="7">
        <v>0</v>
      </c>
      <c r="Q73" s="2"/>
      <c r="R73" s="6">
        <f t="shared" si="34"/>
        <v>0</v>
      </c>
      <c r="S73" s="2"/>
      <c r="T73" s="7">
        <v>34142</v>
      </c>
      <c r="U73" s="2"/>
      <c r="V73" s="6">
        <f t="shared" si="35"/>
        <v>0.10000146449335852</v>
      </c>
      <c r="W73" s="2"/>
      <c r="X73" s="7">
        <f t="shared" si="36"/>
        <v>-34142</v>
      </c>
      <c r="Y73" s="2"/>
      <c r="Z73" s="6">
        <f t="shared" si="37"/>
        <v>-1</v>
      </c>
    </row>
    <row r="74" spans="1:26" s="28" customFormat="1" outlineLevel="1" collapsed="1" x14ac:dyDescent="0.35">
      <c r="A74" s="27"/>
      <c r="B74" s="14" t="str">
        <f>CONCATENATE("     ","Donations                                         ")</f>
        <v xml:space="preserve">     Donations                                         </v>
      </c>
      <c r="C74" s="14"/>
      <c r="D74" s="1">
        <f>SUM(OSRRefD22_6x_0)</f>
        <v>0</v>
      </c>
      <c r="E74" s="1"/>
      <c r="F74" s="5">
        <f t="shared" si="30"/>
        <v>0</v>
      </c>
      <c r="G74" s="1"/>
      <c r="H74" s="1">
        <f>SUM(OSRRefH22_6x_0)</f>
        <v>0</v>
      </c>
      <c r="I74" s="1"/>
      <c r="J74" s="5">
        <f t="shared" si="31"/>
        <v>0</v>
      </c>
      <c r="K74" s="1"/>
      <c r="L74" s="1">
        <f t="shared" si="32"/>
        <v>0</v>
      </c>
      <c r="M74" s="1"/>
      <c r="N74" s="5">
        <f t="shared" si="33"/>
        <v>0</v>
      </c>
      <c r="O74" s="14"/>
      <c r="P74" s="1">
        <f>SUM(OSRRefP22_6x_0)</f>
        <v>0</v>
      </c>
      <c r="Q74" s="1"/>
      <c r="R74" s="5">
        <f t="shared" si="34"/>
        <v>0</v>
      </c>
      <c r="S74" s="1"/>
      <c r="T74" s="1">
        <f>SUM(OSRRefT22_6x_0)</f>
        <v>0</v>
      </c>
      <c r="U74" s="1"/>
      <c r="V74" s="5">
        <f t="shared" si="35"/>
        <v>0</v>
      </c>
      <c r="W74" s="1"/>
      <c r="X74" s="1">
        <f t="shared" si="36"/>
        <v>0</v>
      </c>
      <c r="Y74" s="1"/>
      <c r="Z74" s="5">
        <f t="shared" si="37"/>
        <v>0</v>
      </c>
    </row>
    <row r="75" spans="1:26" s="24" customFormat="1" hidden="1" outlineLevel="2" x14ac:dyDescent="0.35">
      <c r="A75" s="29"/>
      <c r="B75" s="11" t="str">
        <f>CONCATENATE("          ", "6395", " - ", "DONATION-OFF CAMPUS")</f>
        <v xml:space="preserve">          6395 - DONATION-OFF CAMPUS</v>
      </c>
      <c r="C75" s="11"/>
      <c r="D75" s="7"/>
      <c r="E75" s="2"/>
      <c r="F75" s="6">
        <f t="shared" si="30"/>
        <v>0</v>
      </c>
      <c r="G75" s="2"/>
      <c r="H75" s="7"/>
      <c r="I75" s="2"/>
      <c r="J75" s="6">
        <f t="shared" si="31"/>
        <v>0</v>
      </c>
      <c r="K75" s="2"/>
      <c r="L75" s="7">
        <f t="shared" si="32"/>
        <v>0</v>
      </c>
      <c r="M75" s="2"/>
      <c r="N75" s="6">
        <f t="shared" si="33"/>
        <v>0</v>
      </c>
      <c r="O75" s="11"/>
      <c r="P75" s="7"/>
      <c r="Q75" s="2"/>
      <c r="R75" s="6">
        <f t="shared" si="34"/>
        <v>0</v>
      </c>
      <c r="S75" s="2"/>
      <c r="T75" s="7">
        <v>0</v>
      </c>
      <c r="U75" s="2"/>
      <c r="V75" s="6">
        <f t="shared" si="35"/>
        <v>0</v>
      </c>
      <c r="W75" s="2"/>
      <c r="X75" s="7">
        <f t="shared" si="36"/>
        <v>0</v>
      </c>
      <c r="Y75" s="2"/>
      <c r="Z75" s="6">
        <f t="shared" si="37"/>
        <v>0</v>
      </c>
    </row>
    <row r="76" spans="1:26" s="28" customFormat="1" outlineLevel="1" collapsed="1" x14ac:dyDescent="0.35">
      <c r="A76" s="27"/>
      <c r="B76" s="14" t="str">
        <f>CONCATENATE("     ","Employees' Appreciation                           ")</f>
        <v xml:space="preserve">     Employees' Appreciation                           </v>
      </c>
      <c r="C76" s="14"/>
      <c r="D76" s="1">
        <f>SUM(OSRRefD22_7x_0)</f>
        <v>0</v>
      </c>
      <c r="E76" s="1"/>
      <c r="F76" s="5">
        <f t="shared" si="30"/>
        <v>0</v>
      </c>
      <c r="G76" s="1"/>
      <c r="H76" s="1">
        <f>SUM(OSRRefH22_7x_0)</f>
        <v>50</v>
      </c>
      <c r="I76" s="1"/>
      <c r="J76" s="5">
        <f t="shared" si="31"/>
        <v>7.0155745755577377E-4</v>
      </c>
      <c r="K76" s="1"/>
      <c r="L76" s="1">
        <f t="shared" si="32"/>
        <v>-50</v>
      </c>
      <c r="M76" s="1"/>
      <c r="N76" s="5">
        <f t="shared" si="33"/>
        <v>-1</v>
      </c>
      <c r="O76" s="14"/>
      <c r="P76" s="1">
        <f>SUM(OSRRefP22_7x_0)</f>
        <v>0</v>
      </c>
      <c r="Q76" s="1"/>
      <c r="R76" s="5">
        <f t="shared" si="34"/>
        <v>0</v>
      </c>
      <c r="S76" s="1"/>
      <c r="T76" s="1">
        <f>SUM(OSRRefT22_7x_0)</f>
        <v>350</v>
      </c>
      <c r="U76" s="1"/>
      <c r="V76" s="5">
        <f t="shared" si="35"/>
        <v>1.0251453509658333E-3</v>
      </c>
      <c r="W76" s="1"/>
      <c r="X76" s="1">
        <f t="shared" si="36"/>
        <v>-350</v>
      </c>
      <c r="Y76" s="1"/>
      <c r="Z76" s="5">
        <f t="shared" si="37"/>
        <v>-1</v>
      </c>
    </row>
    <row r="77" spans="1:26" s="24" customFormat="1" hidden="1" outlineLevel="2" x14ac:dyDescent="0.35">
      <c r="A77" s="29"/>
      <c r="B77" s="11" t="str">
        <f>CONCATENATE("          ", "6277", " - ", "EMPLOYEE APPRECIATION")</f>
        <v xml:space="preserve">          6277 - EMPLOYEE APPRECIATION</v>
      </c>
      <c r="C77" s="11"/>
      <c r="D77" s="7"/>
      <c r="E77" s="2"/>
      <c r="F77" s="6">
        <f t="shared" si="30"/>
        <v>0</v>
      </c>
      <c r="G77" s="2"/>
      <c r="H77" s="7">
        <v>50</v>
      </c>
      <c r="I77" s="2"/>
      <c r="J77" s="6">
        <f t="shared" si="31"/>
        <v>7.0155745755577377E-4</v>
      </c>
      <c r="K77" s="2"/>
      <c r="L77" s="7">
        <f t="shared" si="32"/>
        <v>-50</v>
      </c>
      <c r="M77" s="2"/>
      <c r="N77" s="6">
        <f t="shared" si="33"/>
        <v>-1</v>
      </c>
      <c r="O77" s="11"/>
      <c r="P77" s="7"/>
      <c r="Q77" s="2"/>
      <c r="R77" s="6">
        <f t="shared" si="34"/>
        <v>0</v>
      </c>
      <c r="S77" s="2"/>
      <c r="T77" s="7">
        <v>350</v>
      </c>
      <c r="U77" s="2"/>
      <c r="V77" s="6">
        <f t="shared" si="35"/>
        <v>1.0251453509658333E-3</v>
      </c>
      <c r="W77" s="2"/>
      <c r="X77" s="7">
        <f t="shared" si="36"/>
        <v>-350</v>
      </c>
      <c r="Y77" s="2"/>
      <c r="Z77" s="6">
        <f t="shared" si="37"/>
        <v>-1</v>
      </c>
    </row>
    <row r="78" spans="1:26" s="28" customFormat="1" outlineLevel="1" collapsed="1" x14ac:dyDescent="0.35">
      <c r="A78" s="27"/>
      <c r="B78" s="14" t="str">
        <f>CONCATENATE("     ","General                                           ")</f>
        <v xml:space="preserve">     General                                           </v>
      </c>
      <c r="C78" s="14"/>
      <c r="D78" s="1">
        <f>SUM(OSRRefD22_8x_0)</f>
        <v>0</v>
      </c>
      <c r="E78" s="1"/>
      <c r="F78" s="5">
        <f t="shared" si="30"/>
        <v>0</v>
      </c>
      <c r="G78" s="1"/>
      <c r="H78" s="1">
        <f>SUM(OSRRefH22_8x_0)</f>
        <v>0</v>
      </c>
      <c r="I78" s="1"/>
      <c r="J78" s="5">
        <f t="shared" si="31"/>
        <v>0</v>
      </c>
      <c r="K78" s="1"/>
      <c r="L78" s="1">
        <f t="shared" si="32"/>
        <v>0</v>
      </c>
      <c r="M78" s="1"/>
      <c r="N78" s="5">
        <f t="shared" si="33"/>
        <v>0</v>
      </c>
      <c r="O78" s="14"/>
      <c r="P78" s="1">
        <f>SUM(OSRRefP22_8x_0)</f>
        <v>1285.46</v>
      </c>
      <c r="Q78" s="1"/>
      <c r="R78" s="5">
        <f t="shared" si="34"/>
        <v>7.8539648634876683E-3</v>
      </c>
      <c r="S78" s="1"/>
      <c r="T78" s="1">
        <f>SUM(OSRRefT22_8x_0)</f>
        <v>1700</v>
      </c>
      <c r="U78" s="1"/>
      <c r="V78" s="5">
        <f t="shared" si="35"/>
        <v>4.9792774189769051E-3</v>
      </c>
      <c r="W78" s="1"/>
      <c r="X78" s="1">
        <f t="shared" si="36"/>
        <v>-414.53999999999996</v>
      </c>
      <c r="Y78" s="1"/>
      <c r="Z78" s="5">
        <f t="shared" si="37"/>
        <v>-0.24384705882352939</v>
      </c>
    </row>
    <row r="79" spans="1:26" s="24" customFormat="1" hidden="1" outlineLevel="2" x14ac:dyDescent="0.35">
      <c r="A79" s="29"/>
      <c r="B79" s="11" t="str">
        <f>CONCATENATE("          ", "6276", " - ", "PROPERTY TAX")</f>
        <v xml:space="preserve">          6276 - PROPERTY TAX</v>
      </c>
      <c r="C79" s="11"/>
      <c r="D79" s="7"/>
      <c r="E79" s="2"/>
      <c r="F79" s="6">
        <f t="shared" si="30"/>
        <v>0</v>
      </c>
      <c r="G79" s="2"/>
      <c r="H79" s="7"/>
      <c r="I79" s="2"/>
      <c r="J79" s="6">
        <f t="shared" si="31"/>
        <v>0</v>
      </c>
      <c r="K79" s="2"/>
      <c r="L79" s="7">
        <f t="shared" si="32"/>
        <v>0</v>
      </c>
      <c r="M79" s="2"/>
      <c r="N79" s="6">
        <f t="shared" si="33"/>
        <v>0</v>
      </c>
      <c r="O79" s="11"/>
      <c r="P79" s="7"/>
      <c r="Q79" s="2"/>
      <c r="R79" s="6">
        <f t="shared" si="34"/>
        <v>0</v>
      </c>
      <c r="S79" s="2"/>
      <c r="T79" s="7">
        <v>150</v>
      </c>
      <c r="U79" s="2"/>
      <c r="V79" s="6">
        <f t="shared" si="35"/>
        <v>4.393480075567857E-4</v>
      </c>
      <c r="W79" s="2"/>
      <c r="X79" s="7">
        <f t="shared" si="36"/>
        <v>-150</v>
      </c>
      <c r="Y79" s="2"/>
      <c r="Z79" s="6">
        <f t="shared" si="37"/>
        <v>-1</v>
      </c>
    </row>
    <row r="80" spans="1:26" s="24" customFormat="1" hidden="1" outlineLevel="2" x14ac:dyDescent="0.35">
      <c r="A80" s="29"/>
      <c r="B80" s="11" t="str">
        <f>CONCATENATE("          ", "6279", " - ", "GENERAL EXPENSE")</f>
        <v xml:space="preserve">          6279 - GENERAL EXPENSE</v>
      </c>
      <c r="C80" s="11"/>
      <c r="D80" s="7"/>
      <c r="E80" s="2"/>
      <c r="F80" s="6">
        <f t="shared" si="30"/>
        <v>0</v>
      </c>
      <c r="G80" s="2"/>
      <c r="H80" s="7">
        <v>0</v>
      </c>
      <c r="I80" s="2"/>
      <c r="J80" s="6">
        <f t="shared" si="31"/>
        <v>0</v>
      </c>
      <c r="K80" s="2"/>
      <c r="L80" s="7">
        <f t="shared" si="32"/>
        <v>0</v>
      </c>
      <c r="M80" s="2"/>
      <c r="N80" s="6">
        <f t="shared" si="33"/>
        <v>0</v>
      </c>
      <c r="O80" s="11"/>
      <c r="P80" s="7">
        <v>1285.46</v>
      </c>
      <c r="Q80" s="2"/>
      <c r="R80" s="6">
        <f t="shared" si="34"/>
        <v>7.8539648634876683E-3</v>
      </c>
      <c r="S80" s="2"/>
      <c r="T80" s="7">
        <v>1550</v>
      </c>
      <c r="U80" s="2"/>
      <c r="V80" s="6">
        <f t="shared" si="35"/>
        <v>4.5399294114201192E-3</v>
      </c>
      <c r="W80" s="2"/>
      <c r="X80" s="7">
        <f t="shared" si="36"/>
        <v>-264.53999999999996</v>
      </c>
      <c r="Y80" s="2"/>
      <c r="Z80" s="6">
        <f t="shared" si="37"/>
        <v>-0.17067096774193546</v>
      </c>
    </row>
    <row r="81" spans="1:26" s="28" customFormat="1" outlineLevel="1" collapsed="1" x14ac:dyDescent="0.35">
      <c r="A81" s="27"/>
      <c r="B81" s="14" t="str">
        <f>CONCATENATE("     ","Insurance                                         ")</f>
        <v xml:space="preserve">     Insurance                                         </v>
      </c>
      <c r="C81" s="14"/>
      <c r="D81" s="1">
        <f>SUM(OSRRefD22_9x_0)</f>
        <v>161.18</v>
      </c>
      <c r="E81" s="1"/>
      <c r="F81" s="5">
        <f t="shared" ref="F81:F91" si="38">IF(D$12=0,0,D81/D$12)</f>
        <v>8.5948410690280183E-3</v>
      </c>
      <c r="G81" s="1"/>
      <c r="H81" s="1">
        <f>SUM(OSRRefH22_9x_0)</f>
        <v>176</v>
      </c>
      <c r="I81" s="1"/>
      <c r="J81" s="5">
        <f t="shared" ref="J81:J91" si="39">IF(H$12=0,0,H81/H$12)</f>
        <v>2.4694822505963239E-3</v>
      </c>
      <c r="K81" s="1"/>
      <c r="L81" s="1">
        <f t="shared" ref="L81:L91" si="40">+D81-H81</f>
        <v>-14.819999999999993</v>
      </c>
      <c r="M81" s="1"/>
      <c r="N81" s="5">
        <f t="shared" ref="N81:N91" si="41">IF(H81=0,0,L81/H81)</f>
        <v>-8.4204545454545421E-2</v>
      </c>
      <c r="O81" s="14"/>
      <c r="P81" s="1">
        <f>SUM(OSRRefP22_9x_0)</f>
        <v>1128.26</v>
      </c>
      <c r="Q81" s="1"/>
      <c r="R81" s="5">
        <f t="shared" ref="R81:R91" si="42">IF(P$12=0,0,P81/P$12)</f>
        <v>6.8934968002727403E-3</v>
      </c>
      <c r="S81" s="1"/>
      <c r="T81" s="1">
        <f>SUM(OSRRefT22_9x_0)</f>
        <v>1232</v>
      </c>
      <c r="U81" s="1"/>
      <c r="V81" s="5">
        <f t="shared" ref="V81:V91" si="43">IF(T$12=0,0,T81/T$12)</f>
        <v>3.6085116353997333E-3</v>
      </c>
      <c r="W81" s="1"/>
      <c r="X81" s="1">
        <f t="shared" ref="X81:X91" si="44">+P81-T81</f>
        <v>-103.74000000000001</v>
      </c>
      <c r="Y81" s="1"/>
      <c r="Z81" s="5">
        <f t="shared" ref="Z81:Z91" si="45">IF(T81=0,0,X81/T81)</f>
        <v>-8.4204545454545462E-2</v>
      </c>
    </row>
    <row r="82" spans="1:26" s="24" customFormat="1" hidden="1" outlineLevel="2" x14ac:dyDescent="0.35">
      <c r="A82" s="29"/>
      <c r="B82" s="11" t="str">
        <f>CONCATENATE("          ", "6314", " - ", "LIABILITY INSURANCE")</f>
        <v xml:space="preserve">          6314 - LIABILITY INSURANCE</v>
      </c>
      <c r="C82" s="11"/>
      <c r="D82" s="7">
        <v>161.18</v>
      </c>
      <c r="E82" s="2"/>
      <c r="F82" s="6">
        <f t="shared" si="38"/>
        <v>8.5948410690280183E-3</v>
      </c>
      <c r="G82" s="2"/>
      <c r="H82" s="7">
        <v>176</v>
      </c>
      <c r="I82" s="2"/>
      <c r="J82" s="6">
        <f t="shared" si="39"/>
        <v>2.4694822505963239E-3</v>
      </c>
      <c r="K82" s="2"/>
      <c r="L82" s="7">
        <f t="shared" si="40"/>
        <v>-14.819999999999993</v>
      </c>
      <c r="M82" s="2"/>
      <c r="N82" s="6">
        <f t="shared" si="41"/>
        <v>-8.4204545454545421E-2</v>
      </c>
      <c r="O82" s="11"/>
      <c r="P82" s="7">
        <v>1128.26</v>
      </c>
      <c r="Q82" s="2"/>
      <c r="R82" s="6">
        <f t="shared" si="42"/>
        <v>6.8934968002727403E-3</v>
      </c>
      <c r="S82" s="2"/>
      <c r="T82" s="7">
        <v>1232</v>
      </c>
      <c r="U82" s="2"/>
      <c r="V82" s="6">
        <f t="shared" si="43"/>
        <v>3.6085116353997333E-3</v>
      </c>
      <c r="W82" s="2"/>
      <c r="X82" s="7">
        <f t="shared" si="44"/>
        <v>-103.74000000000001</v>
      </c>
      <c r="Y82" s="2"/>
      <c r="Z82" s="6">
        <f t="shared" si="45"/>
        <v>-8.4204545454545462E-2</v>
      </c>
    </row>
    <row r="83" spans="1:26" s="28" customFormat="1" outlineLevel="1" collapsed="1" x14ac:dyDescent="0.35">
      <c r="A83" s="27"/>
      <c r="B83" s="14" t="str">
        <f>CONCATENATE("     ","Inventory Adjustment                              ")</f>
        <v xml:space="preserve">     Inventory Adjustment                              </v>
      </c>
      <c r="C83" s="14"/>
      <c r="D83" s="1">
        <f>SUM(OSRRefD22_10x_0)</f>
        <v>100</v>
      </c>
      <c r="E83" s="1"/>
      <c r="F83" s="5">
        <f t="shared" si="38"/>
        <v>5.3324488578161177E-3</v>
      </c>
      <c r="G83" s="1"/>
      <c r="H83" s="1">
        <f>SUM(OSRRefH22_10x_0)</f>
        <v>100</v>
      </c>
      <c r="I83" s="1"/>
      <c r="J83" s="5">
        <f t="shared" si="39"/>
        <v>1.4031149151115475E-3</v>
      </c>
      <c r="K83" s="1"/>
      <c r="L83" s="1">
        <f t="shared" si="40"/>
        <v>0</v>
      </c>
      <c r="M83" s="1"/>
      <c r="N83" s="5">
        <f t="shared" si="41"/>
        <v>0</v>
      </c>
      <c r="O83" s="14"/>
      <c r="P83" s="1">
        <f>SUM(OSRRefP22_10x_0)</f>
        <v>700</v>
      </c>
      <c r="Q83" s="1"/>
      <c r="R83" s="5">
        <f t="shared" si="42"/>
        <v>4.276893411262403E-3</v>
      </c>
      <c r="S83" s="1"/>
      <c r="T83" s="1">
        <f>SUM(OSRRefT22_10x_0)</f>
        <v>700</v>
      </c>
      <c r="U83" s="1"/>
      <c r="V83" s="5">
        <f t="shared" si="43"/>
        <v>2.0502907019316666E-3</v>
      </c>
      <c r="W83" s="1"/>
      <c r="X83" s="1">
        <f t="shared" si="44"/>
        <v>0</v>
      </c>
      <c r="Y83" s="1"/>
      <c r="Z83" s="5">
        <f t="shared" si="45"/>
        <v>0</v>
      </c>
    </row>
    <row r="84" spans="1:26" s="24" customFormat="1" hidden="1" outlineLevel="2" x14ac:dyDescent="0.35">
      <c r="A84" s="29"/>
      <c r="B84" s="11" t="str">
        <f>CONCATENATE("          ", "6408", " - ", "INVENTORY ADJUSTMENT")</f>
        <v xml:space="preserve">          6408 - INVENTORY ADJUSTMENT</v>
      </c>
      <c r="C84" s="11"/>
      <c r="D84" s="7">
        <v>100</v>
      </c>
      <c r="E84" s="2"/>
      <c r="F84" s="6">
        <f t="shared" si="38"/>
        <v>5.3324488578161177E-3</v>
      </c>
      <c r="G84" s="2"/>
      <c r="H84" s="7">
        <v>100</v>
      </c>
      <c r="I84" s="2"/>
      <c r="J84" s="6">
        <f t="shared" si="39"/>
        <v>1.4031149151115475E-3</v>
      </c>
      <c r="K84" s="2"/>
      <c r="L84" s="7">
        <f t="shared" si="40"/>
        <v>0</v>
      </c>
      <c r="M84" s="2"/>
      <c r="N84" s="6">
        <f t="shared" si="41"/>
        <v>0</v>
      </c>
      <c r="O84" s="11"/>
      <c r="P84" s="7">
        <v>700</v>
      </c>
      <c r="Q84" s="2"/>
      <c r="R84" s="6">
        <f t="shared" si="42"/>
        <v>4.276893411262403E-3</v>
      </c>
      <c r="S84" s="2"/>
      <c r="T84" s="7">
        <v>700</v>
      </c>
      <c r="U84" s="2"/>
      <c r="V84" s="6">
        <f t="shared" si="43"/>
        <v>2.0502907019316666E-3</v>
      </c>
      <c r="W84" s="2"/>
      <c r="X84" s="7">
        <f t="shared" si="44"/>
        <v>0</v>
      </c>
      <c r="Y84" s="2"/>
      <c r="Z84" s="6">
        <f t="shared" si="45"/>
        <v>0</v>
      </c>
    </row>
    <row r="85" spans="1:26" s="28" customFormat="1" outlineLevel="1" collapsed="1" x14ac:dyDescent="0.35">
      <c r="A85" s="27"/>
      <c r="B85" s="14" t="str">
        <f>CONCATENATE("     ","Professional Services                             ")</f>
        <v xml:space="preserve">     Professional Services                             </v>
      </c>
      <c r="C85" s="14"/>
      <c r="D85" s="1">
        <f>SUM(OSRRefD22_11x_0)</f>
        <v>0</v>
      </c>
      <c r="E85" s="1"/>
      <c r="F85" s="5">
        <f t="shared" si="38"/>
        <v>0</v>
      </c>
      <c r="G85" s="1"/>
      <c r="H85" s="1">
        <f>SUM(OSRRefH22_11x_0)</f>
        <v>0</v>
      </c>
      <c r="I85" s="1"/>
      <c r="J85" s="5">
        <f t="shared" si="39"/>
        <v>0</v>
      </c>
      <c r="K85" s="1"/>
      <c r="L85" s="1">
        <f t="shared" si="40"/>
        <v>0</v>
      </c>
      <c r="M85" s="1"/>
      <c r="N85" s="5">
        <f t="shared" si="41"/>
        <v>0</v>
      </c>
      <c r="O85" s="14"/>
      <c r="P85" s="1">
        <f>SUM(OSRRefP22_11x_0)</f>
        <v>0</v>
      </c>
      <c r="Q85" s="1"/>
      <c r="R85" s="5">
        <f t="shared" si="42"/>
        <v>0</v>
      </c>
      <c r="S85" s="1"/>
      <c r="T85" s="1">
        <f>SUM(OSRRefT22_11x_0)</f>
        <v>750</v>
      </c>
      <c r="U85" s="1"/>
      <c r="V85" s="5">
        <f t="shared" si="43"/>
        <v>2.1967400377839287E-3</v>
      </c>
      <c r="W85" s="1"/>
      <c r="X85" s="1">
        <f t="shared" si="44"/>
        <v>-750</v>
      </c>
      <c r="Y85" s="1"/>
      <c r="Z85" s="5">
        <f t="shared" si="45"/>
        <v>-1</v>
      </c>
    </row>
    <row r="86" spans="1:26" s="24" customFormat="1" hidden="1" outlineLevel="2" x14ac:dyDescent="0.35">
      <c r="A86" s="29"/>
      <c r="B86" s="11" t="str">
        <f>CONCATENATE("          ", "6336", " - ", "PROFESSIONAL SERVICES")</f>
        <v xml:space="preserve">          6336 - PROFESSIONAL SERVICES</v>
      </c>
      <c r="C86" s="11"/>
      <c r="D86" s="7"/>
      <c r="E86" s="2"/>
      <c r="F86" s="6">
        <f t="shared" si="38"/>
        <v>0</v>
      </c>
      <c r="G86" s="2"/>
      <c r="H86" s="7">
        <v>0</v>
      </c>
      <c r="I86" s="2"/>
      <c r="J86" s="6">
        <f t="shared" si="39"/>
        <v>0</v>
      </c>
      <c r="K86" s="2"/>
      <c r="L86" s="7">
        <f t="shared" si="40"/>
        <v>0</v>
      </c>
      <c r="M86" s="2"/>
      <c r="N86" s="6">
        <f t="shared" si="41"/>
        <v>0</v>
      </c>
      <c r="O86" s="11"/>
      <c r="P86" s="7"/>
      <c r="Q86" s="2"/>
      <c r="R86" s="6">
        <f t="shared" si="42"/>
        <v>0</v>
      </c>
      <c r="S86" s="2"/>
      <c r="T86" s="7">
        <v>750</v>
      </c>
      <c r="U86" s="2"/>
      <c r="V86" s="6">
        <f t="shared" si="43"/>
        <v>2.1967400377839287E-3</v>
      </c>
      <c r="W86" s="2"/>
      <c r="X86" s="7">
        <f t="shared" si="44"/>
        <v>-750</v>
      </c>
      <c r="Y86" s="2"/>
      <c r="Z86" s="6">
        <f t="shared" si="45"/>
        <v>-1</v>
      </c>
    </row>
    <row r="87" spans="1:26" s="28" customFormat="1" outlineLevel="1" collapsed="1" x14ac:dyDescent="0.35">
      <c r="A87" s="27"/>
      <c r="B87" s="14" t="str">
        <f>CONCATENATE("     ","Rent                                              ")</f>
        <v xml:space="preserve">     Rent                                              </v>
      </c>
      <c r="C87" s="14"/>
      <c r="D87" s="1">
        <f>SUM(OSRRefD22_12x_0)</f>
        <v>6900</v>
      </c>
      <c r="E87" s="1"/>
      <c r="F87" s="5">
        <f t="shared" si="38"/>
        <v>0.36793897118931213</v>
      </c>
      <c r="G87" s="1"/>
      <c r="H87" s="1">
        <f>SUM(OSRRefH22_12x_0)</f>
        <v>6900</v>
      </c>
      <c r="I87" s="1"/>
      <c r="J87" s="5">
        <f t="shared" si="39"/>
        <v>9.6814929142696793E-2</v>
      </c>
      <c r="K87" s="1"/>
      <c r="L87" s="1">
        <f t="shared" si="40"/>
        <v>0</v>
      </c>
      <c r="M87" s="1"/>
      <c r="N87" s="5">
        <f t="shared" si="41"/>
        <v>0</v>
      </c>
      <c r="O87" s="14"/>
      <c r="P87" s="1">
        <f>SUM(OSRRefP22_12x_0)</f>
        <v>48300</v>
      </c>
      <c r="Q87" s="1"/>
      <c r="R87" s="5">
        <f t="shared" si="42"/>
        <v>0.29510564537710576</v>
      </c>
      <c r="S87" s="1"/>
      <c r="T87" s="1">
        <f>SUM(OSRRefT22_12x_0)</f>
        <v>48301</v>
      </c>
      <c r="U87" s="1"/>
      <c r="V87" s="5">
        <f t="shared" si="43"/>
        <v>0.14147298742000206</v>
      </c>
      <c r="W87" s="1"/>
      <c r="X87" s="1">
        <f t="shared" si="44"/>
        <v>-1</v>
      </c>
      <c r="Y87" s="1"/>
      <c r="Z87" s="5">
        <f t="shared" si="45"/>
        <v>-2.0703505103414008E-5</v>
      </c>
    </row>
    <row r="88" spans="1:26" s="24" customFormat="1" hidden="1" outlineLevel="2" x14ac:dyDescent="0.35">
      <c r="A88" s="29"/>
      <c r="B88" s="11" t="str">
        <f>CONCATENATE("          ", "6273", " - ", "RENT")</f>
        <v xml:space="preserve">          6273 - RENT</v>
      </c>
      <c r="C88" s="11"/>
      <c r="D88" s="7">
        <v>6900</v>
      </c>
      <c r="E88" s="2"/>
      <c r="F88" s="6">
        <f t="shared" si="38"/>
        <v>0.36793897118931213</v>
      </c>
      <c r="G88" s="2"/>
      <c r="H88" s="7">
        <v>6900</v>
      </c>
      <c r="I88" s="2"/>
      <c r="J88" s="6">
        <f t="shared" si="39"/>
        <v>9.6814929142696793E-2</v>
      </c>
      <c r="K88" s="2"/>
      <c r="L88" s="7">
        <f t="shared" si="40"/>
        <v>0</v>
      </c>
      <c r="M88" s="2"/>
      <c r="N88" s="6">
        <f t="shared" si="41"/>
        <v>0</v>
      </c>
      <c r="O88" s="11"/>
      <c r="P88" s="7">
        <v>48300</v>
      </c>
      <c r="Q88" s="2"/>
      <c r="R88" s="6">
        <f t="shared" si="42"/>
        <v>0.29510564537710576</v>
      </c>
      <c r="S88" s="2"/>
      <c r="T88" s="7">
        <v>48301</v>
      </c>
      <c r="U88" s="2"/>
      <c r="V88" s="6">
        <f t="shared" si="43"/>
        <v>0.14147298742000206</v>
      </c>
      <c r="W88" s="2"/>
      <c r="X88" s="7">
        <f t="shared" si="44"/>
        <v>-1</v>
      </c>
      <c r="Y88" s="2"/>
      <c r="Z88" s="6">
        <f t="shared" si="45"/>
        <v>-2.0703505103414008E-5</v>
      </c>
    </row>
    <row r="89" spans="1:26" s="28" customFormat="1" outlineLevel="1" collapsed="1" x14ac:dyDescent="0.35">
      <c r="A89" s="27"/>
      <c r="B89" s="14" t="str">
        <f>CONCATENATE("     ","Repair and Maintenance                            ")</f>
        <v xml:space="preserve">     Repair and Maintenance                            </v>
      </c>
      <c r="C89" s="14"/>
      <c r="D89" s="1">
        <f>SUM(OSRRefD22_13x_0)</f>
        <v>0</v>
      </c>
      <c r="E89" s="1"/>
      <c r="F89" s="5">
        <f t="shared" si="38"/>
        <v>0</v>
      </c>
      <c r="G89" s="1"/>
      <c r="H89" s="1">
        <f>SUM(OSRRefH22_13x_0)</f>
        <v>100</v>
      </c>
      <c r="I89" s="1"/>
      <c r="J89" s="5">
        <f t="shared" si="39"/>
        <v>1.4031149151115475E-3</v>
      </c>
      <c r="K89" s="1"/>
      <c r="L89" s="1">
        <f t="shared" si="40"/>
        <v>-100</v>
      </c>
      <c r="M89" s="1"/>
      <c r="N89" s="5">
        <f t="shared" si="41"/>
        <v>-1</v>
      </c>
      <c r="O89" s="14"/>
      <c r="P89" s="1">
        <f>SUM(OSRRefP22_13x_0)</f>
        <v>96.44</v>
      </c>
      <c r="Q89" s="1"/>
      <c r="R89" s="5">
        <f t="shared" si="42"/>
        <v>5.8923371511735161E-4</v>
      </c>
      <c r="S89" s="1"/>
      <c r="T89" s="1">
        <f>SUM(OSRRefT22_13x_0)</f>
        <v>700</v>
      </c>
      <c r="U89" s="1"/>
      <c r="V89" s="5">
        <f t="shared" si="43"/>
        <v>2.0502907019316666E-3</v>
      </c>
      <c r="W89" s="1"/>
      <c r="X89" s="1">
        <f t="shared" si="44"/>
        <v>-603.55999999999995</v>
      </c>
      <c r="Y89" s="1"/>
      <c r="Z89" s="5">
        <f t="shared" si="45"/>
        <v>-0.86222857142857134</v>
      </c>
    </row>
    <row r="90" spans="1:26" s="24" customFormat="1" hidden="1" outlineLevel="2" x14ac:dyDescent="0.35">
      <c r="A90" s="29"/>
      <c r="B90" s="11" t="str">
        <f>CONCATENATE("          ", "6373", " - ", "MAINTENANCE CONTRACTS")</f>
        <v xml:space="preserve">          6373 - MAINTENANCE CONTRACTS</v>
      </c>
      <c r="C90" s="11"/>
      <c r="D90" s="7"/>
      <c r="E90" s="2"/>
      <c r="F90" s="6">
        <f t="shared" si="38"/>
        <v>0</v>
      </c>
      <c r="G90" s="2"/>
      <c r="H90" s="7"/>
      <c r="I90" s="2"/>
      <c r="J90" s="6">
        <f t="shared" si="39"/>
        <v>0</v>
      </c>
      <c r="K90" s="2"/>
      <c r="L90" s="7">
        <f t="shared" si="40"/>
        <v>0</v>
      </c>
      <c r="M90" s="2"/>
      <c r="N90" s="6">
        <f t="shared" si="41"/>
        <v>0</v>
      </c>
      <c r="O90" s="11"/>
      <c r="P90" s="7">
        <v>96.44</v>
      </c>
      <c r="Q90" s="2"/>
      <c r="R90" s="6">
        <f t="shared" si="42"/>
        <v>5.8923371511735161E-4</v>
      </c>
      <c r="S90" s="2"/>
      <c r="T90" s="7"/>
      <c r="U90" s="2"/>
      <c r="V90" s="6">
        <f t="shared" si="43"/>
        <v>0</v>
      </c>
      <c r="W90" s="2"/>
      <c r="X90" s="7">
        <f t="shared" si="44"/>
        <v>96.44</v>
      </c>
      <c r="Y90" s="2"/>
      <c r="Z90" s="6">
        <f t="shared" si="45"/>
        <v>0</v>
      </c>
    </row>
    <row r="91" spans="1:26" s="24" customFormat="1" hidden="1" outlineLevel="2" x14ac:dyDescent="0.35">
      <c r="A91" s="29"/>
      <c r="B91" s="11" t="str">
        <f>CONCATENATE("          ", "6375", " - ", "OUTSIDE REPAIRS &amp; MAINTENANCE")</f>
        <v xml:space="preserve">          6375 - OUTSIDE REPAIRS &amp; MAINTENANCE</v>
      </c>
      <c r="C91" s="11"/>
      <c r="D91" s="7"/>
      <c r="E91" s="2"/>
      <c r="F91" s="6">
        <f t="shared" si="38"/>
        <v>0</v>
      </c>
      <c r="G91" s="2"/>
      <c r="H91" s="7">
        <v>100</v>
      </c>
      <c r="I91" s="2"/>
      <c r="J91" s="6">
        <f t="shared" si="39"/>
        <v>1.4031149151115475E-3</v>
      </c>
      <c r="K91" s="2"/>
      <c r="L91" s="7">
        <f t="shared" si="40"/>
        <v>-100</v>
      </c>
      <c r="M91" s="2"/>
      <c r="N91" s="6">
        <f t="shared" si="41"/>
        <v>-1</v>
      </c>
      <c r="O91" s="11"/>
      <c r="P91" s="7"/>
      <c r="Q91" s="2"/>
      <c r="R91" s="6">
        <f t="shared" si="42"/>
        <v>0</v>
      </c>
      <c r="S91" s="2"/>
      <c r="T91" s="7">
        <v>700</v>
      </c>
      <c r="U91" s="2"/>
      <c r="V91" s="6">
        <f t="shared" si="43"/>
        <v>2.0502907019316666E-3</v>
      </c>
      <c r="W91" s="2"/>
      <c r="X91" s="7">
        <f t="shared" si="44"/>
        <v>-700</v>
      </c>
      <c r="Y91" s="2"/>
      <c r="Z91" s="6">
        <f t="shared" si="45"/>
        <v>-1</v>
      </c>
    </row>
    <row r="92" spans="1:26" s="28" customFormat="1" outlineLevel="1" collapsed="1" x14ac:dyDescent="0.35">
      <c r="A92" s="27"/>
      <c r="B92" s="14" t="str">
        <f>CONCATENATE("     ","Services                                          ")</f>
        <v xml:space="preserve">     Services                                          </v>
      </c>
      <c r="C92" s="14"/>
      <c r="D92" s="1">
        <f>SUM(OSRRefD22_14x_0)</f>
        <v>81.84</v>
      </c>
      <c r="E92" s="1"/>
      <c r="F92" s="5">
        <f t="shared" ref="F92:F95" si="46">IF(D$12=0,0,D92/D$12)</f>
        <v>4.3640761452367113E-3</v>
      </c>
      <c r="G92" s="1"/>
      <c r="H92" s="1">
        <f>SUM(OSRRefH22_14x_0)</f>
        <v>480</v>
      </c>
      <c r="I92" s="1"/>
      <c r="J92" s="5">
        <f t="shared" ref="J92:J95" si="47">IF(H$12=0,0,H92/H$12)</f>
        <v>6.734951592535429E-3</v>
      </c>
      <c r="K92" s="1"/>
      <c r="L92" s="1">
        <f t="shared" ref="L92:L95" si="48">+D92-H92</f>
        <v>-398.15999999999997</v>
      </c>
      <c r="M92" s="1"/>
      <c r="N92" s="5">
        <f t="shared" ref="N92:N95" si="49">IF(H92=0,0,L92/H92)</f>
        <v>-0.8294999999999999</v>
      </c>
      <c r="O92" s="14"/>
      <c r="P92" s="1">
        <f>SUM(OSRRefP22_14x_0)</f>
        <v>274.65999999999997</v>
      </c>
      <c r="Q92" s="1"/>
      <c r="R92" s="5">
        <f t="shared" ref="R92:R95" si="50">IF(P$12=0,0,P92/P$12)</f>
        <v>1.6781307776247592E-3</v>
      </c>
      <c r="S92" s="1"/>
      <c r="T92" s="1">
        <f>SUM(OSRRefT22_14x_0)</f>
        <v>1520</v>
      </c>
      <c r="U92" s="1"/>
      <c r="V92" s="5">
        <f t="shared" ref="V92:V95" si="51">IF(T$12=0,0,T92/T$12)</f>
        <v>4.452059809908762E-3</v>
      </c>
      <c r="W92" s="1"/>
      <c r="X92" s="1">
        <f t="shared" ref="X92:X95" si="52">+P92-T92</f>
        <v>-1245.3400000000001</v>
      </c>
      <c r="Y92" s="1"/>
      <c r="Z92" s="5">
        <f t="shared" ref="Z92:Z95" si="53">IF(T92=0,0,X92/T92)</f>
        <v>-0.81930263157894745</v>
      </c>
    </row>
    <row r="93" spans="1:26" s="24" customFormat="1" hidden="1" outlineLevel="2" x14ac:dyDescent="0.35">
      <c r="A93" s="29"/>
      <c r="B93" s="11" t="str">
        <f>CONCATENATE("          ", "6283", " - ", "PLANT SERVICE")</f>
        <v xml:space="preserve">          6283 - PLANT SERVICE</v>
      </c>
      <c r="C93" s="11"/>
      <c r="D93" s="7"/>
      <c r="E93" s="2"/>
      <c r="F93" s="6">
        <f t="shared" si="46"/>
        <v>0</v>
      </c>
      <c r="G93" s="2"/>
      <c r="H93" s="7">
        <v>0</v>
      </c>
      <c r="I93" s="2"/>
      <c r="J93" s="6">
        <f t="shared" si="47"/>
        <v>0</v>
      </c>
      <c r="K93" s="2"/>
      <c r="L93" s="7">
        <f t="shared" si="48"/>
        <v>0</v>
      </c>
      <c r="M93" s="2"/>
      <c r="N93" s="6">
        <f t="shared" si="49"/>
        <v>0</v>
      </c>
      <c r="O93" s="11"/>
      <c r="P93" s="7">
        <v>41.31</v>
      </c>
      <c r="Q93" s="2"/>
      <c r="R93" s="6">
        <f t="shared" si="50"/>
        <v>2.5239780974178552E-4</v>
      </c>
      <c r="S93" s="2"/>
      <c r="T93" s="7">
        <v>0</v>
      </c>
      <c r="U93" s="2"/>
      <c r="V93" s="6">
        <f t="shared" si="51"/>
        <v>0</v>
      </c>
      <c r="W93" s="2"/>
      <c r="X93" s="7">
        <f t="shared" si="52"/>
        <v>41.31</v>
      </c>
      <c r="Y93" s="2"/>
      <c r="Z93" s="6">
        <f t="shared" si="53"/>
        <v>0</v>
      </c>
    </row>
    <row r="94" spans="1:26" s="24" customFormat="1" hidden="1" outlineLevel="2" x14ac:dyDescent="0.35">
      <c r="A94" s="29"/>
      <c r="B94" s="11" t="str">
        <f>CONCATENATE("          ", "6284", " - ", "TRASH REMOVAL EXPENSE")</f>
        <v xml:space="preserve">          6284 - TRASH REMOVAL EXPENSE</v>
      </c>
      <c r="C94" s="11"/>
      <c r="D94" s="7">
        <v>142.57</v>
      </c>
      <c r="E94" s="2"/>
      <c r="F94" s="6">
        <f t="shared" si="46"/>
        <v>7.6024723365884384E-3</v>
      </c>
      <c r="G94" s="2"/>
      <c r="H94" s="7">
        <v>55</v>
      </c>
      <c r="I94" s="2"/>
      <c r="J94" s="6">
        <f t="shared" si="47"/>
        <v>7.717132033113512E-4</v>
      </c>
      <c r="K94" s="2"/>
      <c r="L94" s="7">
        <f t="shared" si="48"/>
        <v>87.57</v>
      </c>
      <c r="M94" s="2"/>
      <c r="N94" s="6">
        <f t="shared" si="49"/>
        <v>1.5921818181818181</v>
      </c>
      <c r="O94" s="11"/>
      <c r="P94" s="7">
        <v>1013.01</v>
      </c>
      <c r="Q94" s="2"/>
      <c r="R94" s="6">
        <f t="shared" si="50"/>
        <v>6.1893368493470382E-3</v>
      </c>
      <c r="S94" s="2"/>
      <c r="T94" s="7">
        <v>495</v>
      </c>
      <c r="U94" s="2"/>
      <c r="V94" s="6">
        <f t="shared" si="51"/>
        <v>1.4498484249373929E-3</v>
      </c>
      <c r="W94" s="2"/>
      <c r="X94" s="7">
        <f t="shared" si="52"/>
        <v>518.01</v>
      </c>
      <c r="Y94" s="2"/>
      <c r="Z94" s="6">
        <f t="shared" si="53"/>
        <v>1.0464848484848486</v>
      </c>
    </row>
    <row r="95" spans="1:26" s="24" customFormat="1" hidden="1" outlineLevel="2" x14ac:dyDescent="0.35">
      <c r="A95" s="29"/>
      <c r="B95" s="11" t="str">
        <f>CONCATENATE("          ", "6285", " - ", "JANITORIAL SERVICES")</f>
        <v xml:space="preserve">          6285 - JANITORIAL SERVICES</v>
      </c>
      <c r="C95" s="11"/>
      <c r="D95" s="7">
        <v>-60.73</v>
      </c>
      <c r="E95" s="2"/>
      <c r="F95" s="6">
        <f t="shared" si="46"/>
        <v>-3.238396191351728E-3</v>
      </c>
      <c r="G95" s="2"/>
      <c r="H95" s="7">
        <v>425</v>
      </c>
      <c r="I95" s="2"/>
      <c r="J95" s="6">
        <f t="shared" si="47"/>
        <v>5.9632383892240775E-3</v>
      </c>
      <c r="K95" s="2"/>
      <c r="L95" s="7">
        <f t="shared" si="48"/>
        <v>-485.73</v>
      </c>
      <c r="M95" s="2"/>
      <c r="N95" s="6">
        <f t="shared" si="49"/>
        <v>-1.1428941176470588</v>
      </c>
      <c r="O95" s="11"/>
      <c r="P95" s="7">
        <v>-779.66</v>
      </c>
      <c r="Q95" s="2"/>
      <c r="R95" s="6">
        <f t="shared" si="50"/>
        <v>-4.763603881464064E-3</v>
      </c>
      <c r="S95" s="2"/>
      <c r="T95" s="7">
        <v>1025</v>
      </c>
      <c r="U95" s="2"/>
      <c r="V95" s="6">
        <f t="shared" si="51"/>
        <v>3.0022113849713693E-3</v>
      </c>
      <c r="W95" s="2"/>
      <c r="X95" s="7">
        <f t="shared" si="52"/>
        <v>-1804.6599999999999</v>
      </c>
      <c r="Y95" s="2"/>
      <c r="Z95" s="6">
        <f t="shared" si="53"/>
        <v>-1.7606439024390244</v>
      </c>
    </row>
    <row r="96" spans="1:26" s="28" customFormat="1" outlineLevel="1" collapsed="1" x14ac:dyDescent="0.35">
      <c r="A96" s="27"/>
      <c r="B96" s="14" t="str">
        <f>CONCATENATE("     ","Subscriptions &amp; Dues                              ")</f>
        <v xml:space="preserve">     Subscriptions &amp; Dues                              </v>
      </c>
      <c r="C96" s="14"/>
      <c r="D96" s="1">
        <f>SUM(OSRRefD22_15x_0)</f>
        <v>75</v>
      </c>
      <c r="E96" s="1"/>
      <c r="F96" s="5">
        <f t="shared" ref="F96:F98" si="54">IF(D$12=0,0,D96/D$12)</f>
        <v>3.9993366433620885E-3</v>
      </c>
      <c r="G96" s="1"/>
      <c r="H96" s="1">
        <f>SUM(OSRRefH22_15x_0)</f>
        <v>0</v>
      </c>
      <c r="I96" s="1"/>
      <c r="J96" s="5">
        <f t="shared" ref="J96:J98" si="55">IF(H$12=0,0,H96/H$12)</f>
        <v>0</v>
      </c>
      <c r="K96" s="1"/>
      <c r="L96" s="1">
        <f t="shared" ref="L96:L98" si="56">+D96-H96</f>
        <v>75</v>
      </c>
      <c r="M96" s="1"/>
      <c r="N96" s="5">
        <f t="shared" ref="N96:N98" si="57">IF(H96=0,0,L96/H96)</f>
        <v>0</v>
      </c>
      <c r="O96" s="14"/>
      <c r="P96" s="1">
        <f>SUM(OSRRefP22_15x_0)</f>
        <v>164.27</v>
      </c>
      <c r="Q96" s="1"/>
      <c r="R96" s="5">
        <f t="shared" ref="R96:R98" si="58">IF(P$12=0,0,P96/P$12)</f>
        <v>1.0036646866686785E-3</v>
      </c>
      <c r="S96" s="1"/>
      <c r="T96" s="1">
        <f>SUM(OSRRefT22_15x_0)</f>
        <v>395</v>
      </c>
      <c r="U96" s="1"/>
      <c r="V96" s="5">
        <f t="shared" ref="V96:V98" si="59">IF(T$12=0,0,T96/T$12)</f>
        <v>1.1569497532328691E-3</v>
      </c>
      <c r="W96" s="1"/>
      <c r="X96" s="1">
        <f t="shared" ref="X96:X98" si="60">+P96-T96</f>
        <v>-230.73</v>
      </c>
      <c r="Y96" s="1"/>
      <c r="Z96" s="5">
        <f t="shared" ref="Z96:Z98" si="61">IF(T96=0,0,X96/T96)</f>
        <v>-0.58412658227848102</v>
      </c>
    </row>
    <row r="97" spans="1:26" s="24" customFormat="1" hidden="1" outlineLevel="2" x14ac:dyDescent="0.35">
      <c r="A97" s="29"/>
      <c r="B97" s="11" t="str">
        <f>CONCATENATE("          ", "6258", " - ", "MEMBERSHIP DUES")</f>
        <v xml:space="preserve">          6258 - MEMBERSHIP DUES</v>
      </c>
      <c r="C97" s="11"/>
      <c r="D97" s="7"/>
      <c r="E97" s="2"/>
      <c r="F97" s="6">
        <f t="shared" si="54"/>
        <v>0</v>
      </c>
      <c r="G97" s="2"/>
      <c r="H97" s="7">
        <v>0</v>
      </c>
      <c r="I97" s="2"/>
      <c r="J97" s="6">
        <f t="shared" si="55"/>
        <v>0</v>
      </c>
      <c r="K97" s="2"/>
      <c r="L97" s="7">
        <f t="shared" si="56"/>
        <v>0</v>
      </c>
      <c r="M97" s="2"/>
      <c r="N97" s="6">
        <f t="shared" si="57"/>
        <v>0</v>
      </c>
      <c r="O97" s="11"/>
      <c r="P97" s="7">
        <v>-60.73</v>
      </c>
      <c r="Q97" s="2"/>
      <c r="R97" s="6">
        <f t="shared" si="58"/>
        <v>-3.7105105266566529E-4</v>
      </c>
      <c r="S97" s="2"/>
      <c r="T97" s="7">
        <v>395</v>
      </c>
      <c r="U97" s="2"/>
      <c r="V97" s="6">
        <f t="shared" si="59"/>
        <v>1.1569497532328691E-3</v>
      </c>
      <c r="W97" s="2"/>
      <c r="X97" s="7">
        <f t="shared" si="60"/>
        <v>-455.73</v>
      </c>
      <c r="Y97" s="2"/>
      <c r="Z97" s="6">
        <f t="shared" si="61"/>
        <v>-1.153746835443038</v>
      </c>
    </row>
    <row r="98" spans="1:26" s="24" customFormat="1" hidden="1" outlineLevel="2" x14ac:dyDescent="0.35">
      <c r="A98" s="29"/>
      <c r="B98" s="11" t="str">
        <f>CONCATENATE("          ", "6275", " - ", "SUBSCRIPTIONS")</f>
        <v xml:space="preserve">          6275 - SUBSCRIPTIONS</v>
      </c>
      <c r="C98" s="11"/>
      <c r="D98" s="7">
        <v>75</v>
      </c>
      <c r="E98" s="2"/>
      <c r="F98" s="6">
        <f t="shared" si="54"/>
        <v>3.9993366433620885E-3</v>
      </c>
      <c r="G98" s="2"/>
      <c r="H98" s="7">
        <v>0</v>
      </c>
      <c r="I98" s="2"/>
      <c r="J98" s="6">
        <f t="shared" si="55"/>
        <v>0</v>
      </c>
      <c r="K98" s="2"/>
      <c r="L98" s="7">
        <f t="shared" si="56"/>
        <v>75</v>
      </c>
      <c r="M98" s="2"/>
      <c r="N98" s="6">
        <f t="shared" si="57"/>
        <v>0</v>
      </c>
      <c r="O98" s="11"/>
      <c r="P98" s="7">
        <v>225</v>
      </c>
      <c r="Q98" s="2"/>
      <c r="R98" s="6">
        <f t="shared" si="58"/>
        <v>1.3747157393343436E-3</v>
      </c>
      <c r="S98" s="2"/>
      <c r="T98" s="7">
        <v>0</v>
      </c>
      <c r="U98" s="2"/>
      <c r="V98" s="6">
        <f t="shared" si="59"/>
        <v>0</v>
      </c>
      <c r="W98" s="2"/>
      <c r="X98" s="7">
        <f t="shared" si="60"/>
        <v>225</v>
      </c>
      <c r="Y98" s="2"/>
      <c r="Z98" s="6">
        <f t="shared" si="61"/>
        <v>0</v>
      </c>
    </row>
    <row r="99" spans="1:26" s="28" customFormat="1" outlineLevel="1" collapsed="1" x14ac:dyDescent="0.35">
      <c r="A99" s="27"/>
      <c r="B99" s="14" t="str">
        <f>CONCATENATE("     ","Supplies                                          ")</f>
        <v xml:space="preserve">     Supplies                                          </v>
      </c>
      <c r="C99" s="14"/>
      <c r="D99" s="1">
        <f>SUM(OSRRefD22_16x_0)</f>
        <v>0</v>
      </c>
      <c r="E99" s="1"/>
      <c r="F99" s="5">
        <f t="shared" ref="F99:F105" si="62">IF(D$12=0,0,D99/D$12)</f>
        <v>0</v>
      </c>
      <c r="G99" s="1"/>
      <c r="H99" s="1">
        <f>SUM(OSRRefH22_16x_0)</f>
        <v>195</v>
      </c>
      <c r="I99" s="1"/>
      <c r="J99" s="5">
        <f t="shared" ref="J99:J105" si="63">IF(H$12=0,0,H99/H$12)</f>
        <v>2.7360740844675178E-3</v>
      </c>
      <c r="K99" s="1"/>
      <c r="L99" s="1">
        <f t="shared" ref="L99:L105" si="64">+D99-H99</f>
        <v>-195</v>
      </c>
      <c r="M99" s="1"/>
      <c r="N99" s="5">
        <f t="shared" ref="N99:N105" si="65">IF(H99=0,0,L99/H99)</f>
        <v>-1</v>
      </c>
      <c r="O99" s="14"/>
      <c r="P99" s="1">
        <f>SUM(OSRRefP22_16x_0)</f>
        <v>553.20000000000005</v>
      </c>
      <c r="Q99" s="1"/>
      <c r="R99" s="5">
        <f t="shared" ref="R99:R105" si="66">IF(P$12=0,0,P99/P$12)</f>
        <v>3.3799677644433734E-3</v>
      </c>
      <c r="S99" s="1"/>
      <c r="T99" s="1">
        <f>SUM(OSRRefT22_16x_0)</f>
        <v>1255</v>
      </c>
      <c r="U99" s="1"/>
      <c r="V99" s="5">
        <f t="shared" ref="V99:V105" si="67">IF(T$12=0,0,T99/T$12)</f>
        <v>3.6758783298917741E-3</v>
      </c>
      <c r="W99" s="1"/>
      <c r="X99" s="1">
        <f t="shared" ref="X99:X105" si="68">+P99-T99</f>
        <v>-701.8</v>
      </c>
      <c r="Y99" s="1"/>
      <c r="Z99" s="5">
        <f t="shared" ref="Z99:Z105" si="69">IF(T99=0,0,X99/T99)</f>
        <v>-0.55920318725099594</v>
      </c>
    </row>
    <row r="100" spans="1:26" s="24" customFormat="1" hidden="1" outlineLevel="2" x14ac:dyDescent="0.35">
      <c r="A100" s="29"/>
      <c r="B100" s="11" t="str">
        <f>CONCATENATE("          ", "6234", " - ", "EXPENDABLE SUPPLIES &amp; EQUIPMEN")</f>
        <v xml:space="preserve">          6234 - EXPENDABLE SUPPLIES &amp; EQUIPMEN</v>
      </c>
      <c r="C100" s="11"/>
      <c r="D100" s="7"/>
      <c r="E100" s="2"/>
      <c r="F100" s="6">
        <f t="shared" si="62"/>
        <v>0</v>
      </c>
      <c r="G100" s="2"/>
      <c r="H100" s="7">
        <v>0</v>
      </c>
      <c r="I100" s="2"/>
      <c r="J100" s="6">
        <f t="shared" si="63"/>
        <v>0</v>
      </c>
      <c r="K100" s="2"/>
      <c r="L100" s="7">
        <f t="shared" si="64"/>
        <v>0</v>
      </c>
      <c r="M100" s="2"/>
      <c r="N100" s="6">
        <f t="shared" si="65"/>
        <v>0</v>
      </c>
      <c r="O100" s="11"/>
      <c r="P100" s="7"/>
      <c r="Q100" s="2"/>
      <c r="R100" s="6">
        <f t="shared" si="66"/>
        <v>0</v>
      </c>
      <c r="S100" s="2"/>
      <c r="T100" s="7">
        <v>0</v>
      </c>
      <c r="U100" s="2"/>
      <c r="V100" s="6">
        <f t="shared" si="67"/>
        <v>0</v>
      </c>
      <c r="W100" s="2"/>
      <c r="X100" s="7">
        <f t="shared" si="68"/>
        <v>0</v>
      </c>
      <c r="Y100" s="2"/>
      <c r="Z100" s="6">
        <f t="shared" si="69"/>
        <v>0</v>
      </c>
    </row>
    <row r="101" spans="1:26" s="24" customFormat="1" hidden="1" outlineLevel="2" x14ac:dyDescent="0.35">
      <c r="A101" s="29"/>
      <c r="B101" s="11" t="str">
        <f>CONCATENATE("          ", "6235", " - ", "COVID-19 EXPENSES")</f>
        <v xml:space="preserve">          6235 - COVID-19 EXPENSES</v>
      </c>
      <c r="C101" s="11"/>
      <c r="D101" s="7"/>
      <c r="E101" s="2"/>
      <c r="F101" s="6">
        <f t="shared" si="62"/>
        <v>0</v>
      </c>
      <c r="G101" s="2"/>
      <c r="H101" s="7">
        <v>100</v>
      </c>
      <c r="I101" s="2"/>
      <c r="J101" s="6">
        <f t="shared" si="63"/>
        <v>1.4031149151115475E-3</v>
      </c>
      <c r="K101" s="2"/>
      <c r="L101" s="7">
        <f t="shared" si="64"/>
        <v>-100</v>
      </c>
      <c r="M101" s="2"/>
      <c r="N101" s="6">
        <f t="shared" si="65"/>
        <v>-1</v>
      </c>
      <c r="O101" s="11"/>
      <c r="P101" s="7">
        <v>265.7</v>
      </c>
      <c r="Q101" s="2"/>
      <c r="R101" s="6">
        <f t="shared" si="66"/>
        <v>1.6233865419606004E-3</v>
      </c>
      <c r="S101" s="2"/>
      <c r="T101" s="7">
        <v>700</v>
      </c>
      <c r="U101" s="2"/>
      <c r="V101" s="6">
        <f t="shared" si="67"/>
        <v>2.0502907019316666E-3</v>
      </c>
      <c r="W101" s="2"/>
      <c r="X101" s="7">
        <f t="shared" si="68"/>
        <v>-434.3</v>
      </c>
      <c r="Y101" s="2"/>
      <c r="Z101" s="6">
        <f t="shared" si="69"/>
        <v>-0.62042857142857144</v>
      </c>
    </row>
    <row r="102" spans="1:26" s="24" customFormat="1" hidden="1" outlineLevel="2" x14ac:dyDescent="0.35">
      <c r="A102" s="29"/>
      <c r="B102" s="11" t="str">
        <f>CONCATENATE("          ", "6237", " - ", "JANITORIAL SUPPLIES")</f>
        <v xml:space="preserve">          6237 - JANITORIAL SUPPLIES</v>
      </c>
      <c r="C102" s="11"/>
      <c r="D102" s="7"/>
      <c r="E102" s="2"/>
      <c r="F102" s="6">
        <f t="shared" si="62"/>
        <v>0</v>
      </c>
      <c r="G102" s="2"/>
      <c r="H102" s="7">
        <v>20</v>
      </c>
      <c r="I102" s="2"/>
      <c r="J102" s="6">
        <f t="shared" si="63"/>
        <v>2.8062298302230951E-4</v>
      </c>
      <c r="K102" s="2"/>
      <c r="L102" s="7">
        <f t="shared" si="64"/>
        <v>-20</v>
      </c>
      <c r="M102" s="2"/>
      <c r="N102" s="6">
        <f t="shared" si="65"/>
        <v>-1</v>
      </c>
      <c r="O102" s="11"/>
      <c r="P102" s="7">
        <v>191.74</v>
      </c>
      <c r="Q102" s="2"/>
      <c r="R102" s="6">
        <f t="shared" si="66"/>
        <v>1.1715022038220758E-3</v>
      </c>
      <c r="S102" s="2"/>
      <c r="T102" s="7">
        <v>130</v>
      </c>
      <c r="U102" s="2"/>
      <c r="V102" s="6">
        <f t="shared" si="67"/>
        <v>3.8076827321588099E-4</v>
      </c>
      <c r="W102" s="2"/>
      <c r="X102" s="7">
        <f t="shared" si="68"/>
        <v>61.740000000000009</v>
      </c>
      <c r="Y102" s="2"/>
      <c r="Z102" s="6">
        <f t="shared" si="69"/>
        <v>0.474923076923077</v>
      </c>
    </row>
    <row r="103" spans="1:26" s="24" customFormat="1" hidden="1" outlineLevel="2" x14ac:dyDescent="0.35">
      <c r="A103" s="29"/>
      <c r="B103" s="11" t="str">
        <f>CONCATENATE("          ", "6241", " - ", "OFFICE EXPENSE")</f>
        <v xml:space="preserve">          6241 - OFFICE EXPENSE</v>
      </c>
      <c r="C103" s="11"/>
      <c r="D103" s="7"/>
      <c r="E103" s="2"/>
      <c r="F103" s="6">
        <f t="shared" si="62"/>
        <v>0</v>
      </c>
      <c r="G103" s="2"/>
      <c r="H103" s="7">
        <v>25</v>
      </c>
      <c r="I103" s="2"/>
      <c r="J103" s="6">
        <f t="shared" si="63"/>
        <v>3.5077872877788688E-4</v>
      </c>
      <c r="K103" s="2"/>
      <c r="L103" s="7">
        <f t="shared" si="64"/>
        <v>-25</v>
      </c>
      <c r="M103" s="2"/>
      <c r="N103" s="6">
        <f t="shared" si="65"/>
        <v>-1</v>
      </c>
      <c r="O103" s="11"/>
      <c r="P103" s="7">
        <v>95.76</v>
      </c>
      <c r="Q103" s="2"/>
      <c r="R103" s="6">
        <f t="shared" si="66"/>
        <v>5.8507901866069675E-4</v>
      </c>
      <c r="S103" s="2"/>
      <c r="T103" s="7">
        <v>175</v>
      </c>
      <c r="U103" s="2"/>
      <c r="V103" s="6">
        <f t="shared" si="67"/>
        <v>5.1257267548291666E-4</v>
      </c>
      <c r="W103" s="2"/>
      <c r="X103" s="7">
        <f t="shared" si="68"/>
        <v>-79.239999999999995</v>
      </c>
      <c r="Y103" s="2"/>
      <c r="Z103" s="6">
        <f t="shared" si="69"/>
        <v>-0.45279999999999998</v>
      </c>
    </row>
    <row r="104" spans="1:26" s="24" customFormat="1" hidden="1" outlineLevel="2" x14ac:dyDescent="0.35">
      <c r="A104" s="29"/>
      <c r="B104" s="11" t="str">
        <f>CONCATENATE("          ", "6244", " - ", "SAFETY SUPPLY EXPENSE")</f>
        <v xml:space="preserve">          6244 - SAFETY SUPPLY EXPENSE</v>
      </c>
      <c r="C104" s="11"/>
      <c r="D104" s="7"/>
      <c r="E104" s="2"/>
      <c r="F104" s="6">
        <f t="shared" si="62"/>
        <v>0</v>
      </c>
      <c r="G104" s="2"/>
      <c r="H104" s="7">
        <v>25</v>
      </c>
      <c r="I104" s="2"/>
      <c r="J104" s="6">
        <f t="shared" si="63"/>
        <v>3.5077872877788688E-4</v>
      </c>
      <c r="K104" s="2"/>
      <c r="L104" s="7">
        <f t="shared" si="64"/>
        <v>-25</v>
      </c>
      <c r="M104" s="2"/>
      <c r="N104" s="6">
        <f t="shared" si="65"/>
        <v>-1</v>
      </c>
      <c r="O104" s="11"/>
      <c r="P104" s="7"/>
      <c r="Q104" s="2"/>
      <c r="R104" s="6">
        <f t="shared" si="66"/>
        <v>0</v>
      </c>
      <c r="S104" s="2"/>
      <c r="T104" s="7">
        <v>75</v>
      </c>
      <c r="U104" s="2"/>
      <c r="V104" s="6">
        <f t="shared" si="67"/>
        <v>2.1967400377839285E-4</v>
      </c>
      <c r="W104" s="2"/>
      <c r="X104" s="7">
        <f t="shared" si="68"/>
        <v>-75</v>
      </c>
      <c r="Y104" s="2"/>
      <c r="Z104" s="6">
        <f t="shared" si="69"/>
        <v>-1</v>
      </c>
    </row>
    <row r="105" spans="1:26" s="24" customFormat="1" hidden="1" outlineLevel="2" x14ac:dyDescent="0.35">
      <c r="A105" s="29"/>
      <c r="B105" s="11" t="str">
        <f>CONCATENATE("          ", "6247", " - ", "STORE SUPPLIES")</f>
        <v xml:space="preserve">          6247 - STORE SUPPLIES</v>
      </c>
      <c r="C105" s="11"/>
      <c r="D105" s="7"/>
      <c r="E105" s="2"/>
      <c r="F105" s="6">
        <f t="shared" si="62"/>
        <v>0</v>
      </c>
      <c r="G105" s="2"/>
      <c r="H105" s="7">
        <v>25</v>
      </c>
      <c r="I105" s="2"/>
      <c r="J105" s="6">
        <f t="shared" si="63"/>
        <v>3.5077872877788688E-4</v>
      </c>
      <c r="K105" s="2"/>
      <c r="L105" s="7">
        <f t="shared" si="64"/>
        <v>-25</v>
      </c>
      <c r="M105" s="2"/>
      <c r="N105" s="6">
        <f t="shared" si="65"/>
        <v>-1</v>
      </c>
      <c r="O105" s="11"/>
      <c r="P105" s="7"/>
      <c r="Q105" s="2"/>
      <c r="R105" s="6">
        <f t="shared" si="66"/>
        <v>0</v>
      </c>
      <c r="S105" s="2"/>
      <c r="T105" s="7">
        <v>175</v>
      </c>
      <c r="U105" s="2"/>
      <c r="V105" s="6">
        <f t="shared" si="67"/>
        <v>5.1257267548291666E-4</v>
      </c>
      <c r="W105" s="2"/>
      <c r="X105" s="7">
        <f t="shared" si="68"/>
        <v>-175</v>
      </c>
      <c r="Y105" s="2"/>
      <c r="Z105" s="6">
        <f t="shared" si="69"/>
        <v>-1</v>
      </c>
    </row>
    <row r="106" spans="1:26" s="28" customFormat="1" outlineLevel="1" collapsed="1" x14ac:dyDescent="0.35">
      <c r="A106" s="27"/>
      <c r="B106" s="14" t="str">
        <f>CONCATENATE("     ","Telephone/Data Lines                              ")</f>
        <v xml:space="preserve">     Telephone/Data Lines                              </v>
      </c>
      <c r="C106" s="14"/>
      <c r="D106" s="1">
        <f>SUM(OSRRefD22_17x_0)</f>
        <v>231.48</v>
      </c>
      <c r="E106" s="1"/>
      <c r="F106" s="5">
        <f t="shared" ref="F106:F108" si="70">IF(D$12=0,0,D106/D$12)</f>
        <v>1.2343552616072749E-2</v>
      </c>
      <c r="G106" s="1"/>
      <c r="H106" s="1">
        <f>SUM(OSRRefH22_17x_0)</f>
        <v>230</v>
      </c>
      <c r="I106" s="1"/>
      <c r="J106" s="5">
        <f t="shared" ref="J106:J108" si="71">IF(H$12=0,0,H106/H$12)</f>
        <v>3.2271643047565596E-3</v>
      </c>
      <c r="K106" s="1"/>
      <c r="L106" s="1">
        <f t="shared" ref="L106:L108" si="72">+D106-H106</f>
        <v>1.4799999999999898</v>
      </c>
      <c r="M106" s="1"/>
      <c r="N106" s="5">
        <f t="shared" ref="N106:N108" si="73">IF(H106=0,0,L106/H106)</f>
        <v>6.4347826086956078E-3</v>
      </c>
      <c r="O106" s="14"/>
      <c r="P106" s="1">
        <f>SUM(OSRRefP22_17x_0)</f>
        <v>2297.1999999999998</v>
      </c>
      <c r="Q106" s="1"/>
      <c r="R106" s="5">
        <f t="shared" ref="R106:R108" si="74">IF(P$12=0,0,P106/P$12)</f>
        <v>1.403554220621713E-2</v>
      </c>
      <c r="S106" s="1"/>
      <c r="T106" s="1">
        <f>SUM(OSRRefT22_17x_0)</f>
        <v>1610</v>
      </c>
      <c r="U106" s="1"/>
      <c r="V106" s="5">
        <f t="shared" ref="V106:V108" si="75">IF(T$12=0,0,T106/T$12)</f>
        <v>4.7156686144428335E-3</v>
      </c>
      <c r="W106" s="1"/>
      <c r="X106" s="1">
        <f t="shared" ref="X106:X108" si="76">+P106-T106</f>
        <v>687.19999999999982</v>
      </c>
      <c r="Y106" s="1"/>
      <c r="Z106" s="5">
        <f t="shared" ref="Z106:Z108" si="77">IF(T106=0,0,X106/T106)</f>
        <v>0.42683229813664586</v>
      </c>
    </row>
    <row r="107" spans="1:26" s="24" customFormat="1" hidden="1" outlineLevel="2" x14ac:dyDescent="0.35">
      <c r="A107" s="29"/>
      <c r="B107" s="11" t="str">
        <f>CONCATENATE("          ", "6303", " - ", "DATA PHONE LINES")</f>
        <v xml:space="preserve">          6303 - DATA PHONE LINES</v>
      </c>
      <c r="C107" s="11"/>
      <c r="D107" s="7"/>
      <c r="E107" s="2"/>
      <c r="F107" s="6">
        <f t="shared" si="70"/>
        <v>0</v>
      </c>
      <c r="G107" s="2"/>
      <c r="H107" s="7">
        <v>230</v>
      </c>
      <c r="I107" s="2"/>
      <c r="J107" s="6">
        <f t="shared" si="71"/>
        <v>3.2271643047565596E-3</v>
      </c>
      <c r="K107" s="2"/>
      <c r="L107" s="7">
        <f t="shared" si="72"/>
        <v>-230</v>
      </c>
      <c r="M107" s="2"/>
      <c r="N107" s="6">
        <f t="shared" si="73"/>
        <v>-1</v>
      </c>
      <c r="O107" s="11"/>
      <c r="P107" s="7"/>
      <c r="Q107" s="2"/>
      <c r="R107" s="6">
        <f t="shared" si="74"/>
        <v>0</v>
      </c>
      <c r="S107" s="2"/>
      <c r="T107" s="7">
        <v>1610</v>
      </c>
      <c r="U107" s="2"/>
      <c r="V107" s="6">
        <f t="shared" si="75"/>
        <v>4.7156686144428335E-3</v>
      </c>
      <c r="W107" s="2"/>
      <c r="X107" s="7">
        <f t="shared" si="76"/>
        <v>-1610</v>
      </c>
      <c r="Y107" s="2"/>
      <c r="Z107" s="6">
        <f t="shared" si="77"/>
        <v>-1</v>
      </c>
    </row>
    <row r="108" spans="1:26" s="24" customFormat="1" hidden="1" outlineLevel="2" x14ac:dyDescent="0.35">
      <c r="A108" s="29"/>
      <c r="B108" s="11" t="str">
        <f>CONCATENATE("          ", "6309", " - ", "TELEPHONE")</f>
        <v xml:space="preserve">          6309 - TELEPHONE</v>
      </c>
      <c r="C108" s="11"/>
      <c r="D108" s="7">
        <v>231.48</v>
      </c>
      <c r="E108" s="2"/>
      <c r="F108" s="6">
        <f t="shared" si="70"/>
        <v>1.2343552616072749E-2</v>
      </c>
      <c r="G108" s="2"/>
      <c r="H108" s="7"/>
      <c r="I108" s="2"/>
      <c r="J108" s="6">
        <f t="shared" si="71"/>
        <v>0</v>
      </c>
      <c r="K108" s="2"/>
      <c r="L108" s="7">
        <f t="shared" si="72"/>
        <v>231.48</v>
      </c>
      <c r="M108" s="2"/>
      <c r="N108" s="6">
        <f t="shared" si="73"/>
        <v>0</v>
      </c>
      <c r="O108" s="11"/>
      <c r="P108" s="7">
        <v>2297.1999999999998</v>
      </c>
      <c r="Q108" s="2"/>
      <c r="R108" s="6">
        <f t="shared" si="74"/>
        <v>1.403554220621713E-2</v>
      </c>
      <c r="S108" s="2"/>
      <c r="T108" s="7"/>
      <c r="U108" s="2"/>
      <c r="V108" s="6">
        <f t="shared" si="75"/>
        <v>0</v>
      </c>
      <c r="W108" s="2"/>
      <c r="X108" s="7">
        <f t="shared" si="76"/>
        <v>2297.1999999999998</v>
      </c>
      <c r="Y108" s="2"/>
      <c r="Z108" s="6">
        <f t="shared" si="77"/>
        <v>0</v>
      </c>
    </row>
    <row r="109" spans="1:26" s="28" customFormat="1" outlineLevel="1" collapsed="1" x14ac:dyDescent="0.35">
      <c r="A109" s="27"/>
      <c r="B109" s="14" t="str">
        <f>CONCATENATE("     ","Training                                          ")</f>
        <v xml:space="preserve">     Training                                          </v>
      </c>
      <c r="C109" s="14"/>
      <c r="D109" s="1">
        <f>SUM(OSRRefD22_18x_0)</f>
        <v>0</v>
      </c>
      <c r="E109" s="1"/>
      <c r="F109" s="5">
        <f t="shared" ref="F109:F113" si="78">IF(D$12=0,0,D109/D$12)</f>
        <v>0</v>
      </c>
      <c r="G109" s="1"/>
      <c r="H109" s="1">
        <f>SUM(OSRRefH22_18x_0)</f>
        <v>0</v>
      </c>
      <c r="I109" s="1"/>
      <c r="J109" s="5">
        <f t="shared" ref="J109:J113" si="79">IF(H$12=0,0,H109/H$12)</f>
        <v>0</v>
      </c>
      <c r="K109" s="1"/>
      <c r="L109" s="1">
        <f t="shared" ref="L109:L113" si="80">+D109-H109</f>
        <v>0</v>
      </c>
      <c r="M109" s="1"/>
      <c r="N109" s="5">
        <f t="shared" ref="N109:N113" si="81">IF(H109=0,0,L109/H109)</f>
        <v>0</v>
      </c>
      <c r="O109" s="14"/>
      <c r="P109" s="1">
        <f>SUM(OSRRefP22_18x_0)</f>
        <v>0</v>
      </c>
      <c r="Q109" s="1"/>
      <c r="R109" s="5">
        <f t="shared" ref="R109:R113" si="82">IF(P$12=0,0,P109/P$12)</f>
        <v>0</v>
      </c>
      <c r="S109" s="1"/>
      <c r="T109" s="1">
        <f>SUM(OSRRefT22_18x_0)</f>
        <v>0</v>
      </c>
      <c r="U109" s="1"/>
      <c r="V109" s="5">
        <f t="shared" ref="V109:V113" si="83">IF(T$12=0,0,T109/T$12)</f>
        <v>0</v>
      </c>
      <c r="W109" s="1"/>
      <c r="X109" s="1">
        <f t="shared" ref="X109:X113" si="84">+P109-T109</f>
        <v>0</v>
      </c>
      <c r="Y109" s="1"/>
      <c r="Z109" s="5">
        <f t="shared" ref="Z109:Z113" si="85">IF(T109=0,0,X109/T109)</f>
        <v>0</v>
      </c>
    </row>
    <row r="110" spans="1:26" s="24" customFormat="1" hidden="1" outlineLevel="2" x14ac:dyDescent="0.35">
      <c r="A110" s="29"/>
      <c r="B110" s="11" t="str">
        <f>CONCATENATE("          ", "6376", " - ", "TRAINING")</f>
        <v xml:space="preserve">          6376 - TRAINING</v>
      </c>
      <c r="C110" s="11"/>
      <c r="D110" s="7"/>
      <c r="E110" s="2"/>
      <c r="F110" s="6">
        <f t="shared" si="78"/>
        <v>0</v>
      </c>
      <c r="G110" s="2"/>
      <c r="H110" s="7">
        <v>0</v>
      </c>
      <c r="I110" s="2"/>
      <c r="J110" s="6">
        <f t="shared" si="79"/>
        <v>0</v>
      </c>
      <c r="K110" s="2"/>
      <c r="L110" s="7">
        <f t="shared" si="80"/>
        <v>0</v>
      </c>
      <c r="M110" s="2"/>
      <c r="N110" s="6">
        <f t="shared" si="81"/>
        <v>0</v>
      </c>
      <c r="O110" s="11"/>
      <c r="P110" s="7"/>
      <c r="Q110" s="2"/>
      <c r="R110" s="6">
        <f t="shared" si="82"/>
        <v>0</v>
      </c>
      <c r="S110" s="2"/>
      <c r="T110" s="7">
        <v>0</v>
      </c>
      <c r="U110" s="2"/>
      <c r="V110" s="6">
        <f t="shared" si="83"/>
        <v>0</v>
      </c>
      <c r="W110" s="2"/>
      <c r="X110" s="7">
        <f t="shared" si="84"/>
        <v>0</v>
      </c>
      <c r="Y110" s="2"/>
      <c r="Z110" s="6">
        <f t="shared" si="85"/>
        <v>0</v>
      </c>
    </row>
    <row r="111" spans="1:26" s="28" customFormat="1" outlineLevel="1" collapsed="1" x14ac:dyDescent="0.35">
      <c r="A111" s="27"/>
      <c r="B111" s="14" t="str">
        <f>CONCATENATE("     ","Travel                                            ")</f>
        <v xml:space="preserve">     Travel                                            </v>
      </c>
      <c r="C111" s="14"/>
      <c r="D111" s="1">
        <f>SUM(OSRRefD22_19x_0)</f>
        <v>59.46</v>
      </c>
      <c r="E111" s="1"/>
      <c r="F111" s="5">
        <f t="shared" si="78"/>
        <v>3.1706740908574635E-3</v>
      </c>
      <c r="G111" s="1"/>
      <c r="H111" s="1">
        <f>SUM(OSRRefH22_19x_0)</f>
        <v>50</v>
      </c>
      <c r="I111" s="1"/>
      <c r="J111" s="5">
        <f t="shared" si="79"/>
        <v>7.0155745755577377E-4</v>
      </c>
      <c r="K111" s="1"/>
      <c r="L111" s="1">
        <f t="shared" si="80"/>
        <v>9.4600000000000009</v>
      </c>
      <c r="M111" s="1"/>
      <c r="N111" s="5">
        <f t="shared" si="81"/>
        <v>0.18920000000000001</v>
      </c>
      <c r="O111" s="14"/>
      <c r="P111" s="1">
        <f>SUM(OSRRefP22_19x_0)</f>
        <v>381.34</v>
      </c>
      <c r="Q111" s="1"/>
      <c r="R111" s="5">
        <f t="shared" si="82"/>
        <v>2.3299293335011491E-3</v>
      </c>
      <c r="S111" s="1"/>
      <c r="T111" s="1">
        <f>SUM(OSRRefT22_19x_0)</f>
        <v>375</v>
      </c>
      <c r="U111" s="1"/>
      <c r="V111" s="5">
        <f t="shared" si="83"/>
        <v>1.0983700188919644E-3</v>
      </c>
      <c r="W111" s="1"/>
      <c r="X111" s="1">
        <f t="shared" si="84"/>
        <v>6.339999999999975</v>
      </c>
      <c r="Y111" s="1"/>
      <c r="Z111" s="5">
        <f t="shared" si="85"/>
        <v>1.6906666666666601E-2</v>
      </c>
    </row>
    <row r="112" spans="1:26" s="24" customFormat="1" hidden="1" outlineLevel="2" x14ac:dyDescent="0.35">
      <c r="A112" s="29"/>
      <c r="B112" s="11" t="str">
        <f>CONCATENATE("          ", "6294", " - ", "TRAVEL OPERATIONAL")</f>
        <v xml:space="preserve">          6294 - TRAVEL OPERATIONAL</v>
      </c>
      <c r="C112" s="11"/>
      <c r="D112" s="7">
        <v>59.46</v>
      </c>
      <c r="E112" s="2"/>
      <c r="F112" s="6">
        <f t="shared" si="78"/>
        <v>3.1706740908574635E-3</v>
      </c>
      <c r="G112" s="2"/>
      <c r="H112" s="7"/>
      <c r="I112" s="2"/>
      <c r="J112" s="6">
        <f t="shared" si="79"/>
        <v>0</v>
      </c>
      <c r="K112" s="2"/>
      <c r="L112" s="7">
        <f t="shared" si="80"/>
        <v>59.46</v>
      </c>
      <c r="M112" s="2"/>
      <c r="N112" s="6">
        <f t="shared" si="81"/>
        <v>0</v>
      </c>
      <c r="O112" s="11"/>
      <c r="P112" s="7">
        <v>381.34</v>
      </c>
      <c r="Q112" s="2"/>
      <c r="R112" s="6">
        <f t="shared" si="82"/>
        <v>2.3299293335011491E-3</v>
      </c>
      <c r="S112" s="2"/>
      <c r="T112" s="7"/>
      <c r="U112" s="2"/>
      <c r="V112" s="6">
        <f t="shared" si="83"/>
        <v>0</v>
      </c>
      <c r="W112" s="2"/>
      <c r="X112" s="7">
        <f t="shared" si="84"/>
        <v>381.34</v>
      </c>
      <c r="Y112" s="2"/>
      <c r="Z112" s="6">
        <f t="shared" si="85"/>
        <v>0</v>
      </c>
    </row>
    <row r="113" spans="1:26" s="24" customFormat="1" hidden="1" outlineLevel="2" x14ac:dyDescent="0.35">
      <c r="A113" s="29"/>
      <c r="B113" s="11" t="str">
        <f>CONCATENATE("          ", "6298", " - ", "VEHICLE MILEAGE")</f>
        <v xml:space="preserve">          6298 - VEHICLE MILEAGE</v>
      </c>
      <c r="C113" s="11"/>
      <c r="D113" s="7"/>
      <c r="E113" s="2"/>
      <c r="F113" s="6">
        <f t="shared" si="78"/>
        <v>0</v>
      </c>
      <c r="G113" s="2"/>
      <c r="H113" s="7">
        <v>50</v>
      </c>
      <c r="I113" s="2"/>
      <c r="J113" s="6">
        <f t="shared" si="79"/>
        <v>7.0155745755577377E-4</v>
      </c>
      <c r="K113" s="2"/>
      <c r="L113" s="7">
        <f t="shared" si="80"/>
        <v>-50</v>
      </c>
      <c r="M113" s="2"/>
      <c r="N113" s="6">
        <f t="shared" si="81"/>
        <v>-1</v>
      </c>
      <c r="O113" s="11"/>
      <c r="P113" s="7"/>
      <c r="Q113" s="2"/>
      <c r="R113" s="6">
        <f t="shared" si="82"/>
        <v>0</v>
      </c>
      <c r="S113" s="2"/>
      <c r="T113" s="7">
        <v>375</v>
      </c>
      <c r="U113" s="2"/>
      <c r="V113" s="6">
        <f t="shared" si="83"/>
        <v>1.0983700188919644E-3</v>
      </c>
      <c r="W113" s="2"/>
      <c r="X113" s="7">
        <f t="shared" si="84"/>
        <v>-375</v>
      </c>
      <c r="Y113" s="2"/>
      <c r="Z113" s="6">
        <f t="shared" si="85"/>
        <v>-1</v>
      </c>
    </row>
    <row r="114" spans="1:26" s="28" customFormat="1" outlineLevel="1" collapsed="1" x14ac:dyDescent="0.35">
      <c r="A114" s="27"/>
      <c r="B114" s="14" t="str">
        <f>CONCATENATE("     ","Utilities                                         ")</f>
        <v xml:space="preserve">     Utilities                                         </v>
      </c>
      <c r="C114" s="14"/>
      <c r="D114" s="1">
        <f>SUM(OSRRefD22_20x_0)</f>
        <v>32.61</v>
      </c>
      <c r="E114" s="1"/>
      <c r="F114" s="5">
        <f t="shared" ref="F114:F115" si="86">IF(D$12=0,0,D114/D$12)</f>
        <v>1.738911572533836E-3</v>
      </c>
      <c r="G114" s="1"/>
      <c r="H114" s="1">
        <f>SUM(OSRRefH22_20x_0)</f>
        <v>225</v>
      </c>
      <c r="I114" s="1"/>
      <c r="J114" s="5">
        <f t="shared" ref="J114:J115" si="87">IF(H$12=0,0,H114/H$12)</f>
        <v>3.157008559000982E-3</v>
      </c>
      <c r="K114" s="1"/>
      <c r="L114" s="1">
        <f t="shared" ref="L114:L115" si="88">+D114-H114</f>
        <v>-192.39</v>
      </c>
      <c r="M114" s="1"/>
      <c r="N114" s="5">
        <f t="shared" ref="N114:N115" si="89">IF(H114=0,0,L114/H114)</f>
        <v>-0.85506666666666664</v>
      </c>
      <c r="O114" s="14"/>
      <c r="P114" s="1">
        <f>SUM(OSRRefP22_20x_0)</f>
        <v>177.01</v>
      </c>
      <c r="Q114" s="1"/>
      <c r="R114" s="5">
        <f t="shared" ref="R114:R115" si="90">IF(P$12=0,0,P114/P$12)</f>
        <v>1.081504146753654E-3</v>
      </c>
      <c r="S114" s="1"/>
      <c r="T114" s="1">
        <f>SUM(OSRRefT22_20x_0)</f>
        <v>975</v>
      </c>
      <c r="U114" s="1"/>
      <c r="V114" s="5">
        <f t="shared" ref="V114:V115" si="91">IF(T$12=0,0,T114/T$12)</f>
        <v>2.8557620491191072E-3</v>
      </c>
      <c r="W114" s="1"/>
      <c r="X114" s="1">
        <f t="shared" ref="X114:X115" si="92">+P114-T114</f>
        <v>-797.99</v>
      </c>
      <c r="Y114" s="1"/>
      <c r="Z114" s="5">
        <f t="shared" ref="Z114:Z115" si="93">IF(T114=0,0,X114/T114)</f>
        <v>-0.81845128205128204</v>
      </c>
    </row>
    <row r="115" spans="1:26" s="24" customFormat="1" hidden="1" outlineLevel="2" x14ac:dyDescent="0.35">
      <c r="A115" s="29"/>
      <c r="B115" s="11" t="str">
        <f>CONCATENATE("          ", "6274", " - ", "UTILITIES")</f>
        <v xml:space="preserve">          6274 - UTILITIES</v>
      </c>
      <c r="C115" s="11"/>
      <c r="D115" s="7">
        <v>32.61</v>
      </c>
      <c r="E115" s="2"/>
      <c r="F115" s="6">
        <f t="shared" si="86"/>
        <v>1.738911572533836E-3</v>
      </c>
      <c r="G115" s="2"/>
      <c r="H115" s="7">
        <v>225</v>
      </c>
      <c r="I115" s="2"/>
      <c r="J115" s="6">
        <f t="shared" si="87"/>
        <v>3.157008559000982E-3</v>
      </c>
      <c r="K115" s="2"/>
      <c r="L115" s="7">
        <f t="shared" si="88"/>
        <v>-192.39</v>
      </c>
      <c r="M115" s="2"/>
      <c r="N115" s="6">
        <f t="shared" si="89"/>
        <v>-0.85506666666666664</v>
      </c>
      <c r="O115" s="11"/>
      <c r="P115" s="7">
        <v>177.01</v>
      </c>
      <c r="Q115" s="2"/>
      <c r="R115" s="6">
        <f t="shared" si="90"/>
        <v>1.081504146753654E-3</v>
      </c>
      <c r="S115" s="2"/>
      <c r="T115" s="7">
        <v>975</v>
      </c>
      <c r="U115" s="2"/>
      <c r="V115" s="6">
        <f t="shared" si="91"/>
        <v>2.8557620491191072E-3</v>
      </c>
      <c r="W115" s="2"/>
      <c r="X115" s="7">
        <f t="shared" si="92"/>
        <v>-797.99</v>
      </c>
      <c r="Y115" s="2"/>
      <c r="Z115" s="6">
        <f t="shared" si="93"/>
        <v>-0.81845128205128204</v>
      </c>
    </row>
    <row r="116" spans="1:26" s="55" customFormat="1" x14ac:dyDescent="0.35">
      <c r="A116" s="36"/>
      <c r="B116" s="36"/>
      <c r="C116" s="36"/>
      <c r="D116" s="1"/>
      <c r="E116" s="1"/>
      <c r="F116" s="5"/>
      <c r="G116" s="1"/>
      <c r="H116" s="1"/>
      <c r="I116" s="1"/>
      <c r="J116" s="5"/>
      <c r="K116" s="1"/>
      <c r="L116" s="1"/>
      <c r="M116" s="1"/>
      <c r="N116" s="5"/>
      <c r="O116" s="36"/>
      <c r="P116" s="1"/>
      <c r="Q116" s="1"/>
      <c r="R116" s="5"/>
      <c r="S116" s="1"/>
      <c r="T116" s="1"/>
      <c r="U116" s="1"/>
      <c r="V116" s="5"/>
      <c r="W116" s="1"/>
      <c r="X116" s="1"/>
      <c r="Y116" s="1"/>
      <c r="Z116" s="5"/>
    </row>
    <row r="117" spans="1:26" s="23" customFormat="1" x14ac:dyDescent="0.35">
      <c r="A117" s="10"/>
      <c r="B117" s="25" t="s">
        <v>0</v>
      </c>
      <c r="C117" s="10"/>
      <c r="D117" s="4">
        <f>SUM(0)</f>
        <v>0</v>
      </c>
      <c r="E117" s="4"/>
      <c r="F117" s="12">
        <f>IF(D$12=0,0,D117/D$12)</f>
        <v>0</v>
      </c>
      <c r="G117" s="4"/>
      <c r="H117" s="4">
        <f>SUM(0)</f>
        <v>0</v>
      </c>
      <c r="I117" s="4"/>
      <c r="J117" s="12">
        <f>IF(H$12=0,0,H117/H$12)</f>
        <v>0</v>
      </c>
      <c r="K117" s="4"/>
      <c r="L117" s="4">
        <f>+D117-H117</f>
        <v>0</v>
      </c>
      <c r="M117" s="4"/>
      <c r="N117" s="12">
        <f>IF(H117=0,0,L117/H117)</f>
        <v>0</v>
      </c>
      <c r="O117" s="10"/>
      <c r="P117" s="4">
        <f>SUM(0)</f>
        <v>0</v>
      </c>
      <c r="Q117" s="4"/>
      <c r="R117" s="12">
        <f>IF(P$12=0,0,P117/P$12)</f>
        <v>0</v>
      </c>
      <c r="S117" s="4"/>
      <c r="T117" s="4">
        <f>SUM(0)</f>
        <v>0</v>
      </c>
      <c r="U117" s="4"/>
      <c r="V117" s="12">
        <f>IF(T$12=0,0,T117/T$12)</f>
        <v>0</v>
      </c>
      <c r="W117" s="4"/>
      <c r="X117" s="4">
        <f>+P117-T117</f>
        <v>0</v>
      </c>
      <c r="Y117" s="4"/>
      <c r="Z117" s="12">
        <f>IF(T117=0,0,X117/T117)</f>
        <v>0</v>
      </c>
    </row>
    <row r="118" spans="1:26" x14ac:dyDescent="0.3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35">
      <c r="A119" s="10"/>
      <c r="B119" s="26" t="s">
        <v>3</v>
      </c>
      <c r="C119" s="26"/>
      <c r="D119" s="19">
        <f>+D42-D44+D117</f>
        <v>-13291.360000000004</v>
      </c>
      <c r="E119" s="13"/>
      <c r="F119" s="21">
        <f>IF(D$12=0,0,D119/D$12)</f>
        <v>-0.70875497450822855</v>
      </c>
      <c r="G119" s="13"/>
      <c r="H119" s="19">
        <f>+H42-H44+H117</f>
        <v>10790.776547692312</v>
      </c>
      <c r="I119" s="13"/>
      <c r="J119" s="21">
        <f>IF(H$12=0,0,H119/H$12)</f>
        <v>0.15140699519702977</v>
      </c>
      <c r="K119" s="16"/>
      <c r="L119" s="19">
        <f>+D119-H119</f>
        <v>-24082.136547692317</v>
      </c>
      <c r="M119" s="16"/>
      <c r="N119" s="21">
        <f>IF(H119=0,0,L119/H119)</f>
        <v>-2.2317334105896633</v>
      </c>
      <c r="O119" s="25"/>
      <c r="P119" s="19">
        <f>+P42-P44+P117</f>
        <v>-61935.689999999915</v>
      </c>
      <c r="Q119" s="13"/>
      <c r="R119" s="21">
        <f>IF(P$12=0,0,P119/P$12)</f>
        <v>-0.37841763497570047</v>
      </c>
      <c r="S119" s="13"/>
      <c r="T119" s="19">
        <f>+T42-T44+T117</f>
        <v>11422.450247692323</v>
      </c>
      <c r="U119" s="13"/>
      <c r="V119" s="21">
        <f>IF(T$12=0,0,T119/T$12)</f>
        <v>3.3456205051600907E-2</v>
      </c>
      <c r="W119" s="16"/>
      <c r="X119" s="19">
        <f>+P119-T119</f>
        <v>-73358.140247692238</v>
      </c>
      <c r="Y119" s="16"/>
      <c r="Z119" s="21">
        <f>IF(T119=0,0,X119/T119)</f>
        <v>-6.4222770646353027</v>
      </c>
    </row>
    <row r="120" spans="1:26" x14ac:dyDescent="0.35">
      <c r="A120" s="9"/>
      <c r="B120" s="10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35">
      <c r="A121" s="52"/>
      <c r="B121" s="10" t="s">
        <v>14</v>
      </c>
      <c r="C121" s="10"/>
      <c r="D121" s="4">
        <v>2897.74</v>
      </c>
      <c r="E121" s="4"/>
      <c r="F121" s="12">
        <f>IF(D$12=0,0,D121/D$12)</f>
        <v>0.15452050353248076</v>
      </c>
      <c r="G121" s="4"/>
      <c r="H121" s="4">
        <v>8006</v>
      </c>
      <c r="I121" s="4"/>
      <c r="J121" s="12">
        <f>IF(H$12=0,0,H121/H$12)</f>
        <v>0.11233338010383051</v>
      </c>
      <c r="K121" s="4"/>
      <c r="L121" s="4">
        <f>+D121-H121</f>
        <v>-5108.26</v>
      </c>
      <c r="M121" s="4"/>
      <c r="N121" s="12">
        <f>IF(H121=0,0,L121/H121)</f>
        <v>-0.63805395953035227</v>
      </c>
      <c r="O121" s="10"/>
      <c r="P121" s="4">
        <v>29710.47</v>
      </c>
      <c r="Q121" s="4"/>
      <c r="R121" s="12">
        <f>IF(P$12=0,0,P121/P$12)</f>
        <v>0.18152644769787041</v>
      </c>
      <c r="S121" s="4"/>
      <c r="T121" s="4">
        <v>59251.000000000007</v>
      </c>
      <c r="U121" s="4"/>
      <c r="V121" s="12">
        <f>IF(T$12=0,0,T121/T$12)</f>
        <v>0.17354539197164742</v>
      </c>
      <c r="W121" s="4"/>
      <c r="X121" s="4">
        <f>+P121-T121</f>
        <v>-29540.530000000006</v>
      </c>
      <c r="Y121" s="4"/>
      <c r="Z121" s="12">
        <f>IF(T121=0,0,X121/T121)</f>
        <v>-0.49856593137668564</v>
      </c>
    </row>
    <row r="122" spans="1:26" x14ac:dyDescent="0.3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" thickBot="1" x14ac:dyDescent="0.4">
      <c r="A123" s="10"/>
      <c r="B123" s="26" t="s">
        <v>4</v>
      </c>
      <c r="C123" s="26"/>
      <c r="D123" s="33">
        <f>+D119-D121</f>
        <v>-16189.100000000004</v>
      </c>
      <c r="E123" s="13"/>
      <c r="F123" s="31">
        <f>IF(D$12=0,0,D123/D$12)</f>
        <v>-0.86327547804070937</v>
      </c>
      <c r="G123" s="13"/>
      <c r="H123" s="33">
        <f>+H119-H121</f>
        <v>2784.7765476923123</v>
      </c>
      <c r="I123" s="13"/>
      <c r="J123" s="31">
        <f>IF(H$12=0,0,H123/H$12)</f>
        <v>3.9073615093199274E-2</v>
      </c>
      <c r="K123" s="16"/>
      <c r="L123" s="33">
        <f>D123-H123</f>
        <v>-18973.876547692314</v>
      </c>
      <c r="M123" s="16"/>
      <c r="N123" s="31">
        <f>IF(H123=0,0,L123/H123)</f>
        <v>-6.8134287339555417</v>
      </c>
      <c r="O123" s="25"/>
      <c r="P123" s="33">
        <f>+P119-P121</f>
        <v>-91646.159999999916</v>
      </c>
      <c r="Q123" s="13"/>
      <c r="R123" s="31">
        <f>IF(P$12=0,0,P123/P$12)</f>
        <v>-0.55994408267357088</v>
      </c>
      <c r="S123" s="13"/>
      <c r="T123" s="33">
        <f>+T119-T121</f>
        <v>-47828.549752307685</v>
      </c>
      <c r="U123" s="13"/>
      <c r="V123" s="31">
        <f>IF(T$12=0,0,T123/T$12)</f>
        <v>-0.14008918692004652</v>
      </c>
      <c r="W123" s="16"/>
      <c r="X123" s="33">
        <f>P123-T123</f>
        <v>-43817.610247692231</v>
      </c>
      <c r="Y123" s="16"/>
      <c r="Z123" s="31">
        <f>IF(T123=0,0,X123/T123)</f>
        <v>0.91613921966300205</v>
      </c>
    </row>
    <row r="124" spans="1:26" ht="15" thickTop="1" x14ac:dyDescent="0.3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x14ac:dyDescent="0.3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" thickBot="1" x14ac:dyDescent="0.4">
      <c r="A126" s="10"/>
      <c r="B126" s="26" t="s">
        <v>5</v>
      </c>
      <c r="C126" s="26"/>
      <c r="D126" s="34">
        <f>SUM(D123:D125)</f>
        <v>-16189.100000000004</v>
      </c>
      <c r="E126" s="13"/>
      <c r="F126" s="32">
        <f>IF(D$12=0,0,D126/D$12)</f>
        <v>-0.86327547804070937</v>
      </c>
      <c r="G126" s="13"/>
      <c r="H126" s="34">
        <f>SUM(H123:H125)</f>
        <v>2784.7765476923123</v>
      </c>
      <c r="I126" s="13"/>
      <c r="J126" s="32">
        <f>IF(H$12=0,0,H126/H$12)</f>
        <v>3.9073615093199274E-2</v>
      </c>
      <c r="K126" s="16"/>
      <c r="L126" s="34">
        <f>+D126-H126</f>
        <v>-18973.876547692314</v>
      </c>
      <c r="M126" s="16"/>
      <c r="N126" s="32">
        <f>IF(H126=0,0,L126/H126)</f>
        <v>-6.8134287339555417</v>
      </c>
      <c r="O126" s="25"/>
      <c r="P126" s="34">
        <f>SUM(P123:P125)</f>
        <v>-91646.159999999916</v>
      </c>
      <c r="Q126" s="13"/>
      <c r="R126" s="32">
        <f>IF(P$12=0,0,P126/P$12)</f>
        <v>-0.55994408267357088</v>
      </c>
      <c r="S126" s="13"/>
      <c r="T126" s="34">
        <f>SUM(T123:T125)</f>
        <v>-47828.549752307685</v>
      </c>
      <c r="U126" s="13"/>
      <c r="V126" s="32">
        <f>IF(T$12=0,0,T126/T$12)</f>
        <v>-0.14008918692004652</v>
      </c>
      <c r="W126" s="16"/>
      <c r="X126" s="34">
        <f>+P126-T126</f>
        <v>-43817.610247692231</v>
      </c>
      <c r="Y126" s="16"/>
      <c r="Z126" s="32">
        <f>IF(T126=0,0,X126/T126)</f>
        <v>0.91613921966300205</v>
      </c>
    </row>
    <row r="127" spans="1:26" ht="15" thickTop="1" x14ac:dyDescent="0.35">
      <c r="A127" s="9"/>
      <c r="C127" s="9"/>
      <c r="D127" s="18"/>
      <c r="E127" s="18"/>
      <c r="G127" s="18"/>
      <c r="H127" s="18"/>
      <c r="I127" s="18"/>
      <c r="J127" s="43"/>
      <c r="K127" s="18"/>
      <c r="L127" s="18"/>
      <c r="M127" s="18"/>
      <c r="P127" s="18"/>
      <c r="Q127" s="18"/>
      <c r="R127" s="43"/>
      <c r="S127" s="18"/>
      <c r="T127" s="18"/>
      <c r="U127" s="18"/>
      <c r="V127" s="43"/>
      <c r="W127" s="18"/>
      <c r="X127" s="18"/>
    </row>
    <row r="128" spans="1:26" x14ac:dyDescent="0.35">
      <c r="A128" s="9"/>
      <c r="B128" s="60">
        <v>44238.490611689813</v>
      </c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35">
      <c r="A129" s="9"/>
      <c r="B129" s="59" t="s">
        <v>314</v>
      </c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35">
      <c r="A130" s="9"/>
      <c r="B130" s="58"/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35"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9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305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29576.499999999996</v>
      </c>
      <c r="E12" s="4"/>
      <c r="F12" s="12"/>
      <c r="G12" s="4"/>
      <c r="H12" s="4">
        <f>SUM(OSRRefH13x_0)</f>
        <v>94000</v>
      </c>
      <c r="I12" s="4"/>
      <c r="J12" s="12"/>
      <c r="K12" s="4"/>
      <c r="L12" s="4">
        <f t="shared" ref="L12:L23" si="0">+D12-H12</f>
        <v>-64423.5</v>
      </c>
      <c r="M12" s="4"/>
      <c r="N12" s="12">
        <f t="shared" ref="N12:N23" si="1">IF(H12=0,0,L12/H12)</f>
        <v>-0.68535638297872337</v>
      </c>
      <c r="O12" s="10"/>
      <c r="P12" s="4">
        <f>SUM(OSRRefP13x_0)</f>
        <v>104406.22</v>
      </c>
      <c r="Q12" s="4"/>
      <c r="R12" s="12"/>
      <c r="S12" s="4"/>
      <c r="T12" s="4">
        <f>SUM(OSRRefT13x_0)</f>
        <v>227213</v>
      </c>
      <c r="U12" s="4"/>
      <c r="V12" s="12"/>
      <c r="W12" s="4"/>
      <c r="X12" s="4">
        <f t="shared" ref="X12:X23" si="2">+P12-T12</f>
        <v>-122806.78</v>
      </c>
      <c r="Y12" s="4"/>
      <c r="Z12" s="12">
        <f t="shared" ref="Z12:Z23" si="3">IF(T12=0,0,X12/T12)</f>
        <v>-0.54049187326429382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>-0.63</f>
        <v>-0.63</v>
      </c>
      <c r="E13" s="2"/>
      <c r="F13" s="22"/>
      <c r="G13" s="2"/>
      <c r="H13" s="2">
        <v>75000</v>
      </c>
      <c r="I13" s="2"/>
      <c r="J13" s="22"/>
      <c r="K13" s="2"/>
      <c r="L13" s="2">
        <f t="shared" si="0"/>
        <v>-75000.63</v>
      </c>
      <c r="M13" s="2"/>
      <c r="N13" s="22">
        <f t="shared" si="1"/>
        <v>-1.0000084</v>
      </c>
      <c r="O13" s="11"/>
      <c r="P13" s="2">
        <f>-9.28</f>
        <v>-9.2799999999999994</v>
      </c>
      <c r="Q13" s="2"/>
      <c r="R13" s="22"/>
      <c r="S13" s="2"/>
      <c r="T13" s="2">
        <v>193713</v>
      </c>
      <c r="U13" s="2"/>
      <c r="V13" s="22"/>
      <c r="W13" s="2"/>
      <c r="X13" s="2">
        <f t="shared" si="2"/>
        <v>-193722.28</v>
      </c>
      <c r="Y13" s="2"/>
      <c r="Z13" s="22">
        <f t="shared" si="3"/>
        <v>-1.0000479059226794</v>
      </c>
    </row>
    <row r="14" spans="1:26" s="24" customFormat="1" hidden="1" outlineLevel="1" x14ac:dyDescent="0.35">
      <c r="A14" s="51"/>
      <c r="B14" s="11" t="str">
        <f>CONCATENATE("          ", "4041", " - ", "TAXABLE SALES-LOGO GIFTS")</f>
        <v xml:space="preserve">          4041 - TAXABLE SALES-LOGO GIFTS</v>
      </c>
      <c r="C14" s="11"/>
      <c r="D14" s="2">
        <f>--27561.7</f>
        <v>27561.7</v>
      </c>
      <c r="E14" s="2"/>
      <c r="F14" s="22"/>
      <c r="G14" s="2"/>
      <c r="H14" s="2"/>
      <c r="I14" s="2"/>
      <c r="J14" s="22"/>
      <c r="K14" s="2"/>
      <c r="L14" s="2">
        <f t="shared" si="0"/>
        <v>27561.7</v>
      </c>
      <c r="M14" s="2"/>
      <c r="N14" s="22">
        <f t="shared" si="1"/>
        <v>0</v>
      </c>
      <c r="O14" s="11"/>
      <c r="P14" s="2">
        <f>--88505.97</f>
        <v>88505.97</v>
      </c>
      <c r="Q14" s="2"/>
      <c r="R14" s="22"/>
      <c r="S14" s="2"/>
      <c r="T14" s="2"/>
      <c r="U14" s="2"/>
      <c r="V14" s="22"/>
      <c r="W14" s="2"/>
      <c r="X14" s="2">
        <f t="shared" si="2"/>
        <v>88505.97</v>
      </c>
      <c r="Y14" s="2"/>
      <c r="Z14" s="22">
        <f t="shared" si="3"/>
        <v>0</v>
      </c>
    </row>
    <row r="15" spans="1:26" s="24" customFormat="1" hidden="1" outlineLevel="1" x14ac:dyDescent="0.35">
      <c r="A15" s="51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--1691.73</f>
        <v>1691.73</v>
      </c>
      <c r="E15" s="2"/>
      <c r="F15" s="22"/>
      <c r="G15" s="2"/>
      <c r="H15" s="2"/>
      <c r="I15" s="2"/>
      <c r="J15" s="22"/>
      <c r="K15" s="2"/>
      <c r="L15" s="2">
        <f t="shared" si="0"/>
        <v>1691.73</v>
      </c>
      <c r="M15" s="2"/>
      <c r="N15" s="22">
        <f t="shared" si="1"/>
        <v>0</v>
      </c>
      <c r="O15" s="11"/>
      <c r="P15" s="2">
        <f>--14545.58</f>
        <v>14545.58</v>
      </c>
      <c r="Q15" s="2"/>
      <c r="R15" s="22"/>
      <c r="S15" s="2"/>
      <c r="T15" s="2"/>
      <c r="U15" s="2"/>
      <c r="V15" s="22"/>
      <c r="W15" s="2"/>
      <c r="X15" s="2">
        <f t="shared" si="2"/>
        <v>14545.58</v>
      </c>
      <c r="Y15" s="2"/>
      <c r="Z15" s="22">
        <f t="shared" si="3"/>
        <v>0</v>
      </c>
    </row>
    <row r="16" spans="1:26" s="24" customFormat="1" hidden="1" outlineLevel="1" x14ac:dyDescent="0.35">
      <c r="A16" s="51"/>
      <c r="B16" s="11" t="str">
        <f>CONCATENATE("          ", "4043", " - ", "TAXABLE SALES-CARDS")</f>
        <v xml:space="preserve">          4043 - TAXABLE SALES-CARDS</v>
      </c>
      <c r="C16" s="11"/>
      <c r="D16" s="2">
        <f>--18.35</f>
        <v>18.350000000000001</v>
      </c>
      <c r="E16" s="2"/>
      <c r="F16" s="22"/>
      <c r="G16" s="2"/>
      <c r="H16" s="2"/>
      <c r="I16" s="2"/>
      <c r="J16" s="22"/>
      <c r="K16" s="2"/>
      <c r="L16" s="2">
        <f t="shared" si="0"/>
        <v>18.350000000000001</v>
      </c>
      <c r="M16" s="2"/>
      <c r="N16" s="22">
        <f t="shared" si="1"/>
        <v>0</v>
      </c>
      <c r="O16" s="11"/>
      <c r="P16" s="2">
        <f>--34.31</f>
        <v>34.31</v>
      </c>
      <c r="Q16" s="2"/>
      <c r="R16" s="22"/>
      <c r="S16" s="2"/>
      <c r="T16" s="2"/>
      <c r="U16" s="2"/>
      <c r="V16" s="22"/>
      <c r="W16" s="2"/>
      <c r="X16" s="2">
        <f t="shared" si="2"/>
        <v>34.31</v>
      </c>
      <c r="Y16" s="2"/>
      <c r="Z16" s="22">
        <f t="shared" si="3"/>
        <v>0</v>
      </c>
    </row>
    <row r="17" spans="1:26" s="24" customFormat="1" hidden="1" outlineLevel="1" x14ac:dyDescent="0.3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>0</f>
        <v>0</v>
      </c>
      <c r="E17" s="2"/>
      <c r="F17" s="22"/>
      <c r="G17" s="2"/>
      <c r="H17" s="2">
        <v>19000</v>
      </c>
      <c r="I17" s="2"/>
      <c r="J17" s="22"/>
      <c r="K17" s="2"/>
      <c r="L17" s="2">
        <f t="shared" si="0"/>
        <v>-19000</v>
      </c>
      <c r="M17" s="2"/>
      <c r="N17" s="22">
        <f t="shared" si="1"/>
        <v>-1</v>
      </c>
      <c r="O17" s="11"/>
      <c r="P17" s="2">
        <f>0</f>
        <v>0</v>
      </c>
      <c r="Q17" s="2"/>
      <c r="R17" s="22"/>
      <c r="S17" s="2"/>
      <c r="T17" s="2">
        <v>33500</v>
      </c>
      <c r="U17" s="2"/>
      <c r="V17" s="22"/>
      <c r="W17" s="2"/>
      <c r="X17" s="2">
        <f t="shared" si="2"/>
        <v>-33500</v>
      </c>
      <c r="Y17" s="2"/>
      <c r="Z17" s="22">
        <f t="shared" si="3"/>
        <v>-1</v>
      </c>
    </row>
    <row r="18" spans="1:26" s="24" customFormat="1" hidden="1" outlineLevel="1" x14ac:dyDescent="0.35">
      <c r="A18" s="51"/>
      <c r="B18" s="11" t="str">
        <f>CONCATENATE("          ", "4141", " - ", "NON-TAXABLE SALES-LOGO GIFTS")</f>
        <v xml:space="preserve">          4141 - NON-TAXABLE SALES-LOGO GIFTS</v>
      </c>
      <c r="C18" s="11"/>
      <c r="D18" s="2">
        <f>--708.6</f>
        <v>708.6</v>
      </c>
      <c r="E18" s="2"/>
      <c r="F18" s="22"/>
      <c r="G18" s="2"/>
      <c r="H18" s="2"/>
      <c r="I18" s="2"/>
      <c r="J18" s="22"/>
      <c r="K18" s="2"/>
      <c r="L18" s="2">
        <f t="shared" si="0"/>
        <v>708.6</v>
      </c>
      <c r="M18" s="2"/>
      <c r="N18" s="22">
        <f t="shared" si="1"/>
        <v>0</v>
      </c>
      <c r="O18" s="11"/>
      <c r="P18" s="2">
        <f>--1228.25</f>
        <v>1228.25</v>
      </c>
      <c r="Q18" s="2"/>
      <c r="R18" s="22"/>
      <c r="S18" s="2"/>
      <c r="T18" s="2"/>
      <c r="U18" s="2"/>
      <c r="V18" s="22"/>
      <c r="W18" s="2"/>
      <c r="X18" s="2">
        <f t="shared" si="2"/>
        <v>1228.25</v>
      </c>
      <c r="Y18" s="2"/>
      <c r="Z18" s="22">
        <f t="shared" si="3"/>
        <v>0</v>
      </c>
    </row>
    <row r="19" spans="1:26" s="24" customFormat="1" hidden="1" outlineLevel="1" x14ac:dyDescent="0.35">
      <c r="A19" s="51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>0</f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--1110.59</f>
        <v>1110.5899999999999</v>
      </c>
      <c r="Q19" s="2"/>
      <c r="R19" s="22"/>
      <c r="S19" s="2"/>
      <c r="T19" s="2"/>
      <c r="U19" s="2"/>
      <c r="V19" s="22"/>
      <c r="W19" s="2"/>
      <c r="X19" s="2">
        <f t="shared" si="2"/>
        <v>1110.5899999999999</v>
      </c>
      <c r="Y19" s="2"/>
      <c r="Z19" s="22">
        <f t="shared" si="3"/>
        <v>0</v>
      </c>
    </row>
    <row r="20" spans="1:26" s="24" customFormat="1" hidden="1" outlineLevel="1" x14ac:dyDescent="0.35">
      <c r="A20" s="51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--12.7</f>
        <v>12.7</v>
      </c>
      <c r="E20" s="2"/>
      <c r="F20" s="22"/>
      <c r="G20" s="2"/>
      <c r="H20" s="2"/>
      <c r="I20" s="2"/>
      <c r="J20" s="22"/>
      <c r="K20" s="2"/>
      <c r="L20" s="2">
        <f t="shared" si="0"/>
        <v>12.7</v>
      </c>
      <c r="M20" s="2"/>
      <c r="N20" s="22">
        <f t="shared" si="1"/>
        <v>0</v>
      </c>
      <c r="O20" s="11"/>
      <c r="P20" s="2">
        <f>--140.6</f>
        <v>140.6</v>
      </c>
      <c r="Q20" s="2"/>
      <c r="R20" s="22"/>
      <c r="S20" s="2"/>
      <c r="T20" s="2"/>
      <c r="U20" s="2"/>
      <c r="V20" s="22"/>
      <c r="W20" s="2"/>
      <c r="X20" s="2">
        <f t="shared" si="2"/>
        <v>140.6</v>
      </c>
      <c r="Y20" s="2"/>
      <c r="Z20" s="22">
        <f t="shared" si="3"/>
        <v>0</v>
      </c>
    </row>
    <row r="21" spans="1:26" s="24" customFormat="1" hidden="1" outlineLevel="1" x14ac:dyDescent="0.35">
      <c r="A21" s="51"/>
      <c r="B21" s="11" t="str">
        <f>CONCATENATE("          ", "4147", " - ", "NON-TAXABLE SALES-MISC")</f>
        <v xml:space="preserve">          4147 - NON-TAXABLE SALES-MISC</v>
      </c>
      <c r="C21" s="11"/>
      <c r="D21" s="2">
        <f>--11</f>
        <v>11</v>
      </c>
      <c r="E21" s="2"/>
      <c r="F21" s="22"/>
      <c r="G21" s="2"/>
      <c r="H21" s="2"/>
      <c r="I21" s="2"/>
      <c r="J21" s="22"/>
      <c r="K21" s="2"/>
      <c r="L21" s="2">
        <f t="shared" si="0"/>
        <v>11</v>
      </c>
      <c r="M21" s="2"/>
      <c r="N21" s="22">
        <f t="shared" si="1"/>
        <v>0</v>
      </c>
      <c r="O21" s="11"/>
      <c r="P21" s="2">
        <f>--115.5</f>
        <v>115.5</v>
      </c>
      <c r="Q21" s="2"/>
      <c r="R21" s="22"/>
      <c r="S21" s="2"/>
      <c r="T21" s="2"/>
      <c r="U21" s="2"/>
      <c r="V21" s="22"/>
      <c r="W21" s="2"/>
      <c r="X21" s="2">
        <f t="shared" si="2"/>
        <v>115.5</v>
      </c>
      <c r="Y21" s="2"/>
      <c r="Z21" s="22">
        <f t="shared" si="3"/>
        <v>0</v>
      </c>
    </row>
    <row r="22" spans="1:26" s="24" customFormat="1" hidden="1" outlineLevel="1" x14ac:dyDescent="0.35">
      <c r="A22" s="51"/>
      <c r="B22" s="11" t="str">
        <f>CONCATENATE("          ", "4241", " - ", "SALES RETURN TAXABLE-LOGO GIFT")</f>
        <v xml:space="preserve">          4241 - SALES RETURN TAXABLE-LOGO GIFT</v>
      </c>
      <c r="C22" s="11"/>
      <c r="D22" s="2">
        <f>-415.75</f>
        <v>-415.75</v>
      </c>
      <c r="E22" s="2"/>
      <c r="F22" s="22"/>
      <c r="G22" s="2"/>
      <c r="H22" s="2"/>
      <c r="I22" s="2"/>
      <c r="J22" s="22"/>
      <c r="K22" s="2"/>
      <c r="L22" s="2">
        <f t="shared" si="0"/>
        <v>-415.75</v>
      </c>
      <c r="M22" s="2"/>
      <c r="N22" s="22">
        <f t="shared" si="1"/>
        <v>0</v>
      </c>
      <c r="O22" s="11"/>
      <c r="P22" s="2">
        <f>-1254.1</f>
        <v>-1254.0999999999999</v>
      </c>
      <c r="Q22" s="2"/>
      <c r="R22" s="22"/>
      <c r="S22" s="2"/>
      <c r="T22" s="2"/>
      <c r="U22" s="2"/>
      <c r="V22" s="22"/>
      <c r="W22" s="2"/>
      <c r="X22" s="2">
        <f t="shared" si="2"/>
        <v>-1254.0999999999999</v>
      </c>
      <c r="Y22" s="2"/>
      <c r="Z22" s="22">
        <f t="shared" si="3"/>
        <v>0</v>
      </c>
    </row>
    <row r="23" spans="1:26" s="24" customFormat="1" hidden="1" outlineLevel="1" x14ac:dyDescent="0.35">
      <c r="A23" s="51"/>
      <c r="B23" s="11" t="str">
        <f>CONCATENATE("          ", "4341", " - ", "SALES RETURN NON TAXABLE-LOGO")</f>
        <v xml:space="preserve">          4341 - SALES RETURN NON TAXABLE-LOGO</v>
      </c>
      <c r="C23" s="11"/>
      <c r="D23" s="2">
        <f>-11.2</f>
        <v>-11.2</v>
      </c>
      <c r="E23" s="2"/>
      <c r="F23" s="22"/>
      <c r="G23" s="2"/>
      <c r="H23" s="2"/>
      <c r="I23" s="2"/>
      <c r="J23" s="22"/>
      <c r="K23" s="2"/>
      <c r="L23" s="2">
        <f t="shared" si="0"/>
        <v>-11.2</v>
      </c>
      <c r="M23" s="2"/>
      <c r="N23" s="22">
        <f t="shared" si="1"/>
        <v>0</v>
      </c>
      <c r="O23" s="11"/>
      <c r="P23" s="2">
        <f>-11.2</f>
        <v>-11.2</v>
      </c>
      <c r="Q23" s="2"/>
      <c r="R23" s="22"/>
      <c r="S23" s="2"/>
      <c r="T23" s="2"/>
      <c r="U23" s="2"/>
      <c r="V23" s="22"/>
      <c r="W23" s="2"/>
      <c r="X23" s="2">
        <f t="shared" si="2"/>
        <v>-11.2</v>
      </c>
      <c r="Y23" s="2"/>
      <c r="Z23" s="22">
        <f t="shared" si="3"/>
        <v>0</v>
      </c>
    </row>
    <row r="24" spans="1:26" x14ac:dyDescent="0.3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35">
      <c r="A25" s="10"/>
      <c r="B25" s="25" t="s">
        <v>8</v>
      </c>
      <c r="C25" s="10"/>
      <c r="D25" s="4">
        <f>SUM(0)</f>
        <v>0</v>
      </c>
      <c r="E25" s="4"/>
      <c r="F25" s="12">
        <f>IF(D$12=0,0,D25/D$12)</f>
        <v>0</v>
      </c>
      <c r="G25" s="4"/>
      <c r="H25" s="4">
        <f>SUM(0)</f>
        <v>0</v>
      </c>
      <c r="I25" s="4"/>
      <c r="J25" s="12">
        <f>IF(H$12=0,0,H25/H$12)</f>
        <v>0</v>
      </c>
      <c r="K25" s="4"/>
      <c r="L25" s="4">
        <f>+D25-H25</f>
        <v>0</v>
      </c>
      <c r="M25" s="4"/>
      <c r="N25" s="12">
        <f>IF(H25=0,0,L25/H25)</f>
        <v>0</v>
      </c>
      <c r="O25" s="10"/>
      <c r="P25" s="4">
        <f>SUM(0)</f>
        <v>0</v>
      </c>
      <c r="Q25" s="4"/>
      <c r="R25" s="12">
        <f>IF(P$12=0,0,P25/P$12)</f>
        <v>0</v>
      </c>
      <c r="S25" s="4"/>
      <c r="T25" s="4">
        <f>SUM(0)</f>
        <v>0</v>
      </c>
      <c r="U25" s="4"/>
      <c r="V25" s="12">
        <f>IF(T$12=0,0,T25/T$12)</f>
        <v>0</v>
      </c>
      <c r="W25" s="4"/>
      <c r="X25" s="4">
        <f>+P25-T25</f>
        <v>0</v>
      </c>
      <c r="Y25" s="4"/>
      <c r="Z25" s="12">
        <f>IF(T25=0,0,X25/T25)</f>
        <v>0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6</v>
      </c>
      <c r="C27" s="26"/>
      <c r="D27" s="19">
        <f>D12-D25</f>
        <v>29576.499999999996</v>
      </c>
      <c r="E27" s="13"/>
      <c r="F27" s="21">
        <f>IF(D$12=0,0,D27/D$12)</f>
        <v>1</v>
      </c>
      <c r="G27" s="13"/>
      <c r="H27" s="19">
        <f>H12-H25</f>
        <v>94000</v>
      </c>
      <c r="I27" s="13"/>
      <c r="J27" s="21">
        <f>IF(H$12=0,0,H27/H$12)</f>
        <v>1</v>
      </c>
      <c r="K27" s="16"/>
      <c r="L27" s="19">
        <f>+D27-H27</f>
        <v>-64423.5</v>
      </c>
      <c r="M27" s="16"/>
      <c r="N27" s="21">
        <f>IF(H27=0,0,L27/H27)</f>
        <v>-0.68535638297872337</v>
      </c>
      <c r="O27" s="25"/>
      <c r="P27" s="19">
        <f>P12-P25</f>
        <v>104406.22</v>
      </c>
      <c r="Q27" s="13"/>
      <c r="R27" s="21">
        <f>IF(P$12=0,0,P27/P$12)</f>
        <v>1</v>
      </c>
      <c r="S27" s="13"/>
      <c r="T27" s="19">
        <f>T12-T25</f>
        <v>227213</v>
      </c>
      <c r="U27" s="13"/>
      <c r="V27" s="21">
        <f>IF(T$12=0,0,T27/T$12)</f>
        <v>1</v>
      </c>
      <c r="W27" s="16"/>
      <c r="X27" s="19">
        <f>+P27-T27</f>
        <v>-122806.78</v>
      </c>
      <c r="Y27" s="16"/>
      <c r="Z27" s="21">
        <f>IF(T27=0,0,X27/T27)</f>
        <v>-0.54049187326429382</v>
      </c>
    </row>
    <row r="28" spans="1:26" x14ac:dyDescent="0.3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35">
      <c r="A29" s="10"/>
      <c r="B29" s="25" t="s">
        <v>9</v>
      </c>
      <c r="C29" s="10"/>
      <c r="D29" s="20">
        <f>SUM(OSRRefD22x_0)</f>
        <v>18107.289999999994</v>
      </c>
      <c r="E29" s="20"/>
      <c r="F29" s="30">
        <f t="shared" ref="F29:F39" si="4">IF(D$12=0,0,D29/D$12)</f>
        <v>0.61221882237587255</v>
      </c>
      <c r="G29" s="20"/>
      <c r="H29" s="20">
        <f>SUM(OSRRefH22x_0)</f>
        <v>24926.520074740401</v>
      </c>
      <c r="I29" s="20"/>
      <c r="J29" s="30">
        <f t="shared" ref="J29:J39" si="5">IF(H$12=0,0,H29/H$12)</f>
        <v>0.26517574547596173</v>
      </c>
      <c r="K29" s="4"/>
      <c r="L29" s="20">
        <f t="shared" ref="L29:L39" si="6">+D29-H29</f>
        <v>-6819.2300747404079</v>
      </c>
      <c r="M29" s="4"/>
      <c r="N29" s="30">
        <f t="shared" ref="N29:N39" si="7">IF(H29=0,0,L29/H29)</f>
        <v>-0.27357328878212567</v>
      </c>
      <c r="O29" s="10"/>
      <c r="P29" s="20">
        <f>SUM(OSRRefP22x_0)</f>
        <v>210231.75000000003</v>
      </c>
      <c r="Q29" s="20"/>
      <c r="R29" s="30">
        <f t="shared" ref="R29:R39" si="8">IF(P$12=0,0,P29/P$12)</f>
        <v>2.0135941134541602</v>
      </c>
      <c r="S29" s="20"/>
      <c r="T29" s="20">
        <f>SUM(OSRRefT22x_0)</f>
        <v>221981.82081519059</v>
      </c>
      <c r="U29" s="20"/>
      <c r="V29" s="30">
        <f t="shared" ref="V29:V39" si="9">IF(T$12=0,0,T29/T$12)</f>
        <v>0.97697676107965026</v>
      </c>
      <c r="W29" s="4"/>
      <c r="X29" s="20">
        <f t="shared" ref="X29:X39" si="10">+P29-T29</f>
        <v>-11750.070815190556</v>
      </c>
      <c r="Y29" s="4"/>
      <c r="Z29" s="30">
        <f t="shared" ref="Z29:Z39" si="11">IF(T29=0,0,X29/T29)</f>
        <v>-5.2932581470142077E-2</v>
      </c>
    </row>
    <row r="30" spans="1:26" s="28" customFormat="1" outlineLevel="1" collapsed="1" x14ac:dyDescent="0.35">
      <c r="A30" s="27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11976.35</v>
      </c>
      <c r="E30" s="1"/>
      <c r="F30" s="5">
        <f t="shared" si="4"/>
        <v>0.40492789883860503</v>
      </c>
      <c r="G30" s="1"/>
      <c r="H30" s="1">
        <f>SUM(OSRRefH22_0x_0)</f>
        <v>7338.6343728173024</v>
      </c>
      <c r="I30" s="1"/>
      <c r="J30" s="5">
        <f t="shared" si="5"/>
        <v>7.8070578434226615E-2</v>
      </c>
      <c r="K30" s="1"/>
      <c r="L30" s="1">
        <f t="shared" si="6"/>
        <v>4637.715627182698</v>
      </c>
      <c r="M30" s="1"/>
      <c r="N30" s="5">
        <f t="shared" si="7"/>
        <v>0.63195894380036788</v>
      </c>
      <c r="O30" s="14"/>
      <c r="P30" s="1">
        <f>SUM(OSRRefP22_0x_0)</f>
        <v>66685.219999999987</v>
      </c>
      <c r="Q30" s="1"/>
      <c r="R30" s="5">
        <f t="shared" si="8"/>
        <v>0.63870926463959699</v>
      </c>
      <c r="S30" s="1"/>
      <c r="T30" s="1">
        <f>SUM(OSRRefT22_0x_0)</f>
        <v>47654.129463267287</v>
      </c>
      <c r="U30" s="1"/>
      <c r="V30" s="5">
        <f t="shared" si="9"/>
        <v>0.20973328754634324</v>
      </c>
      <c r="W30" s="1"/>
      <c r="X30" s="1">
        <f t="shared" si="10"/>
        <v>19031.0905367327</v>
      </c>
      <c r="Y30" s="1"/>
      <c r="Z30" s="5">
        <f t="shared" si="11"/>
        <v>0.39935868624779364</v>
      </c>
    </row>
    <row r="31" spans="1:26" s="24" customFormat="1" hidden="1" outlineLevel="2" x14ac:dyDescent="0.35">
      <c r="A31" s="29"/>
      <c r="B31" s="11" t="str">
        <f>CONCATENATE("          ", "6111", " - ", "F.I.C.A.")</f>
        <v xml:space="preserve">          6111 - F.I.C.A.</v>
      </c>
      <c r="C31" s="11"/>
      <c r="D31" s="7">
        <v>1213.6400000000001</v>
      </c>
      <c r="E31" s="2"/>
      <c r="F31" s="6">
        <f t="shared" si="4"/>
        <v>4.1033928963873353E-2</v>
      </c>
      <c r="G31" s="2"/>
      <c r="H31" s="7">
        <v>1301.96978922115</v>
      </c>
      <c r="I31" s="2"/>
      <c r="J31" s="6">
        <f t="shared" si="5"/>
        <v>1.3850742438522872E-2</v>
      </c>
      <c r="K31" s="2"/>
      <c r="L31" s="7">
        <f t="shared" si="6"/>
        <v>-88.329789221149895</v>
      </c>
      <c r="M31" s="2"/>
      <c r="N31" s="6">
        <f t="shared" si="7"/>
        <v>-6.7843194175795402E-2</v>
      </c>
      <c r="O31" s="11"/>
      <c r="P31" s="7">
        <v>9040.41</v>
      </c>
      <c r="Q31" s="2"/>
      <c r="R31" s="6">
        <f t="shared" si="8"/>
        <v>8.6588806682207239E-2</v>
      </c>
      <c r="S31" s="2"/>
      <c r="T31" s="7">
        <v>8174.5333031711298</v>
      </c>
      <c r="U31" s="2"/>
      <c r="V31" s="6">
        <f t="shared" si="9"/>
        <v>3.597740139503959E-2</v>
      </c>
      <c r="W31" s="2"/>
      <c r="X31" s="7">
        <f t="shared" si="10"/>
        <v>865.87669682887008</v>
      </c>
      <c r="Y31" s="2"/>
      <c r="Z31" s="6">
        <f t="shared" si="11"/>
        <v>0.10592368575866862</v>
      </c>
    </row>
    <row r="32" spans="1:26" s="24" customFormat="1" hidden="1" outlineLevel="2" x14ac:dyDescent="0.35">
      <c r="A32" s="29"/>
      <c r="B32" s="11" t="str">
        <f>CONCATENATE("          ", "6112", " - ", "COMPENSATION INSURANCE")</f>
        <v xml:space="preserve">          6112 - COMPENSATION INSURANCE</v>
      </c>
      <c r="C32" s="11"/>
      <c r="D32" s="7">
        <v>61.08</v>
      </c>
      <c r="E32" s="2"/>
      <c r="F32" s="6">
        <f t="shared" si="4"/>
        <v>2.0651530776122939E-3</v>
      </c>
      <c r="G32" s="2"/>
      <c r="H32" s="7">
        <v>349.98330240384598</v>
      </c>
      <c r="I32" s="2"/>
      <c r="J32" s="6">
        <f t="shared" si="5"/>
        <v>3.7232266213175105E-3</v>
      </c>
      <c r="K32" s="2"/>
      <c r="L32" s="7">
        <f t="shared" si="6"/>
        <v>-288.903302403846</v>
      </c>
      <c r="M32" s="2"/>
      <c r="N32" s="6">
        <f t="shared" si="7"/>
        <v>-0.82547738826259853</v>
      </c>
      <c r="O32" s="11"/>
      <c r="P32" s="7">
        <v>2405.0300000000002</v>
      </c>
      <c r="Q32" s="2"/>
      <c r="R32" s="6">
        <f t="shared" si="8"/>
        <v>2.303531341331963E-2</v>
      </c>
      <c r="S32" s="2"/>
      <c r="T32" s="7">
        <v>2124.2390299038457</v>
      </c>
      <c r="U32" s="2"/>
      <c r="V32" s="6">
        <f t="shared" si="9"/>
        <v>9.3491086773373252E-3</v>
      </c>
      <c r="W32" s="2"/>
      <c r="X32" s="7">
        <f t="shared" si="10"/>
        <v>280.79097009615452</v>
      </c>
      <c r="Y32" s="2"/>
      <c r="Z32" s="6">
        <f t="shared" si="11"/>
        <v>0.13218426276108136</v>
      </c>
    </row>
    <row r="33" spans="1:26" s="24" customFormat="1" hidden="1" outlineLevel="2" x14ac:dyDescent="0.35">
      <c r="A33" s="29"/>
      <c r="B33" s="11" t="str">
        <f>CONCATENATE("          ", "6113", " - ", "GROUP INSURANCE")</f>
        <v xml:space="preserve">          6113 - GROUP INSURANCE</v>
      </c>
      <c r="C33" s="11"/>
      <c r="D33" s="7">
        <v>6051.48</v>
      </c>
      <c r="E33" s="2"/>
      <c r="F33" s="6">
        <f t="shared" si="4"/>
        <v>0.20460433114127771</v>
      </c>
      <c r="G33" s="2"/>
      <c r="H33" s="7">
        <v>2645</v>
      </c>
      <c r="I33" s="2"/>
      <c r="J33" s="6">
        <f t="shared" si="5"/>
        <v>2.8138297872340425E-2</v>
      </c>
      <c r="K33" s="2"/>
      <c r="L33" s="7">
        <f t="shared" si="6"/>
        <v>3406.4799999999996</v>
      </c>
      <c r="M33" s="2"/>
      <c r="N33" s="6">
        <f t="shared" si="7"/>
        <v>1.2878941398865782</v>
      </c>
      <c r="O33" s="11"/>
      <c r="P33" s="7">
        <v>25792.809999999998</v>
      </c>
      <c r="Q33" s="2"/>
      <c r="R33" s="6">
        <f t="shared" si="8"/>
        <v>0.24704284859656828</v>
      </c>
      <c r="S33" s="2"/>
      <c r="T33" s="7">
        <v>18515</v>
      </c>
      <c r="U33" s="2"/>
      <c r="V33" s="6">
        <f t="shared" si="9"/>
        <v>8.148741489263378E-2</v>
      </c>
      <c r="W33" s="2"/>
      <c r="X33" s="7">
        <f t="shared" si="10"/>
        <v>7277.8099999999977</v>
      </c>
      <c r="Y33" s="2"/>
      <c r="Z33" s="6">
        <f t="shared" si="11"/>
        <v>0.39307642452065877</v>
      </c>
    </row>
    <row r="34" spans="1:26" s="24" customFormat="1" hidden="1" outlineLevel="2" x14ac:dyDescent="0.35">
      <c r="A34" s="29"/>
      <c r="B34" s="11" t="str">
        <f>CONCATENATE("          ", "6114", " - ", "STATE UNEMPLOYMENT INSURANCE")</f>
        <v xml:space="preserve">          6114 - STATE UNEMPLOYMENT INSURANCE</v>
      </c>
      <c r="C34" s="11"/>
      <c r="D34" s="7">
        <v>86.81</v>
      </c>
      <c r="E34" s="2"/>
      <c r="F34" s="6">
        <f t="shared" si="4"/>
        <v>2.9351005020878066E-3</v>
      </c>
      <c r="G34" s="2"/>
      <c r="H34" s="7">
        <v>54.260898500000003</v>
      </c>
      <c r="I34" s="2"/>
      <c r="J34" s="6">
        <f t="shared" si="5"/>
        <v>5.7724360106382985E-4</v>
      </c>
      <c r="K34" s="2"/>
      <c r="L34" s="7">
        <f t="shared" si="6"/>
        <v>32.549101499999999</v>
      </c>
      <c r="M34" s="2"/>
      <c r="N34" s="6">
        <f t="shared" si="7"/>
        <v>0.59986292891924742</v>
      </c>
      <c r="O34" s="11"/>
      <c r="P34" s="7">
        <v>337.99</v>
      </c>
      <c r="Q34" s="2"/>
      <c r="R34" s="6">
        <f t="shared" si="8"/>
        <v>3.2372592360876582E-3</v>
      </c>
      <c r="S34" s="2"/>
      <c r="T34" s="7">
        <v>324.74075749999997</v>
      </c>
      <c r="U34" s="2"/>
      <c r="V34" s="6">
        <f t="shared" si="9"/>
        <v>1.4292349359411652E-3</v>
      </c>
      <c r="W34" s="2"/>
      <c r="X34" s="7">
        <f t="shared" si="10"/>
        <v>13.249242500000037</v>
      </c>
      <c r="Y34" s="2"/>
      <c r="Z34" s="6">
        <f t="shared" si="11"/>
        <v>4.0799444461479518E-2</v>
      </c>
    </row>
    <row r="35" spans="1:26" s="24" customFormat="1" hidden="1" outlineLevel="2" x14ac:dyDescent="0.35">
      <c r="A35" s="29"/>
      <c r="B35" s="11" t="str">
        <f>CONCATENATE("          ", "6115", " - ", "P.E.R.S.")</f>
        <v xml:space="preserve">          6115 - P.E.R.S.</v>
      </c>
      <c r="C35" s="11"/>
      <c r="D35" s="7">
        <v>2421.6799999999998</v>
      </c>
      <c r="E35" s="2"/>
      <c r="F35" s="6">
        <f t="shared" si="4"/>
        <v>8.1878518418338889E-2</v>
      </c>
      <c r="G35" s="2"/>
      <c r="H35" s="7">
        <v>1239.9085557692301</v>
      </c>
      <c r="I35" s="2"/>
      <c r="J35" s="6">
        <f t="shared" si="5"/>
        <v>1.319051655073649E-2</v>
      </c>
      <c r="K35" s="2"/>
      <c r="L35" s="7">
        <f t="shared" si="6"/>
        <v>1181.7714442307697</v>
      </c>
      <c r="M35" s="2"/>
      <c r="N35" s="6">
        <f t="shared" si="7"/>
        <v>0.95311177484182086</v>
      </c>
      <c r="O35" s="11"/>
      <c r="P35" s="7">
        <v>12485.89</v>
      </c>
      <c r="Q35" s="2"/>
      <c r="R35" s="6">
        <f t="shared" si="8"/>
        <v>0.11958952253994062</v>
      </c>
      <c r="S35" s="2"/>
      <c r="T35" s="7">
        <v>7687.4330457692304</v>
      </c>
      <c r="U35" s="2"/>
      <c r="V35" s="6">
        <f t="shared" si="9"/>
        <v>3.3833596870642219E-2</v>
      </c>
      <c r="W35" s="2"/>
      <c r="X35" s="7">
        <f t="shared" si="10"/>
        <v>4798.456954230769</v>
      </c>
      <c r="Y35" s="2"/>
      <c r="Z35" s="6">
        <f t="shared" si="11"/>
        <v>0.62419495892345944</v>
      </c>
    </row>
    <row r="36" spans="1:26" s="24" customFormat="1" hidden="1" outlineLevel="2" x14ac:dyDescent="0.35">
      <c r="A36" s="29"/>
      <c r="B36" s="11" t="str">
        <f>CONCATENATE("          ", "6116", " - ", "EDUCATIONAL BENEFITS")</f>
        <v xml:space="preserve">          6116 - EDUCATIONAL BENEFITS</v>
      </c>
      <c r="C36" s="11"/>
      <c r="D36" s="7"/>
      <c r="E36" s="2"/>
      <c r="F36" s="6">
        <f t="shared" si="4"/>
        <v>0</v>
      </c>
      <c r="G36" s="2"/>
      <c r="H36" s="7">
        <v>0</v>
      </c>
      <c r="I36" s="2"/>
      <c r="J36" s="6">
        <f t="shared" si="5"/>
        <v>0</v>
      </c>
      <c r="K36" s="2"/>
      <c r="L36" s="7">
        <f t="shared" si="6"/>
        <v>0</v>
      </c>
      <c r="M36" s="2"/>
      <c r="N36" s="6">
        <f t="shared" si="7"/>
        <v>0</v>
      </c>
      <c r="O36" s="11"/>
      <c r="P36" s="7"/>
      <c r="Q36" s="2"/>
      <c r="R36" s="6">
        <f t="shared" si="8"/>
        <v>0</v>
      </c>
      <c r="S36" s="2"/>
      <c r="T36" s="7">
        <v>0</v>
      </c>
      <c r="U36" s="2"/>
      <c r="V36" s="6">
        <f t="shared" si="9"/>
        <v>0</v>
      </c>
      <c r="W36" s="2"/>
      <c r="X36" s="7">
        <f t="shared" si="10"/>
        <v>0</v>
      </c>
      <c r="Y36" s="2"/>
      <c r="Z36" s="6">
        <f t="shared" si="11"/>
        <v>0</v>
      </c>
    </row>
    <row r="37" spans="1:26" s="24" customFormat="1" hidden="1" outlineLevel="2" x14ac:dyDescent="0.35">
      <c r="A37" s="29"/>
      <c r="B37" s="11" t="str">
        <f>CONCATENATE("          ", "6118", " - ", "VACATION")</f>
        <v xml:space="preserve">          6118 - VACATION</v>
      </c>
      <c r="C37" s="11"/>
      <c r="D37" s="7">
        <v>1216.0999999999999</v>
      </c>
      <c r="E37" s="2"/>
      <c r="F37" s="6">
        <f t="shared" si="4"/>
        <v>4.1117103105506064E-2</v>
      </c>
      <c r="G37" s="2"/>
      <c r="H37" s="7">
        <v>1195.7663557692301</v>
      </c>
      <c r="I37" s="2"/>
      <c r="J37" s="6">
        <f t="shared" si="5"/>
        <v>1.2720918678396064E-2</v>
      </c>
      <c r="K37" s="2"/>
      <c r="L37" s="7">
        <f t="shared" si="6"/>
        <v>20.333644230769778</v>
      </c>
      <c r="M37" s="2"/>
      <c r="N37" s="6">
        <f t="shared" si="7"/>
        <v>1.7004696722453989E-2</v>
      </c>
      <c r="O37" s="11"/>
      <c r="P37" s="7">
        <v>8883.5300000000007</v>
      </c>
      <c r="Q37" s="2"/>
      <c r="R37" s="6">
        <f t="shared" si="8"/>
        <v>8.508621421214177E-2</v>
      </c>
      <c r="S37" s="2"/>
      <c r="T37" s="7">
        <v>7413.7514057692297</v>
      </c>
      <c r="U37" s="2"/>
      <c r="V37" s="6">
        <f t="shared" si="9"/>
        <v>3.262908110789977E-2</v>
      </c>
      <c r="W37" s="2"/>
      <c r="X37" s="7">
        <f t="shared" si="10"/>
        <v>1469.778594230771</v>
      </c>
      <c r="Y37" s="2"/>
      <c r="Z37" s="6">
        <f t="shared" si="11"/>
        <v>0.19825032076028598</v>
      </c>
    </row>
    <row r="38" spans="1:26" s="24" customFormat="1" hidden="1" outlineLevel="2" x14ac:dyDescent="0.35">
      <c r="A38" s="29"/>
      <c r="B38" s="11" t="str">
        <f>CONCATENATE("          ", "6119", " - ", "SICK LEAVE")</f>
        <v xml:space="preserve">          6119 - SICK LEAVE</v>
      </c>
      <c r="C38" s="11"/>
      <c r="D38" s="7">
        <v>738.5</v>
      </c>
      <c r="E38" s="2"/>
      <c r="F38" s="6">
        <f t="shared" si="4"/>
        <v>2.4969147803154533E-2</v>
      </c>
      <c r="G38" s="2"/>
      <c r="H38" s="7">
        <v>551.74547115384598</v>
      </c>
      <c r="I38" s="2"/>
      <c r="J38" s="6">
        <f t="shared" si="5"/>
        <v>5.8696326718494255E-3</v>
      </c>
      <c r="K38" s="2"/>
      <c r="L38" s="7">
        <f t="shared" si="6"/>
        <v>186.75452884615402</v>
      </c>
      <c r="M38" s="2"/>
      <c r="N38" s="6">
        <f t="shared" si="7"/>
        <v>0.33847949572762387</v>
      </c>
      <c r="O38" s="11"/>
      <c r="P38" s="7">
        <v>5432.77</v>
      </c>
      <c r="Q38" s="2"/>
      <c r="R38" s="6">
        <f t="shared" si="8"/>
        <v>5.2034926654752948E-2</v>
      </c>
      <c r="S38" s="2"/>
      <c r="T38" s="7">
        <v>3414.4319211538459</v>
      </c>
      <c r="U38" s="2"/>
      <c r="V38" s="6">
        <f t="shared" si="9"/>
        <v>1.5027449666849369E-2</v>
      </c>
      <c r="W38" s="2"/>
      <c r="X38" s="7">
        <f t="shared" si="10"/>
        <v>2018.3380788461545</v>
      </c>
      <c r="Y38" s="2"/>
      <c r="Z38" s="6">
        <f t="shared" si="11"/>
        <v>0.5911197310280808</v>
      </c>
    </row>
    <row r="39" spans="1:26" s="24" customFormat="1" hidden="1" outlineLevel="2" x14ac:dyDescent="0.35">
      <c r="A39" s="29"/>
      <c r="B39" s="11" t="str">
        <f>CONCATENATE("          ", "6156", " - ", "EMPLOYEE MEALS")</f>
        <v xml:space="preserve">          6156 - EMPLOYEE MEALS</v>
      </c>
      <c r="C39" s="11"/>
      <c r="D39" s="7">
        <v>187.06</v>
      </c>
      <c r="E39" s="2"/>
      <c r="F39" s="6">
        <f t="shared" si="4"/>
        <v>6.3246158267543495E-3</v>
      </c>
      <c r="G39" s="2"/>
      <c r="H39" s="7"/>
      <c r="I39" s="2"/>
      <c r="J39" s="6">
        <f t="shared" si="5"/>
        <v>0</v>
      </c>
      <c r="K39" s="2"/>
      <c r="L39" s="7">
        <f t="shared" si="6"/>
        <v>187.06</v>
      </c>
      <c r="M39" s="2"/>
      <c r="N39" s="6">
        <f t="shared" si="7"/>
        <v>0</v>
      </c>
      <c r="O39" s="11"/>
      <c r="P39" s="7">
        <v>2306.79</v>
      </c>
      <c r="Q39" s="2"/>
      <c r="R39" s="6">
        <f t="shared" si="8"/>
        <v>2.2094373304578981E-2</v>
      </c>
      <c r="S39" s="2"/>
      <c r="T39" s="7"/>
      <c r="U39" s="2"/>
      <c r="V39" s="6">
        <f t="shared" si="9"/>
        <v>0</v>
      </c>
      <c r="W39" s="2"/>
      <c r="X39" s="7">
        <f t="shared" si="10"/>
        <v>2306.79</v>
      </c>
      <c r="Y39" s="2"/>
      <c r="Z39" s="6">
        <f t="shared" si="11"/>
        <v>0</v>
      </c>
    </row>
    <row r="40" spans="1:26" s="28" customFormat="1" outlineLevel="1" collapsed="1" x14ac:dyDescent="0.35">
      <c r="A40" s="27"/>
      <c r="B40" s="14" t="str">
        <f>CONCATENATE("     ","*Payroll                                          ")</f>
        <v xml:space="preserve">     *Payroll                                          </v>
      </c>
      <c r="C40" s="14"/>
      <c r="D40" s="1">
        <f>SUM(OSRRefD22_1x_0)</f>
        <v>20840.240000000002</v>
      </c>
      <c r="E40" s="1"/>
      <c r="F40" s="5">
        <f t="shared" ref="F40:F50" si="12">IF(D$12=0,0,D40/D$12)</f>
        <v>0.70462157456088459</v>
      </c>
      <c r="G40" s="1"/>
      <c r="H40" s="1">
        <f>SUM(OSRRefH22_1x_0)</f>
        <v>12746.8857019231</v>
      </c>
      <c r="I40" s="1"/>
      <c r="J40" s="5">
        <f t="shared" ref="J40:J50" si="13">IF(H$12=0,0,H40/H$12)</f>
        <v>0.13560516704173511</v>
      </c>
      <c r="K40" s="1"/>
      <c r="L40" s="1">
        <f t="shared" ref="L40:L50" si="14">+D40-H40</f>
        <v>8093.3542980769016</v>
      </c>
      <c r="M40" s="1"/>
      <c r="N40" s="5">
        <f t="shared" ref="N40:N50" si="15">IF(H40=0,0,L40/H40)</f>
        <v>0.63492797278757052</v>
      </c>
      <c r="O40" s="14"/>
      <c r="P40" s="1">
        <f>SUM(OSRRefP22_1x_0)</f>
        <v>108103.56999999999</v>
      </c>
      <c r="Q40" s="1"/>
      <c r="R40" s="5">
        <f t="shared" ref="R40:R50" si="16">IF(P$12=0,0,P40/P$12)</f>
        <v>1.0354131200229257</v>
      </c>
      <c r="S40" s="1"/>
      <c r="T40" s="1">
        <f>SUM(OSRRefT22_1x_0)</f>
        <v>79030.691351923306</v>
      </c>
      <c r="U40" s="1"/>
      <c r="V40" s="5">
        <f t="shared" ref="V40:V50" si="17">IF(T$12=0,0,T40/T$12)</f>
        <v>0.34782645073971696</v>
      </c>
      <c r="W40" s="1"/>
      <c r="X40" s="1">
        <f t="shared" ref="X40:X50" si="18">+P40-T40</f>
        <v>29072.878648076687</v>
      </c>
      <c r="Y40" s="1"/>
      <c r="Z40" s="5">
        <f t="shared" ref="Z40:Z50" si="19">IF(T40=0,0,X40/T40)</f>
        <v>0.36786820601904252</v>
      </c>
    </row>
    <row r="41" spans="1:26" s="24" customFormat="1" hidden="1" outlineLevel="2" x14ac:dyDescent="0.35">
      <c r="A41" s="29"/>
      <c r="B41" s="11" t="str">
        <f>CONCATENATE("          ", "6001", " - ", "ADMINISTRATIVE SALARIES")</f>
        <v xml:space="preserve">          6001 - ADMINISTRATIVE SALARIES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4" customFormat="1" hidden="1" outlineLevel="2" x14ac:dyDescent="0.35">
      <c r="A42" s="29"/>
      <c r="B42" s="11" t="str">
        <f>CONCATENATE("          ", "6002", " - ", "STAFF SALARIES")</f>
        <v xml:space="preserve">          6002 - STAFF SALARIES</v>
      </c>
      <c r="C42" s="11"/>
      <c r="D42" s="7">
        <v>19715.72</v>
      </c>
      <c r="E42" s="2"/>
      <c r="F42" s="6">
        <f t="shared" si="12"/>
        <v>0.66660084864672975</v>
      </c>
      <c r="G42" s="2"/>
      <c r="H42" s="7">
        <v>12746.8857019231</v>
      </c>
      <c r="I42" s="2"/>
      <c r="J42" s="6">
        <f t="shared" si="13"/>
        <v>0.13560516704173511</v>
      </c>
      <c r="K42" s="2"/>
      <c r="L42" s="7">
        <f t="shared" si="14"/>
        <v>6968.8342980769012</v>
      </c>
      <c r="M42" s="2"/>
      <c r="N42" s="6">
        <f t="shared" si="15"/>
        <v>0.5467087774251812</v>
      </c>
      <c r="O42" s="11"/>
      <c r="P42" s="7">
        <v>102746.43</v>
      </c>
      <c r="Q42" s="2"/>
      <c r="R42" s="6">
        <f t="shared" si="16"/>
        <v>0.98410257549789648</v>
      </c>
      <c r="S42" s="2"/>
      <c r="T42" s="7">
        <v>79030.691351923306</v>
      </c>
      <c r="U42" s="2"/>
      <c r="V42" s="6">
        <f t="shared" si="17"/>
        <v>0.34782645073971696</v>
      </c>
      <c r="W42" s="2"/>
      <c r="X42" s="7">
        <f t="shared" si="18"/>
        <v>23715.738648076687</v>
      </c>
      <c r="Y42" s="2"/>
      <c r="Z42" s="6">
        <f t="shared" si="19"/>
        <v>0.30008264184948874</v>
      </c>
    </row>
    <row r="43" spans="1:26" s="24" customFormat="1" hidden="1" outlineLevel="2" x14ac:dyDescent="0.35">
      <c r="A43" s="29"/>
      <c r="B43" s="11" t="str">
        <f>CONCATENATE("          ", "6003", " - ", "STAFF HOURLY-9 MONTH")</f>
        <v xml:space="preserve">          6003 - STAFF HOURLY-9 MONTH</v>
      </c>
      <c r="C43" s="11"/>
      <c r="D43" s="7"/>
      <c r="E43" s="2"/>
      <c r="F43" s="6">
        <f t="shared" si="12"/>
        <v>0</v>
      </c>
      <c r="G43" s="2"/>
      <c r="H43" s="7">
        <v>0</v>
      </c>
      <c r="I43" s="2"/>
      <c r="J43" s="6">
        <f t="shared" si="13"/>
        <v>0</v>
      </c>
      <c r="K43" s="2"/>
      <c r="L43" s="7">
        <f t="shared" si="14"/>
        <v>0</v>
      </c>
      <c r="M43" s="2"/>
      <c r="N43" s="6">
        <f t="shared" si="15"/>
        <v>0</v>
      </c>
      <c r="O43" s="11"/>
      <c r="P43" s="7"/>
      <c r="Q43" s="2"/>
      <c r="R43" s="6">
        <f t="shared" si="16"/>
        <v>0</v>
      </c>
      <c r="S43" s="2"/>
      <c r="T43" s="7">
        <v>0</v>
      </c>
      <c r="U43" s="2"/>
      <c r="V43" s="6">
        <f t="shared" si="17"/>
        <v>0</v>
      </c>
      <c r="W43" s="2"/>
      <c r="X43" s="7">
        <f t="shared" si="18"/>
        <v>0</v>
      </c>
      <c r="Y43" s="2"/>
      <c r="Z43" s="6">
        <f t="shared" si="19"/>
        <v>0</v>
      </c>
    </row>
    <row r="44" spans="1:26" s="24" customFormat="1" hidden="1" outlineLevel="2" x14ac:dyDescent="0.35">
      <c r="A44" s="29"/>
      <c r="B44" s="11" t="str">
        <f>CONCATENATE("          ", "6004", " - ", "STAFF HOURLY")</f>
        <v xml:space="preserve">          6004 - STAFF HOURLY</v>
      </c>
      <c r="C44" s="11"/>
      <c r="D44" s="7"/>
      <c r="E44" s="2"/>
      <c r="F44" s="6">
        <f t="shared" si="12"/>
        <v>0</v>
      </c>
      <c r="G44" s="2"/>
      <c r="H44" s="7">
        <v>0</v>
      </c>
      <c r="I44" s="2"/>
      <c r="J44" s="6">
        <f t="shared" si="13"/>
        <v>0</v>
      </c>
      <c r="K44" s="2"/>
      <c r="L44" s="7">
        <f t="shared" si="14"/>
        <v>0</v>
      </c>
      <c r="M44" s="2"/>
      <c r="N44" s="6">
        <f t="shared" si="15"/>
        <v>0</v>
      </c>
      <c r="O44" s="11"/>
      <c r="P44" s="7"/>
      <c r="Q44" s="2"/>
      <c r="R44" s="6">
        <f t="shared" si="16"/>
        <v>0</v>
      </c>
      <c r="S44" s="2"/>
      <c r="T44" s="7">
        <v>0</v>
      </c>
      <c r="U44" s="2"/>
      <c r="V44" s="6">
        <f t="shared" si="17"/>
        <v>0</v>
      </c>
      <c r="W44" s="2"/>
      <c r="X44" s="7">
        <f t="shared" si="18"/>
        <v>0</v>
      </c>
      <c r="Y44" s="2"/>
      <c r="Z44" s="6">
        <f t="shared" si="19"/>
        <v>0</v>
      </c>
    </row>
    <row r="45" spans="1:26" s="24" customFormat="1" hidden="1" outlineLevel="2" x14ac:dyDescent="0.35">
      <c r="A45" s="29"/>
      <c r="B45" s="11" t="str">
        <f>CONCATENATE("          ", "6005", " - ", "TEMPORARY WAGES-HOURLY")</f>
        <v xml:space="preserve">          6005 - TEMPORARY WAGES-HOURLY</v>
      </c>
      <c r="C45" s="11"/>
      <c r="D45" s="7"/>
      <c r="E45" s="2"/>
      <c r="F45" s="6">
        <f t="shared" si="12"/>
        <v>0</v>
      </c>
      <c r="G45" s="2"/>
      <c r="H45" s="7">
        <v>0</v>
      </c>
      <c r="I45" s="2"/>
      <c r="J45" s="6">
        <f t="shared" si="13"/>
        <v>0</v>
      </c>
      <c r="K45" s="2"/>
      <c r="L45" s="7">
        <f t="shared" si="14"/>
        <v>0</v>
      </c>
      <c r="M45" s="2"/>
      <c r="N45" s="6">
        <f t="shared" si="15"/>
        <v>0</v>
      </c>
      <c r="O45" s="11"/>
      <c r="P45" s="7">
        <v>383.25</v>
      </c>
      <c r="Q45" s="2"/>
      <c r="R45" s="6">
        <f t="shared" si="16"/>
        <v>3.6707583130583597E-3</v>
      </c>
      <c r="S45" s="2"/>
      <c r="T45" s="7">
        <v>0</v>
      </c>
      <c r="U45" s="2"/>
      <c r="V45" s="6">
        <f t="shared" si="17"/>
        <v>0</v>
      </c>
      <c r="W45" s="2"/>
      <c r="X45" s="7">
        <f t="shared" si="18"/>
        <v>383.25</v>
      </c>
      <c r="Y45" s="2"/>
      <c r="Z45" s="6">
        <f t="shared" si="19"/>
        <v>0</v>
      </c>
    </row>
    <row r="46" spans="1:26" s="24" customFormat="1" hidden="1" outlineLevel="2" x14ac:dyDescent="0.35">
      <c r="A46" s="29"/>
      <c r="B46" s="11" t="str">
        <f>CONCATENATE("          ", "6006", " - ", "TEMPORARY PART TIME")</f>
        <v xml:space="preserve">          6006 - TEMPORARY PART TIME</v>
      </c>
      <c r="C46" s="11"/>
      <c r="D46" s="7"/>
      <c r="E46" s="2"/>
      <c r="F46" s="6">
        <f t="shared" si="12"/>
        <v>0</v>
      </c>
      <c r="G46" s="2"/>
      <c r="H46" s="7">
        <v>0</v>
      </c>
      <c r="I46" s="2"/>
      <c r="J46" s="6">
        <f t="shared" si="13"/>
        <v>0</v>
      </c>
      <c r="K46" s="2"/>
      <c r="L46" s="7">
        <f t="shared" si="14"/>
        <v>0</v>
      </c>
      <c r="M46" s="2"/>
      <c r="N46" s="6">
        <f t="shared" si="15"/>
        <v>0</v>
      </c>
      <c r="O46" s="11"/>
      <c r="P46" s="7"/>
      <c r="Q46" s="2"/>
      <c r="R46" s="6">
        <f t="shared" si="16"/>
        <v>0</v>
      </c>
      <c r="S46" s="2"/>
      <c r="T46" s="7">
        <v>0</v>
      </c>
      <c r="U46" s="2"/>
      <c r="V46" s="6">
        <f t="shared" si="17"/>
        <v>0</v>
      </c>
      <c r="W46" s="2"/>
      <c r="X46" s="7">
        <f t="shared" si="18"/>
        <v>0</v>
      </c>
      <c r="Y46" s="2"/>
      <c r="Z46" s="6">
        <f t="shared" si="19"/>
        <v>0</v>
      </c>
    </row>
    <row r="47" spans="1:26" s="24" customFormat="1" hidden="1" outlineLevel="2" x14ac:dyDescent="0.35">
      <c r="A47" s="29"/>
      <c r="B47" s="11" t="str">
        <f>CONCATENATE("          ", "6007", " - ", "STUDENT HOURLY")</f>
        <v xml:space="preserve">          6007 - STUDENT HOURLY</v>
      </c>
      <c r="C47" s="11"/>
      <c r="D47" s="7">
        <v>1124.52</v>
      </c>
      <c r="E47" s="2"/>
      <c r="F47" s="6">
        <f t="shared" si="12"/>
        <v>3.802072591415482E-2</v>
      </c>
      <c r="G47" s="2"/>
      <c r="H47" s="7">
        <v>0</v>
      </c>
      <c r="I47" s="2"/>
      <c r="J47" s="6">
        <f t="shared" si="13"/>
        <v>0</v>
      </c>
      <c r="K47" s="2"/>
      <c r="L47" s="7">
        <f t="shared" si="14"/>
        <v>1124.52</v>
      </c>
      <c r="M47" s="2"/>
      <c r="N47" s="6">
        <f t="shared" si="15"/>
        <v>0</v>
      </c>
      <c r="O47" s="11"/>
      <c r="P47" s="7">
        <v>4973.8900000000003</v>
      </c>
      <c r="Q47" s="2"/>
      <c r="R47" s="6">
        <f t="shared" si="16"/>
        <v>4.7639786211970896E-2</v>
      </c>
      <c r="S47" s="2"/>
      <c r="T47" s="7">
        <v>0</v>
      </c>
      <c r="U47" s="2"/>
      <c r="V47" s="6">
        <f t="shared" si="17"/>
        <v>0</v>
      </c>
      <c r="W47" s="2"/>
      <c r="X47" s="7">
        <f t="shared" si="18"/>
        <v>4973.8900000000003</v>
      </c>
      <c r="Y47" s="2"/>
      <c r="Z47" s="6">
        <f t="shared" si="19"/>
        <v>0</v>
      </c>
    </row>
    <row r="48" spans="1:26" s="24" customFormat="1" hidden="1" outlineLevel="2" x14ac:dyDescent="0.35">
      <c r="A48" s="29"/>
      <c r="B48" s="11" t="str">
        <f>CONCATENATE("          ", "6008", " - ", "STUDENT HOURLY-FICA EXEMPT")</f>
        <v xml:space="preserve">          6008 - STUDENT HOURLY-FICA EXEMPT</v>
      </c>
      <c r="C48" s="11"/>
      <c r="D48" s="7"/>
      <c r="E48" s="2"/>
      <c r="F48" s="6">
        <f t="shared" si="12"/>
        <v>0</v>
      </c>
      <c r="G48" s="2"/>
      <c r="H48" s="7">
        <v>0</v>
      </c>
      <c r="I48" s="2"/>
      <c r="J48" s="6">
        <f t="shared" si="13"/>
        <v>0</v>
      </c>
      <c r="K48" s="2"/>
      <c r="L48" s="7">
        <f t="shared" si="14"/>
        <v>0</v>
      </c>
      <c r="M48" s="2"/>
      <c r="N48" s="6">
        <f t="shared" si="15"/>
        <v>0</v>
      </c>
      <c r="O48" s="11"/>
      <c r="P48" s="7"/>
      <c r="Q48" s="2"/>
      <c r="R48" s="6">
        <f t="shared" si="16"/>
        <v>0</v>
      </c>
      <c r="S48" s="2"/>
      <c r="T48" s="7">
        <v>0</v>
      </c>
      <c r="U48" s="2"/>
      <c r="V48" s="6">
        <f t="shared" si="17"/>
        <v>0</v>
      </c>
      <c r="W48" s="2"/>
      <c r="X48" s="7">
        <f t="shared" si="18"/>
        <v>0</v>
      </c>
      <c r="Y48" s="2"/>
      <c r="Z48" s="6">
        <f t="shared" si="19"/>
        <v>0</v>
      </c>
    </row>
    <row r="49" spans="1:26" s="24" customFormat="1" hidden="1" outlineLevel="2" x14ac:dyDescent="0.35">
      <c r="A49" s="29"/>
      <c r="B49" s="11" t="str">
        <f>CONCATENATE("          ", "6009", " - ", "TEMPORARY-SEASONAL")</f>
        <v xml:space="preserve">          6009 - TEMPORARY-SEASONAL</v>
      </c>
      <c r="C49" s="11"/>
      <c r="D49" s="7"/>
      <c r="E49" s="2"/>
      <c r="F49" s="6">
        <f t="shared" si="12"/>
        <v>0</v>
      </c>
      <c r="G49" s="2"/>
      <c r="H49" s="7">
        <v>0</v>
      </c>
      <c r="I49" s="2"/>
      <c r="J49" s="6">
        <f t="shared" si="13"/>
        <v>0</v>
      </c>
      <c r="K49" s="2"/>
      <c r="L49" s="7">
        <f t="shared" si="14"/>
        <v>0</v>
      </c>
      <c r="M49" s="2"/>
      <c r="N49" s="6">
        <f t="shared" si="15"/>
        <v>0</v>
      </c>
      <c r="O49" s="11"/>
      <c r="P49" s="7"/>
      <c r="Q49" s="2"/>
      <c r="R49" s="6">
        <f t="shared" si="16"/>
        <v>0</v>
      </c>
      <c r="S49" s="2"/>
      <c r="T49" s="7">
        <v>0</v>
      </c>
      <c r="U49" s="2"/>
      <c r="V49" s="6">
        <f t="shared" si="17"/>
        <v>0</v>
      </c>
      <c r="W49" s="2"/>
      <c r="X49" s="7">
        <f t="shared" si="18"/>
        <v>0</v>
      </c>
      <c r="Y49" s="2"/>
      <c r="Z49" s="6">
        <f t="shared" si="19"/>
        <v>0</v>
      </c>
    </row>
    <row r="50" spans="1:26" s="24" customFormat="1" hidden="1" outlineLevel="2" x14ac:dyDescent="0.35">
      <c r="A50" s="29"/>
      <c r="B50" s="11" t="str">
        <f>CONCATENATE("          ", "6010", " - ", "GRATUITY")</f>
        <v xml:space="preserve">          6010 - GRATUITY</v>
      </c>
      <c r="C50" s="11"/>
      <c r="D50" s="7"/>
      <c r="E50" s="2"/>
      <c r="F50" s="6">
        <f t="shared" si="12"/>
        <v>0</v>
      </c>
      <c r="G50" s="2"/>
      <c r="H50" s="7">
        <v>0</v>
      </c>
      <c r="I50" s="2"/>
      <c r="J50" s="6">
        <f t="shared" si="13"/>
        <v>0</v>
      </c>
      <c r="K50" s="2"/>
      <c r="L50" s="7">
        <f t="shared" si="14"/>
        <v>0</v>
      </c>
      <c r="M50" s="2"/>
      <c r="N50" s="6">
        <f t="shared" si="15"/>
        <v>0</v>
      </c>
      <c r="O50" s="11"/>
      <c r="P50" s="7"/>
      <c r="Q50" s="2"/>
      <c r="R50" s="6">
        <f t="shared" si="16"/>
        <v>0</v>
      </c>
      <c r="S50" s="2"/>
      <c r="T50" s="7">
        <v>0</v>
      </c>
      <c r="U50" s="2"/>
      <c r="V50" s="6">
        <f t="shared" si="17"/>
        <v>0</v>
      </c>
      <c r="W50" s="2"/>
      <c r="X50" s="7">
        <f t="shared" si="18"/>
        <v>0</v>
      </c>
      <c r="Y50" s="2"/>
      <c r="Z50" s="6">
        <f t="shared" si="19"/>
        <v>0</v>
      </c>
    </row>
    <row r="51" spans="1:26" s="28" customFormat="1" outlineLevel="1" collapsed="1" x14ac:dyDescent="0.35">
      <c r="A51" s="27"/>
      <c r="B51" s="14" t="str">
        <f>CONCATENATE("     ","Advertising/Promo                                 ")</f>
        <v xml:space="preserve">     Advertising/Promo                                 </v>
      </c>
      <c r="C51" s="14"/>
      <c r="D51" s="1">
        <f>SUM(OSRRefD22_2x_0)</f>
        <v>0</v>
      </c>
      <c r="E51" s="1"/>
      <c r="F51" s="5">
        <f t="shared" ref="F51:F61" si="20">IF(D$12=0,0,D51/D$12)</f>
        <v>0</v>
      </c>
      <c r="G51" s="1"/>
      <c r="H51" s="1">
        <f>SUM(OSRRefH22_2x_0)</f>
        <v>50</v>
      </c>
      <c r="I51" s="1"/>
      <c r="J51" s="5">
        <f t="shared" ref="J51:J61" si="21">IF(H$12=0,0,H51/H$12)</f>
        <v>5.3191489361702129E-4</v>
      </c>
      <c r="K51" s="1"/>
      <c r="L51" s="1">
        <f t="shared" ref="L51:L61" si="22">+D51-H51</f>
        <v>-50</v>
      </c>
      <c r="M51" s="1"/>
      <c r="N51" s="5">
        <f t="shared" ref="N51:N61" si="23">IF(H51=0,0,L51/H51)</f>
        <v>-1</v>
      </c>
      <c r="O51" s="14"/>
      <c r="P51" s="1">
        <f>SUM(OSRRefP22_2x_0)</f>
        <v>0</v>
      </c>
      <c r="Q51" s="1"/>
      <c r="R51" s="5">
        <f t="shared" ref="R51:R61" si="24">IF(P$12=0,0,P51/P$12)</f>
        <v>0</v>
      </c>
      <c r="S51" s="1"/>
      <c r="T51" s="1">
        <f>SUM(OSRRefT22_2x_0)</f>
        <v>350</v>
      </c>
      <c r="U51" s="1"/>
      <c r="V51" s="5">
        <f t="shared" ref="V51:V61" si="25">IF(T$12=0,0,T51/T$12)</f>
        <v>1.5404048183862719E-3</v>
      </c>
      <c r="W51" s="1"/>
      <c r="X51" s="1">
        <f t="shared" ref="X51:X61" si="26">+P51-T51</f>
        <v>-350</v>
      </c>
      <c r="Y51" s="1"/>
      <c r="Z51" s="5">
        <f t="shared" ref="Z51:Z61" si="27">IF(T51=0,0,X51/T51)</f>
        <v>-1</v>
      </c>
    </row>
    <row r="52" spans="1:26" s="24" customFormat="1" hidden="1" outlineLevel="2" x14ac:dyDescent="0.35">
      <c r="A52" s="29"/>
      <c r="B52" s="11" t="str">
        <f>CONCATENATE("          ", "6362", " - ", "ADVERTISING EXPENSE")</f>
        <v xml:space="preserve">          6362 - ADVERTISING EXPENSE</v>
      </c>
      <c r="C52" s="11"/>
      <c r="D52" s="7"/>
      <c r="E52" s="2"/>
      <c r="F52" s="6">
        <f t="shared" si="20"/>
        <v>0</v>
      </c>
      <c r="G52" s="2"/>
      <c r="H52" s="7">
        <v>50</v>
      </c>
      <c r="I52" s="2"/>
      <c r="J52" s="6">
        <f t="shared" si="21"/>
        <v>5.3191489361702129E-4</v>
      </c>
      <c r="K52" s="2"/>
      <c r="L52" s="7">
        <f t="shared" si="22"/>
        <v>-50</v>
      </c>
      <c r="M52" s="2"/>
      <c r="N52" s="6">
        <f t="shared" si="23"/>
        <v>-1</v>
      </c>
      <c r="O52" s="11"/>
      <c r="P52" s="7"/>
      <c r="Q52" s="2"/>
      <c r="R52" s="6">
        <f t="shared" si="24"/>
        <v>0</v>
      </c>
      <c r="S52" s="2"/>
      <c r="T52" s="7">
        <v>350</v>
      </c>
      <c r="U52" s="2"/>
      <c r="V52" s="6">
        <f t="shared" si="25"/>
        <v>1.5404048183862719E-3</v>
      </c>
      <c r="W52" s="2"/>
      <c r="X52" s="7">
        <f t="shared" si="26"/>
        <v>-350</v>
      </c>
      <c r="Y52" s="2"/>
      <c r="Z52" s="6">
        <f t="shared" si="27"/>
        <v>-1</v>
      </c>
    </row>
    <row r="53" spans="1:26" s="28" customFormat="1" outlineLevel="1" collapsed="1" x14ac:dyDescent="0.35">
      <c r="A53" s="27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SUM(OSRRefD22_3x_0)</f>
        <v>169.88</v>
      </c>
      <c r="E53" s="1"/>
      <c r="F53" s="5">
        <f t="shared" si="20"/>
        <v>5.743749260392542E-3</v>
      </c>
      <c r="G53" s="1"/>
      <c r="H53" s="1">
        <f>SUM(OSRRefH22_3x_0)</f>
        <v>170</v>
      </c>
      <c r="I53" s="1"/>
      <c r="J53" s="5">
        <f t="shared" si="21"/>
        <v>1.8085106382978724E-3</v>
      </c>
      <c r="K53" s="1"/>
      <c r="L53" s="1">
        <f t="shared" si="22"/>
        <v>-0.12000000000000455</v>
      </c>
      <c r="M53" s="1"/>
      <c r="N53" s="5">
        <f t="shared" si="23"/>
        <v>-7.0588235294120319E-4</v>
      </c>
      <c r="O53" s="14"/>
      <c r="P53" s="1">
        <f>SUM(OSRRefP22_3x_0)</f>
        <v>1189.1600000000001</v>
      </c>
      <c r="Q53" s="1"/>
      <c r="R53" s="5">
        <f t="shared" si="24"/>
        <v>1.1389742871641174E-2</v>
      </c>
      <c r="S53" s="1"/>
      <c r="T53" s="1">
        <f>SUM(OSRRefT22_3x_0)</f>
        <v>1190</v>
      </c>
      <c r="U53" s="1"/>
      <c r="V53" s="5">
        <f t="shared" si="25"/>
        <v>5.2373763825133242E-3</v>
      </c>
      <c r="W53" s="1"/>
      <c r="X53" s="1">
        <f t="shared" si="26"/>
        <v>-0.83999999999991815</v>
      </c>
      <c r="Y53" s="1"/>
      <c r="Z53" s="5">
        <f t="shared" si="27"/>
        <v>-7.0588235294110767E-4</v>
      </c>
    </row>
    <row r="54" spans="1:26" s="24" customFormat="1" hidden="1" outlineLevel="2" x14ac:dyDescent="0.35">
      <c r="A54" s="29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169.88</v>
      </c>
      <c r="E54" s="2"/>
      <c r="F54" s="6">
        <f t="shared" si="20"/>
        <v>5.743749260392542E-3</v>
      </c>
      <c r="G54" s="2"/>
      <c r="H54" s="7">
        <v>170</v>
      </c>
      <c r="I54" s="2"/>
      <c r="J54" s="6">
        <f t="shared" si="21"/>
        <v>1.8085106382978724E-3</v>
      </c>
      <c r="K54" s="2"/>
      <c r="L54" s="7">
        <f t="shared" si="22"/>
        <v>-0.12000000000000455</v>
      </c>
      <c r="M54" s="2"/>
      <c r="N54" s="6">
        <f t="shared" si="23"/>
        <v>-7.0588235294120319E-4</v>
      </c>
      <c r="O54" s="11"/>
      <c r="P54" s="7">
        <v>1189.1600000000001</v>
      </c>
      <c r="Q54" s="2"/>
      <c r="R54" s="6">
        <f t="shared" si="24"/>
        <v>1.1389742871641174E-2</v>
      </c>
      <c r="S54" s="2"/>
      <c r="T54" s="7">
        <v>1190</v>
      </c>
      <c r="U54" s="2"/>
      <c r="V54" s="6">
        <f t="shared" si="25"/>
        <v>5.2373763825133242E-3</v>
      </c>
      <c r="W54" s="2"/>
      <c r="X54" s="7">
        <f t="shared" si="26"/>
        <v>-0.83999999999991815</v>
      </c>
      <c r="Y54" s="2"/>
      <c r="Z54" s="6">
        <f t="shared" si="27"/>
        <v>-7.0588235294110767E-4</v>
      </c>
    </row>
    <row r="55" spans="1:26" s="28" customFormat="1" outlineLevel="1" collapsed="1" x14ac:dyDescent="0.35">
      <c r="A55" s="27"/>
      <c r="B55" s="14" t="str">
        <f>CONCATENATE("     ","Discounts and Markdowns                           ")</f>
        <v xml:space="preserve">     Discounts and Markdowns                           </v>
      </c>
      <c r="C55" s="14"/>
      <c r="D55" s="1">
        <f>SUM(OSRRefD22_4x_0)</f>
        <v>0</v>
      </c>
      <c r="E55" s="1"/>
      <c r="F55" s="5">
        <f t="shared" si="20"/>
        <v>0</v>
      </c>
      <c r="G55" s="1"/>
      <c r="H55" s="1">
        <f>SUM(OSRRefH22_4x_0)</f>
        <v>50</v>
      </c>
      <c r="I55" s="1"/>
      <c r="J55" s="5">
        <f t="shared" si="21"/>
        <v>5.3191489361702129E-4</v>
      </c>
      <c r="K55" s="1"/>
      <c r="L55" s="1">
        <f t="shared" si="22"/>
        <v>-50</v>
      </c>
      <c r="M55" s="1"/>
      <c r="N55" s="5">
        <f t="shared" si="23"/>
        <v>-1</v>
      </c>
      <c r="O55" s="14"/>
      <c r="P55" s="1">
        <f>SUM(OSRRefP22_4x_0)</f>
        <v>0</v>
      </c>
      <c r="Q55" s="1"/>
      <c r="R55" s="5">
        <f t="shared" si="24"/>
        <v>0</v>
      </c>
      <c r="S55" s="1"/>
      <c r="T55" s="1">
        <f>SUM(OSRRefT22_4x_0)</f>
        <v>350</v>
      </c>
      <c r="U55" s="1"/>
      <c r="V55" s="5">
        <f t="shared" si="25"/>
        <v>1.5404048183862719E-3</v>
      </c>
      <c r="W55" s="1"/>
      <c r="X55" s="1">
        <f t="shared" si="26"/>
        <v>-350</v>
      </c>
      <c r="Y55" s="1"/>
      <c r="Z55" s="5">
        <f t="shared" si="27"/>
        <v>-1</v>
      </c>
    </row>
    <row r="56" spans="1:26" s="24" customFormat="1" hidden="1" outlineLevel="2" x14ac:dyDescent="0.35">
      <c r="A56" s="29"/>
      <c r="B56" s="11" t="str">
        <f>CONCATENATE("          ", "6382", " - ", "DISCOUNTS/MARK DOWNS")</f>
        <v xml:space="preserve">          6382 - DISCOUNTS/MARK DOWNS</v>
      </c>
      <c r="C56" s="11"/>
      <c r="D56" s="7"/>
      <c r="E56" s="2"/>
      <c r="F56" s="6">
        <f t="shared" si="20"/>
        <v>0</v>
      </c>
      <c r="G56" s="2"/>
      <c r="H56" s="7">
        <v>50</v>
      </c>
      <c r="I56" s="2"/>
      <c r="J56" s="6">
        <f t="shared" si="21"/>
        <v>5.3191489361702129E-4</v>
      </c>
      <c r="K56" s="2"/>
      <c r="L56" s="7">
        <f t="shared" si="22"/>
        <v>-50</v>
      </c>
      <c r="M56" s="2"/>
      <c r="N56" s="6">
        <f t="shared" si="23"/>
        <v>-1</v>
      </c>
      <c r="O56" s="11"/>
      <c r="P56" s="7"/>
      <c r="Q56" s="2"/>
      <c r="R56" s="6">
        <f t="shared" si="24"/>
        <v>0</v>
      </c>
      <c r="S56" s="2"/>
      <c r="T56" s="7">
        <v>350</v>
      </c>
      <c r="U56" s="2"/>
      <c r="V56" s="6">
        <f t="shared" si="25"/>
        <v>1.5404048183862719E-3</v>
      </c>
      <c r="W56" s="2"/>
      <c r="X56" s="7">
        <f t="shared" si="26"/>
        <v>-350</v>
      </c>
      <c r="Y56" s="2"/>
      <c r="Z56" s="6">
        <f t="shared" si="27"/>
        <v>-1</v>
      </c>
    </row>
    <row r="57" spans="1:26" s="28" customFormat="1" outlineLevel="1" collapsed="1" x14ac:dyDescent="0.35">
      <c r="A57" s="27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SUM(OSRRefD22_5x_0)</f>
        <v>1205.6400000000001</v>
      </c>
      <c r="E57" s="1"/>
      <c r="F57" s="5">
        <f t="shared" si="20"/>
        <v>4.0763443950433631E-2</v>
      </c>
      <c r="G57" s="1"/>
      <c r="H57" s="1">
        <f>SUM(OSRRefH22_5x_0)</f>
        <v>1206</v>
      </c>
      <c r="I57" s="1"/>
      <c r="J57" s="5">
        <f t="shared" si="21"/>
        <v>1.2829787234042553E-2</v>
      </c>
      <c r="K57" s="1"/>
      <c r="L57" s="1">
        <f t="shared" si="22"/>
        <v>-0.35999999999989996</v>
      </c>
      <c r="M57" s="1"/>
      <c r="N57" s="5">
        <f t="shared" si="23"/>
        <v>-2.9850746268648423E-4</v>
      </c>
      <c r="O57" s="14"/>
      <c r="P57" s="1">
        <f>SUM(OSRRefP22_5x_0)</f>
        <v>8439.48</v>
      </c>
      <c r="Q57" s="1"/>
      <c r="R57" s="5">
        <f t="shared" si="24"/>
        <v>8.0833115115172258E-2</v>
      </c>
      <c r="S57" s="1"/>
      <c r="T57" s="1">
        <f>SUM(OSRRefT22_5x_0)</f>
        <v>8442</v>
      </c>
      <c r="U57" s="1"/>
      <c r="V57" s="5">
        <f t="shared" si="25"/>
        <v>3.7154564219476875E-2</v>
      </c>
      <c r="W57" s="1"/>
      <c r="X57" s="1">
        <f t="shared" si="26"/>
        <v>-2.5200000000004366</v>
      </c>
      <c r="Y57" s="1"/>
      <c r="Z57" s="5">
        <f t="shared" si="27"/>
        <v>-2.9850746268661888E-4</v>
      </c>
    </row>
    <row r="58" spans="1:26" s="24" customFormat="1" hidden="1" outlineLevel="2" x14ac:dyDescent="0.35">
      <c r="A58" s="29"/>
      <c r="B58" s="11" t="str">
        <f>CONCATENATE("          ", "6351", " - ", "EQUIPMENT RENTAL")</f>
        <v xml:space="preserve">          6351 - EQUIPMENT RENTAL</v>
      </c>
      <c r="C58" s="11"/>
      <c r="D58" s="7">
        <v>1205.6400000000001</v>
      </c>
      <c r="E58" s="2"/>
      <c r="F58" s="6">
        <f t="shared" si="20"/>
        <v>4.0763443950433631E-2</v>
      </c>
      <c r="G58" s="2"/>
      <c r="H58" s="7">
        <v>1206</v>
      </c>
      <c r="I58" s="2"/>
      <c r="J58" s="6">
        <f t="shared" si="21"/>
        <v>1.2829787234042553E-2</v>
      </c>
      <c r="K58" s="2"/>
      <c r="L58" s="7">
        <f t="shared" si="22"/>
        <v>-0.35999999999989996</v>
      </c>
      <c r="M58" s="2"/>
      <c r="N58" s="6">
        <f t="shared" si="23"/>
        <v>-2.9850746268648423E-4</v>
      </c>
      <c r="O58" s="11"/>
      <c r="P58" s="7">
        <v>8439.48</v>
      </c>
      <c r="Q58" s="2"/>
      <c r="R58" s="6">
        <f t="shared" si="24"/>
        <v>8.0833115115172258E-2</v>
      </c>
      <c r="S58" s="2"/>
      <c r="T58" s="7">
        <v>8442</v>
      </c>
      <c r="U58" s="2"/>
      <c r="V58" s="6">
        <f t="shared" si="25"/>
        <v>3.7154564219476875E-2</v>
      </c>
      <c r="W58" s="2"/>
      <c r="X58" s="7">
        <f t="shared" si="26"/>
        <v>-2.5200000000004366</v>
      </c>
      <c r="Y58" s="2"/>
      <c r="Z58" s="6">
        <f t="shared" si="27"/>
        <v>-2.9850746268661888E-4</v>
      </c>
    </row>
    <row r="59" spans="1:26" s="28" customFormat="1" outlineLevel="1" collapsed="1" x14ac:dyDescent="0.35">
      <c r="A59" s="27"/>
      <c r="B59" s="14" t="str">
        <f>CONCATENATE("     ","Freight out/Postage                               ")</f>
        <v xml:space="preserve">     Freight out/Postage                               </v>
      </c>
      <c r="C59" s="14"/>
      <c r="D59" s="1">
        <f>SUM(OSRRefD22_6x_0)</f>
        <v>-23491.679999999997</v>
      </c>
      <c r="E59" s="1"/>
      <c r="F59" s="5">
        <f t="shared" si="20"/>
        <v>-0.79426842256521224</v>
      </c>
      <c r="G59" s="1"/>
      <c r="H59" s="1">
        <f>SUM(OSRRefH22_6x_0)</f>
        <v>-13800</v>
      </c>
      <c r="I59" s="1"/>
      <c r="J59" s="5">
        <f t="shared" si="21"/>
        <v>-0.14680851063829786</v>
      </c>
      <c r="K59" s="1"/>
      <c r="L59" s="1">
        <f t="shared" si="22"/>
        <v>-9691.6799999999967</v>
      </c>
      <c r="M59" s="1"/>
      <c r="N59" s="5">
        <f t="shared" si="23"/>
        <v>0.70229565217391277</v>
      </c>
      <c r="O59" s="14"/>
      <c r="P59" s="1">
        <f>SUM(OSRRefP22_6x_0)</f>
        <v>-48225.559999999969</v>
      </c>
      <c r="Q59" s="1"/>
      <c r="R59" s="5">
        <f t="shared" si="24"/>
        <v>-0.46190313182490439</v>
      </c>
      <c r="S59" s="1"/>
      <c r="T59" s="1">
        <f>SUM(OSRRefT22_6x_0)</f>
        <v>25510</v>
      </c>
      <c r="U59" s="1"/>
      <c r="V59" s="5">
        <f t="shared" si="25"/>
        <v>0.11227350547723942</v>
      </c>
      <c r="W59" s="1"/>
      <c r="X59" s="1">
        <f t="shared" si="26"/>
        <v>-73735.559999999969</v>
      </c>
      <c r="Y59" s="1"/>
      <c r="Z59" s="5">
        <f t="shared" si="27"/>
        <v>-2.8904570756566041</v>
      </c>
    </row>
    <row r="60" spans="1:26" s="24" customFormat="1" hidden="1" outlineLevel="2" x14ac:dyDescent="0.35">
      <c r="A60" s="29"/>
      <c r="B60" s="11" t="str">
        <f>CONCATENATE("          ", "6305", " - ", "FREIGHT OUT")</f>
        <v xml:space="preserve">          6305 - FREIGHT OUT</v>
      </c>
      <c r="C60" s="11"/>
      <c r="D60" s="7">
        <v>18016.990000000002</v>
      </c>
      <c r="E60" s="2"/>
      <c r="F60" s="6">
        <f t="shared" si="20"/>
        <v>0.60916572278667203</v>
      </c>
      <c r="G60" s="2"/>
      <c r="H60" s="7">
        <v>2200</v>
      </c>
      <c r="I60" s="2"/>
      <c r="J60" s="6">
        <f t="shared" si="21"/>
        <v>2.3404255319148935E-2</v>
      </c>
      <c r="K60" s="2"/>
      <c r="L60" s="7">
        <f t="shared" si="22"/>
        <v>15816.990000000002</v>
      </c>
      <c r="M60" s="2"/>
      <c r="N60" s="6">
        <f t="shared" si="23"/>
        <v>7.1895409090909101</v>
      </c>
      <c r="O60" s="11"/>
      <c r="P60" s="7">
        <v>126079.23000000001</v>
      </c>
      <c r="Q60" s="2"/>
      <c r="R60" s="6">
        <f t="shared" si="24"/>
        <v>1.2075835137025361</v>
      </c>
      <c r="S60" s="2"/>
      <c r="T60" s="7">
        <v>22260</v>
      </c>
      <c r="U60" s="2"/>
      <c r="V60" s="6">
        <f t="shared" si="25"/>
        <v>9.7969746449366887E-2</v>
      </c>
      <c r="W60" s="2"/>
      <c r="X60" s="7">
        <f t="shared" si="26"/>
        <v>103819.23000000001</v>
      </c>
      <c r="Y60" s="2"/>
      <c r="Z60" s="6">
        <f t="shared" si="27"/>
        <v>4.6639366576819414</v>
      </c>
    </row>
    <row r="61" spans="1:26" s="24" customFormat="1" hidden="1" outlineLevel="2" x14ac:dyDescent="0.35">
      <c r="A61" s="29"/>
      <c r="B61" s="11" t="str">
        <f>CONCATENATE("          ", "6307", " - ", "POSTAGE")</f>
        <v xml:space="preserve">          6307 - POSTAGE</v>
      </c>
      <c r="C61" s="11"/>
      <c r="D61" s="7">
        <v>-41508.67</v>
      </c>
      <c r="E61" s="2"/>
      <c r="F61" s="6">
        <f t="shared" si="20"/>
        <v>-1.4034341453518842</v>
      </c>
      <c r="G61" s="2"/>
      <c r="H61" s="7">
        <v>-16000</v>
      </c>
      <c r="I61" s="2"/>
      <c r="J61" s="6">
        <f t="shared" si="21"/>
        <v>-0.1702127659574468</v>
      </c>
      <c r="K61" s="2"/>
      <c r="L61" s="7">
        <f t="shared" si="22"/>
        <v>-25508.67</v>
      </c>
      <c r="M61" s="2"/>
      <c r="N61" s="6">
        <f t="shared" si="23"/>
        <v>1.5942918749999999</v>
      </c>
      <c r="O61" s="11"/>
      <c r="P61" s="7">
        <v>-174304.78999999998</v>
      </c>
      <c r="Q61" s="2"/>
      <c r="R61" s="6">
        <f t="shared" si="24"/>
        <v>-1.6694866455274406</v>
      </c>
      <c r="S61" s="2"/>
      <c r="T61" s="7">
        <v>3250</v>
      </c>
      <c r="U61" s="2"/>
      <c r="V61" s="6">
        <f t="shared" si="25"/>
        <v>1.4303759027872525E-2</v>
      </c>
      <c r="W61" s="2"/>
      <c r="X61" s="7">
        <f t="shared" si="26"/>
        <v>-177554.78999999998</v>
      </c>
      <c r="Y61" s="2"/>
      <c r="Z61" s="6">
        <f t="shared" si="27"/>
        <v>-54.632243076923068</v>
      </c>
    </row>
    <row r="62" spans="1:26" s="28" customFormat="1" outlineLevel="1" collapsed="1" x14ac:dyDescent="0.35">
      <c r="A62" s="27"/>
      <c r="B62" s="14" t="str">
        <f>CONCATENATE("     ","Repair and Maintenance                            ")</f>
        <v xml:space="preserve">     Repair and Maintenance                            </v>
      </c>
      <c r="C62" s="14"/>
      <c r="D62" s="1">
        <f>SUM(OSRRefD22_7x_0)</f>
        <v>1053.08</v>
      </c>
      <c r="E62" s="1"/>
      <c r="F62" s="5">
        <f t="shared" ref="F62:F64" si="28">IF(D$12=0,0,D62/D$12)</f>
        <v>3.5605294744138087E-2</v>
      </c>
      <c r="G62" s="1"/>
      <c r="H62" s="1">
        <f>SUM(OSRRefH22_7x_0)</f>
        <v>8700</v>
      </c>
      <c r="I62" s="1"/>
      <c r="J62" s="5">
        <f t="shared" ref="J62:J64" si="29">IF(H$12=0,0,H62/H$12)</f>
        <v>9.2553191489361697E-2</v>
      </c>
      <c r="K62" s="1"/>
      <c r="L62" s="1">
        <f t="shared" ref="L62:L64" si="30">+D62-H62</f>
        <v>-7646.92</v>
      </c>
      <c r="M62" s="1"/>
      <c r="N62" s="5">
        <f t="shared" ref="N62:N64" si="31">IF(H62=0,0,L62/H62)</f>
        <v>-0.87895632183908046</v>
      </c>
      <c r="O62" s="14"/>
      <c r="P62" s="1">
        <f>SUM(OSRRefP22_7x_0)</f>
        <v>30432.589999999997</v>
      </c>
      <c r="Q62" s="1"/>
      <c r="R62" s="5">
        <f t="shared" ref="R62:R64" si="32">IF(P$12=0,0,P62/P$12)</f>
        <v>0.29148253810931951</v>
      </c>
      <c r="S62" s="1"/>
      <c r="T62" s="1">
        <f>SUM(OSRRefT22_7x_0)</f>
        <v>35400</v>
      </c>
      <c r="U62" s="1"/>
      <c r="V62" s="5">
        <f t="shared" ref="V62:V64" si="33">IF(T$12=0,0,T62/T$12)</f>
        <v>0.1558009444882115</v>
      </c>
      <c r="W62" s="1"/>
      <c r="X62" s="1">
        <f t="shared" ref="X62:X64" si="34">+P62-T62</f>
        <v>-4967.4100000000035</v>
      </c>
      <c r="Y62" s="1"/>
      <c r="Z62" s="5">
        <f t="shared" ref="Z62:Z64" si="35">IF(T62=0,0,X62/T62)</f>
        <v>-0.14032231638418088</v>
      </c>
    </row>
    <row r="63" spans="1:26" s="24" customFormat="1" hidden="1" outlineLevel="2" x14ac:dyDescent="0.35">
      <c r="A63" s="29"/>
      <c r="B63" s="11" t="str">
        <f>CONCATENATE("          ", "6371", " - ", "COMPUTER SOFTWARE MAINTENANCE")</f>
        <v xml:space="preserve">          6371 - COMPUTER SOFTWARE MAINTENANCE</v>
      </c>
      <c r="C63" s="11"/>
      <c r="D63" s="7"/>
      <c r="E63" s="2"/>
      <c r="F63" s="6">
        <f t="shared" si="28"/>
        <v>0</v>
      </c>
      <c r="G63" s="2"/>
      <c r="H63" s="7"/>
      <c r="I63" s="2"/>
      <c r="J63" s="6">
        <f t="shared" si="29"/>
        <v>0</v>
      </c>
      <c r="K63" s="2"/>
      <c r="L63" s="7">
        <f t="shared" si="30"/>
        <v>0</v>
      </c>
      <c r="M63" s="2"/>
      <c r="N63" s="6">
        <f t="shared" si="31"/>
        <v>0</v>
      </c>
      <c r="O63" s="11"/>
      <c r="P63" s="7">
        <v>7.69</v>
      </c>
      <c r="Q63" s="2"/>
      <c r="R63" s="6">
        <f t="shared" si="32"/>
        <v>7.365461559665698E-5</v>
      </c>
      <c r="S63" s="2"/>
      <c r="T63" s="7"/>
      <c r="U63" s="2"/>
      <c r="V63" s="6">
        <f t="shared" si="33"/>
        <v>0</v>
      </c>
      <c r="W63" s="2"/>
      <c r="X63" s="7">
        <f t="shared" si="34"/>
        <v>7.69</v>
      </c>
      <c r="Y63" s="2"/>
      <c r="Z63" s="6">
        <f t="shared" si="35"/>
        <v>0</v>
      </c>
    </row>
    <row r="64" spans="1:26" s="24" customFormat="1" hidden="1" outlineLevel="2" x14ac:dyDescent="0.35">
      <c r="A64" s="29"/>
      <c r="B64" s="11" t="str">
        <f>CONCATENATE("          ", "6373", " - ", "MAINTENANCE CONTRACTS")</f>
        <v xml:space="preserve">          6373 - MAINTENANCE CONTRACTS</v>
      </c>
      <c r="C64" s="11"/>
      <c r="D64" s="7">
        <v>1053.08</v>
      </c>
      <c r="E64" s="2"/>
      <c r="F64" s="6">
        <f t="shared" si="28"/>
        <v>3.5605294744138087E-2</v>
      </c>
      <c r="G64" s="2"/>
      <c r="H64" s="7">
        <v>8700</v>
      </c>
      <c r="I64" s="2"/>
      <c r="J64" s="6">
        <f t="shared" si="29"/>
        <v>9.2553191489361697E-2</v>
      </c>
      <c r="K64" s="2"/>
      <c r="L64" s="7">
        <f t="shared" si="30"/>
        <v>-7646.92</v>
      </c>
      <c r="M64" s="2"/>
      <c r="N64" s="6">
        <f t="shared" si="31"/>
        <v>-0.87895632183908046</v>
      </c>
      <c r="O64" s="11"/>
      <c r="P64" s="7">
        <v>30424.899999999998</v>
      </c>
      <c r="Q64" s="2"/>
      <c r="R64" s="6">
        <f t="shared" si="32"/>
        <v>0.29140888349372285</v>
      </c>
      <c r="S64" s="2"/>
      <c r="T64" s="7">
        <v>35400</v>
      </c>
      <c r="U64" s="2"/>
      <c r="V64" s="6">
        <f t="shared" si="33"/>
        <v>0.1558009444882115</v>
      </c>
      <c r="W64" s="2"/>
      <c r="X64" s="7">
        <f t="shared" si="34"/>
        <v>-4975.1000000000022</v>
      </c>
      <c r="Y64" s="2"/>
      <c r="Z64" s="6">
        <f t="shared" si="35"/>
        <v>-0.14053954802259894</v>
      </c>
    </row>
    <row r="65" spans="1:26" s="28" customFormat="1" outlineLevel="1" collapsed="1" x14ac:dyDescent="0.35">
      <c r="A65" s="27"/>
      <c r="B65" s="14" t="str">
        <f>CONCATENATE("     ","Royalty &amp; Commissions                             ")</f>
        <v xml:space="preserve">     Royalty &amp; Commissions                             </v>
      </c>
      <c r="C65" s="14"/>
      <c r="D65" s="1">
        <f>SUM(OSRRefD22_8x_0)</f>
        <v>3.81</v>
      </c>
      <c r="E65" s="1"/>
      <c r="F65" s="5">
        <f t="shared" ref="F65:F72" si="36">IF(D$12=0,0,D65/D$12)</f>
        <v>1.2881848765066862E-4</v>
      </c>
      <c r="G65" s="1"/>
      <c r="H65" s="1">
        <f>SUM(OSRRefH22_8x_0)</f>
        <v>5700</v>
      </c>
      <c r="I65" s="1"/>
      <c r="J65" s="5">
        <f t="shared" ref="J65:J72" si="37">IF(H$12=0,0,H65/H$12)</f>
        <v>6.0638297872340423E-2</v>
      </c>
      <c r="K65" s="1"/>
      <c r="L65" s="1">
        <f t="shared" ref="L65:L72" si="38">+D65-H65</f>
        <v>-5696.19</v>
      </c>
      <c r="M65" s="1"/>
      <c r="N65" s="5">
        <f t="shared" ref="N65:N72" si="39">IF(H65=0,0,L65/H65)</f>
        <v>-0.99933157894736835</v>
      </c>
      <c r="O65" s="14"/>
      <c r="P65" s="1">
        <f>SUM(OSRRefP22_8x_0)</f>
        <v>10168.07</v>
      </c>
      <c r="Q65" s="1"/>
      <c r="R65" s="5">
        <f t="shared" ref="R65:R72" si="40">IF(P$12=0,0,P65/P$12)</f>
        <v>9.7389504188543558E-2</v>
      </c>
      <c r="S65" s="1"/>
      <c r="T65" s="1">
        <f>SUM(OSRRefT22_8x_0)</f>
        <v>10050</v>
      </c>
      <c r="U65" s="1"/>
      <c r="V65" s="5">
        <f t="shared" ref="V65:V72" si="41">IF(T$12=0,0,T65/T$12)</f>
        <v>4.423162407080581E-2</v>
      </c>
      <c r="W65" s="1"/>
      <c r="X65" s="1">
        <f t="shared" ref="X65:X72" si="42">+P65-T65</f>
        <v>118.06999999999971</v>
      </c>
      <c r="Y65" s="1"/>
      <c r="Z65" s="5">
        <f t="shared" ref="Z65:Z72" si="43">IF(T65=0,0,X65/T65)</f>
        <v>1.1748258706467632E-2</v>
      </c>
    </row>
    <row r="66" spans="1:26" s="24" customFormat="1" hidden="1" outlineLevel="2" x14ac:dyDescent="0.35">
      <c r="A66" s="29"/>
      <c r="B66" s="11" t="str">
        <f>CONCATENATE("          ", "6259", " - ", "ROYALTY &amp; COMMISSIONS")</f>
        <v xml:space="preserve">          6259 - ROYALTY &amp; COMMISSIONS</v>
      </c>
      <c r="C66" s="11"/>
      <c r="D66" s="7">
        <v>3.81</v>
      </c>
      <c r="E66" s="2"/>
      <c r="F66" s="6">
        <f t="shared" si="36"/>
        <v>1.2881848765066862E-4</v>
      </c>
      <c r="G66" s="2"/>
      <c r="H66" s="7">
        <v>5700</v>
      </c>
      <c r="I66" s="2"/>
      <c r="J66" s="6">
        <f t="shared" si="37"/>
        <v>6.0638297872340423E-2</v>
      </c>
      <c r="K66" s="2"/>
      <c r="L66" s="7">
        <f t="shared" si="38"/>
        <v>-5696.19</v>
      </c>
      <c r="M66" s="2"/>
      <c r="N66" s="6">
        <f t="shared" si="39"/>
        <v>-0.99933157894736835</v>
      </c>
      <c r="O66" s="11"/>
      <c r="P66" s="7">
        <v>10168.07</v>
      </c>
      <c r="Q66" s="2"/>
      <c r="R66" s="6">
        <f t="shared" si="40"/>
        <v>9.7389504188543558E-2</v>
      </c>
      <c r="S66" s="2"/>
      <c r="T66" s="7">
        <v>10050</v>
      </c>
      <c r="U66" s="2"/>
      <c r="V66" s="6">
        <f t="shared" si="41"/>
        <v>4.423162407080581E-2</v>
      </c>
      <c r="W66" s="2"/>
      <c r="X66" s="7">
        <f t="shared" si="42"/>
        <v>118.06999999999971</v>
      </c>
      <c r="Y66" s="2"/>
      <c r="Z66" s="6">
        <f t="shared" si="43"/>
        <v>1.1748258706467632E-2</v>
      </c>
    </row>
    <row r="67" spans="1:26" s="28" customFormat="1" outlineLevel="1" collapsed="1" x14ac:dyDescent="0.35">
      <c r="A67" s="27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SUM(OSRRefD22_9x_0)</f>
        <v>6267.77</v>
      </c>
      <c r="E67" s="1"/>
      <c r="F67" s="5">
        <f t="shared" si="36"/>
        <v>0.21191723158588749</v>
      </c>
      <c r="G67" s="1"/>
      <c r="H67" s="1">
        <f>SUM(OSRRefH22_9x_0)</f>
        <v>2600</v>
      </c>
      <c r="I67" s="1"/>
      <c r="J67" s="5">
        <f t="shared" si="37"/>
        <v>2.7659574468085105E-2</v>
      </c>
      <c r="K67" s="1"/>
      <c r="L67" s="1">
        <f t="shared" si="38"/>
        <v>3667.7700000000004</v>
      </c>
      <c r="M67" s="1"/>
      <c r="N67" s="5">
        <f t="shared" si="39"/>
        <v>1.4106807692307695</v>
      </c>
      <c r="O67" s="14"/>
      <c r="P67" s="1">
        <f>SUM(OSRRefP22_9x_0)</f>
        <v>32085</v>
      </c>
      <c r="Q67" s="1"/>
      <c r="R67" s="5">
        <f t="shared" si="40"/>
        <v>0.30730927716758638</v>
      </c>
      <c r="S67" s="1"/>
      <c r="T67" s="1">
        <f>SUM(OSRRefT22_9x_0)</f>
        <v>12850</v>
      </c>
      <c r="U67" s="1"/>
      <c r="V67" s="5">
        <f t="shared" si="41"/>
        <v>5.6554862617895982E-2</v>
      </c>
      <c r="W67" s="1"/>
      <c r="X67" s="1">
        <f t="shared" si="42"/>
        <v>19235</v>
      </c>
      <c r="Y67" s="1"/>
      <c r="Z67" s="5">
        <f t="shared" si="43"/>
        <v>1.4968871595330739</v>
      </c>
    </row>
    <row r="68" spans="1:26" s="24" customFormat="1" hidden="1" outlineLevel="2" x14ac:dyDescent="0.35">
      <c r="A68" s="29"/>
      <c r="B68" s="11" t="str">
        <f>CONCATENATE("          ", "6235", " - ", "COVID-19 EXPENSES")</f>
        <v xml:space="preserve">          6235 - COVID-19 EXPENSES</v>
      </c>
      <c r="C68" s="11"/>
      <c r="D68" s="7"/>
      <c r="E68" s="2"/>
      <c r="F68" s="6">
        <f t="shared" si="36"/>
        <v>0</v>
      </c>
      <c r="G68" s="2"/>
      <c r="H68" s="7"/>
      <c r="I68" s="2"/>
      <c r="J68" s="6">
        <f t="shared" si="37"/>
        <v>0</v>
      </c>
      <c r="K68" s="2"/>
      <c r="L68" s="7">
        <f t="shared" si="38"/>
        <v>0</v>
      </c>
      <c r="M68" s="2"/>
      <c r="N68" s="6">
        <f t="shared" si="39"/>
        <v>0</v>
      </c>
      <c r="O68" s="11"/>
      <c r="P68" s="7">
        <v>310.91000000000003</v>
      </c>
      <c r="Q68" s="2"/>
      <c r="R68" s="6">
        <f t="shared" si="40"/>
        <v>2.9778877158851266E-3</v>
      </c>
      <c r="S68" s="2"/>
      <c r="T68" s="7"/>
      <c r="U68" s="2"/>
      <c r="V68" s="6">
        <f t="shared" si="41"/>
        <v>0</v>
      </c>
      <c r="W68" s="2"/>
      <c r="X68" s="7">
        <f t="shared" si="42"/>
        <v>310.91000000000003</v>
      </c>
      <c r="Y68" s="2"/>
      <c r="Z68" s="6">
        <f t="shared" si="43"/>
        <v>0</v>
      </c>
    </row>
    <row r="69" spans="1:26" s="24" customFormat="1" hidden="1" outlineLevel="2" x14ac:dyDescent="0.35">
      <c r="A69" s="29"/>
      <c r="B69" s="11" t="str">
        <f>CONCATENATE("          ", "6241", " - ", "OFFICE EXPENSE")</f>
        <v xml:space="preserve">          6241 - OFFICE EXPENSE</v>
      </c>
      <c r="C69" s="11"/>
      <c r="D69" s="7"/>
      <c r="E69" s="2"/>
      <c r="F69" s="6">
        <f t="shared" si="36"/>
        <v>0</v>
      </c>
      <c r="G69" s="2"/>
      <c r="H69" s="7"/>
      <c r="I69" s="2"/>
      <c r="J69" s="6">
        <f t="shared" si="37"/>
        <v>0</v>
      </c>
      <c r="K69" s="2"/>
      <c r="L69" s="7">
        <f t="shared" si="38"/>
        <v>0</v>
      </c>
      <c r="M69" s="2"/>
      <c r="N69" s="6">
        <f t="shared" si="39"/>
        <v>0</v>
      </c>
      <c r="O69" s="11"/>
      <c r="P69" s="7">
        <v>4596.8599999999997</v>
      </c>
      <c r="Q69" s="2"/>
      <c r="R69" s="6">
        <f t="shared" si="40"/>
        <v>4.4028602893582389E-2</v>
      </c>
      <c r="S69" s="2"/>
      <c r="T69" s="7"/>
      <c r="U69" s="2"/>
      <c r="V69" s="6">
        <f t="shared" si="41"/>
        <v>0</v>
      </c>
      <c r="W69" s="2"/>
      <c r="X69" s="7">
        <f t="shared" si="42"/>
        <v>4596.8599999999997</v>
      </c>
      <c r="Y69" s="2"/>
      <c r="Z69" s="6">
        <f t="shared" si="43"/>
        <v>0</v>
      </c>
    </row>
    <row r="70" spans="1:26" s="24" customFormat="1" hidden="1" outlineLevel="2" x14ac:dyDescent="0.35">
      <c r="A70" s="29"/>
      <c r="B70" s="11" t="str">
        <f>CONCATENATE("          ", "6243", " - ", "PAPER SUPPLIES")</f>
        <v xml:space="preserve">          6243 - PAPER SUPPLIES</v>
      </c>
      <c r="C70" s="11"/>
      <c r="D70" s="7">
        <v>1080</v>
      </c>
      <c r="E70" s="2"/>
      <c r="F70" s="6">
        <f t="shared" si="36"/>
        <v>3.6515476814362756E-2</v>
      </c>
      <c r="G70" s="2"/>
      <c r="H70" s="7">
        <v>2300</v>
      </c>
      <c r="I70" s="2"/>
      <c r="J70" s="6">
        <f t="shared" si="37"/>
        <v>2.4468085106382979E-2</v>
      </c>
      <c r="K70" s="2"/>
      <c r="L70" s="7">
        <f t="shared" si="38"/>
        <v>-1220</v>
      </c>
      <c r="M70" s="2"/>
      <c r="N70" s="6">
        <f t="shared" si="39"/>
        <v>-0.5304347826086957</v>
      </c>
      <c r="O70" s="11"/>
      <c r="P70" s="7">
        <v>6173.4</v>
      </c>
      <c r="Q70" s="2"/>
      <c r="R70" s="6">
        <f t="shared" si="40"/>
        <v>5.9128661108504836E-2</v>
      </c>
      <c r="S70" s="2"/>
      <c r="T70" s="7">
        <v>10700</v>
      </c>
      <c r="U70" s="2"/>
      <c r="V70" s="6">
        <f t="shared" si="41"/>
        <v>4.7092375876380314E-2</v>
      </c>
      <c r="W70" s="2"/>
      <c r="X70" s="7">
        <f t="shared" si="42"/>
        <v>-4526.6000000000004</v>
      </c>
      <c r="Y70" s="2"/>
      <c r="Z70" s="6">
        <f t="shared" si="43"/>
        <v>-0.42304672897196266</v>
      </c>
    </row>
    <row r="71" spans="1:26" s="24" customFormat="1" hidden="1" outlineLevel="2" x14ac:dyDescent="0.35">
      <c r="A71" s="29"/>
      <c r="B71" s="11" t="str">
        <f>CONCATENATE("          ", "6245", " - ", "PRINTING")</f>
        <v xml:space="preserve">          6245 - PRINTING</v>
      </c>
      <c r="C71" s="11"/>
      <c r="D71" s="7"/>
      <c r="E71" s="2"/>
      <c r="F71" s="6">
        <f t="shared" si="36"/>
        <v>0</v>
      </c>
      <c r="G71" s="2"/>
      <c r="H71" s="7">
        <v>200</v>
      </c>
      <c r="I71" s="2"/>
      <c r="J71" s="6">
        <f t="shared" si="37"/>
        <v>2.1276595744680851E-3</v>
      </c>
      <c r="K71" s="2"/>
      <c r="L71" s="7">
        <f t="shared" si="38"/>
        <v>-200</v>
      </c>
      <c r="M71" s="2"/>
      <c r="N71" s="6">
        <f t="shared" si="39"/>
        <v>-1</v>
      </c>
      <c r="O71" s="11"/>
      <c r="P71" s="7">
        <v>439.61</v>
      </c>
      <c r="Q71" s="2"/>
      <c r="R71" s="6">
        <f t="shared" si="40"/>
        <v>4.2105728949865251E-3</v>
      </c>
      <c r="S71" s="2"/>
      <c r="T71" s="7">
        <v>1500</v>
      </c>
      <c r="U71" s="2"/>
      <c r="V71" s="6">
        <f t="shared" si="41"/>
        <v>6.6017349359411654E-3</v>
      </c>
      <c r="W71" s="2"/>
      <c r="X71" s="7">
        <f t="shared" si="42"/>
        <v>-1060.3899999999999</v>
      </c>
      <c r="Y71" s="2"/>
      <c r="Z71" s="6">
        <f t="shared" si="43"/>
        <v>-0.70692666666666659</v>
      </c>
    </row>
    <row r="72" spans="1:26" s="24" customFormat="1" hidden="1" outlineLevel="2" x14ac:dyDescent="0.35">
      <c r="A72" s="29"/>
      <c r="B72" s="11" t="str">
        <f>CONCATENATE("          ", "6247", " - ", "STORE SUPPLIES")</f>
        <v xml:space="preserve">          6247 - STORE SUPPLIES</v>
      </c>
      <c r="C72" s="11"/>
      <c r="D72" s="7">
        <v>5187.7700000000004</v>
      </c>
      <c r="E72" s="2"/>
      <c r="F72" s="6">
        <f t="shared" si="36"/>
        <v>0.17540175477152473</v>
      </c>
      <c r="G72" s="2"/>
      <c r="H72" s="7">
        <v>100</v>
      </c>
      <c r="I72" s="2"/>
      <c r="J72" s="6">
        <f t="shared" si="37"/>
        <v>1.0638297872340426E-3</v>
      </c>
      <c r="K72" s="2"/>
      <c r="L72" s="7">
        <f t="shared" si="38"/>
        <v>5087.7700000000004</v>
      </c>
      <c r="M72" s="2"/>
      <c r="N72" s="6">
        <f t="shared" si="39"/>
        <v>50.877700000000004</v>
      </c>
      <c r="O72" s="11"/>
      <c r="P72" s="7">
        <v>20564.22</v>
      </c>
      <c r="Q72" s="2"/>
      <c r="R72" s="6">
        <f t="shared" si="40"/>
        <v>0.1969635525546275</v>
      </c>
      <c r="S72" s="2"/>
      <c r="T72" s="7">
        <v>650</v>
      </c>
      <c r="U72" s="2"/>
      <c r="V72" s="6">
        <f t="shared" si="41"/>
        <v>2.860751805574505E-3</v>
      </c>
      <c r="W72" s="2"/>
      <c r="X72" s="7">
        <f t="shared" si="42"/>
        <v>19914.22</v>
      </c>
      <c r="Y72" s="2"/>
      <c r="Z72" s="6">
        <f t="shared" si="43"/>
        <v>30.637261538461541</v>
      </c>
    </row>
    <row r="73" spans="1:26" s="28" customFormat="1" outlineLevel="1" collapsed="1" x14ac:dyDescent="0.35">
      <c r="A73" s="27"/>
      <c r="B73" s="14" t="str">
        <f>CONCATENATE("     ","Telephone/Data Lines                              ")</f>
        <v xml:space="preserve">     Telephone/Data Lines                              </v>
      </c>
      <c r="C73" s="14"/>
      <c r="D73" s="1">
        <f>SUM(OSRRefD22_10x_0)</f>
        <v>82.2</v>
      </c>
      <c r="E73" s="1"/>
      <c r="F73" s="5">
        <f t="shared" ref="F73:F76" si="44">IF(D$12=0,0,D73/D$12)</f>
        <v>2.7792335130931655E-3</v>
      </c>
      <c r="G73" s="1"/>
      <c r="H73" s="1">
        <f>SUM(OSRRefH22_10x_0)</f>
        <v>165</v>
      </c>
      <c r="I73" s="1"/>
      <c r="J73" s="5">
        <f t="shared" ref="J73:J76" si="45">IF(H$12=0,0,H73/H$12)</f>
        <v>1.7553191489361702E-3</v>
      </c>
      <c r="K73" s="1"/>
      <c r="L73" s="1">
        <f t="shared" ref="L73:L76" si="46">+D73-H73</f>
        <v>-82.8</v>
      </c>
      <c r="M73" s="1"/>
      <c r="N73" s="5">
        <f t="shared" ref="N73:N76" si="47">IF(H73=0,0,L73/H73)</f>
        <v>-0.50181818181818183</v>
      </c>
      <c r="O73" s="14"/>
      <c r="P73" s="1">
        <f>SUM(OSRRefP22_10x_0)</f>
        <v>1339.2</v>
      </c>
      <c r="Q73" s="1"/>
      <c r="R73" s="5">
        <f t="shared" ref="R73:R76" si="48">IF(P$12=0,0,P73/P$12)</f>
        <v>1.2826822003516649E-2</v>
      </c>
      <c r="S73" s="1"/>
      <c r="T73" s="1">
        <f>SUM(OSRRefT22_10x_0)</f>
        <v>1155</v>
      </c>
      <c r="U73" s="1"/>
      <c r="V73" s="5">
        <f t="shared" ref="V73:V76" si="49">IF(T$12=0,0,T73/T$12)</f>
        <v>5.0833359006746976E-3</v>
      </c>
      <c r="W73" s="1"/>
      <c r="X73" s="1">
        <f t="shared" ref="X73:X76" si="50">+P73-T73</f>
        <v>184.20000000000005</v>
      </c>
      <c r="Y73" s="1"/>
      <c r="Z73" s="5">
        <f t="shared" ref="Z73:Z76" si="51">IF(T73=0,0,X73/T73)</f>
        <v>0.15948051948051953</v>
      </c>
    </row>
    <row r="74" spans="1:26" s="24" customFormat="1" hidden="1" outlineLevel="2" x14ac:dyDescent="0.35">
      <c r="A74" s="29"/>
      <c r="B74" s="11" t="str">
        <f>CONCATENATE("          ", "6309", " - ", "TELEPHONE")</f>
        <v xml:space="preserve">          6309 - TELEPHONE</v>
      </c>
      <c r="C74" s="11"/>
      <c r="D74" s="7">
        <v>82.2</v>
      </c>
      <c r="E74" s="2"/>
      <c r="F74" s="6">
        <f t="shared" si="44"/>
        <v>2.7792335130931655E-3</v>
      </c>
      <c r="G74" s="2"/>
      <c r="H74" s="7">
        <v>165</v>
      </c>
      <c r="I74" s="2"/>
      <c r="J74" s="6">
        <f t="shared" si="45"/>
        <v>1.7553191489361702E-3</v>
      </c>
      <c r="K74" s="2"/>
      <c r="L74" s="7">
        <f t="shared" si="46"/>
        <v>-82.8</v>
      </c>
      <c r="M74" s="2"/>
      <c r="N74" s="6">
        <f t="shared" si="47"/>
        <v>-0.50181818181818183</v>
      </c>
      <c r="O74" s="11"/>
      <c r="P74" s="7">
        <v>1339.2</v>
      </c>
      <c r="Q74" s="2"/>
      <c r="R74" s="6">
        <f t="shared" si="48"/>
        <v>1.2826822003516649E-2</v>
      </c>
      <c r="S74" s="2"/>
      <c r="T74" s="7">
        <v>1155</v>
      </c>
      <c r="U74" s="2"/>
      <c r="V74" s="6">
        <f t="shared" si="49"/>
        <v>5.0833359006746976E-3</v>
      </c>
      <c r="W74" s="2"/>
      <c r="X74" s="7">
        <f t="shared" si="50"/>
        <v>184.20000000000005</v>
      </c>
      <c r="Y74" s="2"/>
      <c r="Z74" s="6">
        <f t="shared" si="51"/>
        <v>0.15948051948051953</v>
      </c>
    </row>
    <row r="75" spans="1:26" s="28" customFormat="1" outlineLevel="1" collapsed="1" x14ac:dyDescent="0.35">
      <c r="A75" s="27"/>
      <c r="B75" s="14" t="str">
        <f>CONCATENATE("     ","Utilities                                         ")</f>
        <v xml:space="preserve">     Utilities                                         </v>
      </c>
      <c r="C75" s="14"/>
      <c r="D75" s="1">
        <f>SUM(OSRRefD22_11x_0)</f>
        <v>0</v>
      </c>
      <c r="E75" s="1"/>
      <c r="F75" s="5">
        <f t="shared" si="44"/>
        <v>0</v>
      </c>
      <c r="G75" s="1"/>
      <c r="H75" s="1">
        <f>SUM(OSRRefH22_11x_0)</f>
        <v>0</v>
      </c>
      <c r="I75" s="1"/>
      <c r="J75" s="5">
        <f t="shared" si="45"/>
        <v>0</v>
      </c>
      <c r="K75" s="1"/>
      <c r="L75" s="1">
        <f t="shared" si="46"/>
        <v>0</v>
      </c>
      <c r="M75" s="1"/>
      <c r="N75" s="5">
        <f t="shared" si="47"/>
        <v>0</v>
      </c>
      <c r="O75" s="14"/>
      <c r="P75" s="1">
        <f>SUM(OSRRefP22_11x_0)</f>
        <v>15.02</v>
      </c>
      <c r="Q75" s="1"/>
      <c r="R75" s="5">
        <f t="shared" si="48"/>
        <v>1.438611607622611E-4</v>
      </c>
      <c r="S75" s="1"/>
      <c r="T75" s="1">
        <f>SUM(OSRRefT22_11x_0)</f>
        <v>0</v>
      </c>
      <c r="U75" s="1"/>
      <c r="V75" s="5">
        <f t="shared" si="49"/>
        <v>0</v>
      </c>
      <c r="W75" s="1"/>
      <c r="X75" s="1">
        <f t="shared" si="50"/>
        <v>15.02</v>
      </c>
      <c r="Y75" s="1"/>
      <c r="Z75" s="5">
        <f t="shared" si="51"/>
        <v>0</v>
      </c>
    </row>
    <row r="76" spans="1:26" s="24" customFormat="1" hidden="1" outlineLevel="2" x14ac:dyDescent="0.35">
      <c r="A76" s="29"/>
      <c r="B76" s="11" t="str">
        <f>CONCATENATE("          ", "6274", " - ", "UTILITIES")</f>
        <v xml:space="preserve">          6274 - UTILITIES</v>
      </c>
      <c r="C76" s="11"/>
      <c r="D76" s="7"/>
      <c r="E76" s="2"/>
      <c r="F76" s="6">
        <f t="shared" si="44"/>
        <v>0</v>
      </c>
      <c r="G76" s="2"/>
      <c r="H76" s="7"/>
      <c r="I76" s="2"/>
      <c r="J76" s="6">
        <f t="shared" si="45"/>
        <v>0</v>
      </c>
      <c r="K76" s="2"/>
      <c r="L76" s="7">
        <f t="shared" si="46"/>
        <v>0</v>
      </c>
      <c r="M76" s="2"/>
      <c r="N76" s="6">
        <f t="shared" si="47"/>
        <v>0</v>
      </c>
      <c r="O76" s="11"/>
      <c r="P76" s="7">
        <v>15.02</v>
      </c>
      <c r="Q76" s="2"/>
      <c r="R76" s="6">
        <f t="shared" si="48"/>
        <v>1.438611607622611E-4</v>
      </c>
      <c r="S76" s="2"/>
      <c r="T76" s="7"/>
      <c r="U76" s="2"/>
      <c r="V76" s="6">
        <f t="shared" si="49"/>
        <v>0</v>
      </c>
      <c r="W76" s="2"/>
      <c r="X76" s="7">
        <f t="shared" si="50"/>
        <v>15.02</v>
      </c>
      <c r="Y76" s="2"/>
      <c r="Z76" s="6">
        <f t="shared" si="51"/>
        <v>0</v>
      </c>
    </row>
    <row r="77" spans="1:26" s="55" customFormat="1" x14ac:dyDescent="0.35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collapsed="1" x14ac:dyDescent="0.35">
      <c r="A78" s="10"/>
      <c r="B78" s="25" t="s">
        <v>0</v>
      </c>
      <c r="C78" s="10"/>
      <c r="D78" s="4">
        <f>SUM(OSRRefD25x_0)</f>
        <v>6782</v>
      </c>
      <c r="E78" s="4"/>
      <c r="F78" s="12">
        <f t="shared" ref="F78:F79" si="52">IF(D$12=0,0,D78/D$12)</f>
        <v>0.22930367014352615</v>
      </c>
      <c r="G78" s="4"/>
      <c r="H78" s="4">
        <f>SUM(OSRRefH25x_0)</f>
        <v>6875</v>
      </c>
      <c r="I78" s="4"/>
      <c r="J78" s="12">
        <f t="shared" ref="J78:J79" si="53">IF(H$12=0,0,H78/H$12)</f>
        <v>7.3138297872340427E-2</v>
      </c>
      <c r="K78" s="4"/>
      <c r="L78" s="4">
        <f t="shared" ref="L78:L79" si="54">+D78-H78</f>
        <v>-93</v>
      </c>
      <c r="M78" s="4"/>
      <c r="N78" s="12">
        <f t="shared" ref="N78:N79" si="55">IF(H78=0,0,L78/H78)</f>
        <v>-1.3527272727272728E-2</v>
      </c>
      <c r="O78" s="10"/>
      <c r="P78" s="4">
        <f>SUM(OSRRefP25x_0)</f>
        <v>47474</v>
      </c>
      <c r="Q78" s="4"/>
      <c r="R78" s="12">
        <f t="shared" ref="R78:R79" si="56">IF(P$12=0,0,P78/P$12)</f>
        <v>0.45470471012167668</v>
      </c>
      <c r="S78" s="4"/>
      <c r="T78" s="4">
        <f>SUM(OSRRefT25x_0)</f>
        <v>48125</v>
      </c>
      <c r="U78" s="4"/>
      <c r="V78" s="12">
        <f t="shared" ref="V78:V79" si="57">IF(T$12=0,0,T78/T$12)</f>
        <v>0.21180566252811239</v>
      </c>
      <c r="W78" s="4"/>
      <c r="X78" s="4">
        <f t="shared" ref="X78:X79" si="58">+P78-T78</f>
        <v>-651</v>
      </c>
      <c r="Y78" s="4"/>
      <c r="Z78" s="12">
        <f t="shared" ref="Z78:Z79" si="59">IF(T78=0,0,X78/T78)</f>
        <v>-1.3527272727272728E-2</v>
      </c>
    </row>
    <row r="79" spans="1:26" s="24" customFormat="1" hidden="1" outlineLevel="1" x14ac:dyDescent="0.35">
      <c r="A79" s="51"/>
      <c r="B79" s="11" t="str">
        <f>CONCATENATE("          ", "9150", " - ", "MISC. INCOME")</f>
        <v xml:space="preserve">          9150 - MISC. INCOME</v>
      </c>
      <c r="C79" s="11"/>
      <c r="D79" s="2">
        <f>--6782</f>
        <v>6782</v>
      </c>
      <c r="E79" s="2"/>
      <c r="F79" s="22">
        <f t="shared" si="52"/>
        <v>0.22930367014352615</v>
      </c>
      <c r="G79" s="2"/>
      <c r="H79" s="2">
        <v>6875</v>
      </c>
      <c r="I79" s="2"/>
      <c r="J79" s="22">
        <f t="shared" si="53"/>
        <v>7.3138297872340427E-2</v>
      </c>
      <c r="K79" s="2"/>
      <c r="L79" s="2">
        <f t="shared" si="54"/>
        <v>-93</v>
      </c>
      <c r="M79" s="2"/>
      <c r="N79" s="22">
        <f t="shared" si="55"/>
        <v>-1.3527272727272728E-2</v>
      </c>
      <c r="O79" s="11"/>
      <c r="P79" s="2">
        <f>--47474</f>
        <v>47474</v>
      </c>
      <c r="Q79" s="2"/>
      <c r="R79" s="22">
        <f t="shared" si="56"/>
        <v>0.45470471012167668</v>
      </c>
      <c r="S79" s="2"/>
      <c r="T79" s="2">
        <v>48125</v>
      </c>
      <c r="U79" s="2"/>
      <c r="V79" s="22">
        <f t="shared" si="57"/>
        <v>0.21180566252811239</v>
      </c>
      <c r="W79" s="2"/>
      <c r="X79" s="2">
        <f t="shared" si="58"/>
        <v>-651</v>
      </c>
      <c r="Y79" s="2"/>
      <c r="Z79" s="22">
        <f t="shared" si="59"/>
        <v>-1.3527272727272728E-2</v>
      </c>
    </row>
    <row r="80" spans="1:26" x14ac:dyDescent="0.3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35">
      <c r="A81" s="10"/>
      <c r="B81" s="26" t="s">
        <v>3</v>
      </c>
      <c r="C81" s="26"/>
      <c r="D81" s="19">
        <f>+D27-D29+D78</f>
        <v>18251.210000000003</v>
      </c>
      <c r="E81" s="13"/>
      <c r="F81" s="21">
        <f>IF(D$12=0,0,D81/D$12)</f>
        <v>0.61708484776765349</v>
      </c>
      <c r="G81" s="13"/>
      <c r="H81" s="19">
        <f>+H27-H29+H78</f>
        <v>75948.479925259599</v>
      </c>
      <c r="I81" s="13"/>
      <c r="J81" s="21">
        <f>IF(H$12=0,0,H81/H$12)</f>
        <v>0.80796255239637871</v>
      </c>
      <c r="K81" s="16"/>
      <c r="L81" s="19">
        <f>+D81-H81</f>
        <v>-57697.269925259592</v>
      </c>
      <c r="M81" s="16"/>
      <c r="N81" s="21">
        <f>IF(H81=0,0,L81/H81)</f>
        <v>-0.75968959460464647</v>
      </c>
      <c r="O81" s="25"/>
      <c r="P81" s="19">
        <f>+P27-P29+P78</f>
        <v>-58351.530000000028</v>
      </c>
      <c r="Q81" s="13"/>
      <c r="R81" s="21">
        <f>IF(P$12=0,0,P81/P$12)</f>
        <v>-0.55888940333248371</v>
      </c>
      <c r="S81" s="13"/>
      <c r="T81" s="19">
        <f>+T27-T29+T78</f>
        <v>53356.179184809414</v>
      </c>
      <c r="U81" s="13"/>
      <c r="V81" s="21">
        <f>IF(T$12=0,0,T81/T$12)</f>
        <v>0.23482890144846208</v>
      </c>
      <c r="W81" s="16"/>
      <c r="X81" s="19">
        <f>+P81-T81</f>
        <v>-111707.70918480944</v>
      </c>
      <c r="Y81" s="16"/>
      <c r="Z81" s="21">
        <f>IF(T81=0,0,X81/T81)</f>
        <v>-2.0936227235816167</v>
      </c>
    </row>
    <row r="82" spans="1:26" x14ac:dyDescent="0.3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35">
      <c r="A83" s="52"/>
      <c r="B83" s="10" t="s">
        <v>14</v>
      </c>
      <c r="C83" s="10"/>
      <c r="D83" s="4">
        <v>5107.41</v>
      </c>
      <c r="E83" s="4"/>
      <c r="F83" s="12">
        <f>IF(D$12=0,0,D83/D$12)</f>
        <v>0.17268473281152269</v>
      </c>
      <c r="G83" s="4"/>
      <c r="H83" s="4">
        <v>14162</v>
      </c>
      <c r="I83" s="4"/>
      <c r="J83" s="12">
        <f>IF(H$12=0,0,H83/H$12)</f>
        <v>0.15065957446808512</v>
      </c>
      <c r="K83" s="4"/>
      <c r="L83" s="4">
        <f>+D83-H83</f>
        <v>-9054.59</v>
      </c>
      <c r="M83" s="4"/>
      <c r="N83" s="12">
        <f>IF(H83=0,0,L83/H83)</f>
        <v>-0.63935814150543713</v>
      </c>
      <c r="O83" s="10"/>
      <c r="P83" s="4">
        <v>18952.489999999998</v>
      </c>
      <c r="Q83" s="4"/>
      <c r="R83" s="12">
        <f>IF(P$12=0,0,P83/P$12)</f>
        <v>0.1815264454550696</v>
      </c>
      <c r="S83" s="4"/>
      <c r="T83" s="4">
        <v>39430</v>
      </c>
      <c r="U83" s="4"/>
      <c r="V83" s="12">
        <f>IF(T$12=0,0,T83/T$12)</f>
        <v>0.17353760568277343</v>
      </c>
      <c r="W83" s="4"/>
      <c r="X83" s="4">
        <f>+P83-T83</f>
        <v>-20477.510000000002</v>
      </c>
      <c r="Y83" s="4"/>
      <c r="Z83" s="12">
        <f>IF(T83=0,0,X83/T83)</f>
        <v>-0.51933832107532341</v>
      </c>
    </row>
    <row r="84" spans="1:26" x14ac:dyDescent="0.3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" thickBot="1" x14ac:dyDescent="0.4">
      <c r="A85" s="10"/>
      <c r="B85" s="26" t="s">
        <v>4</v>
      </c>
      <c r="C85" s="26"/>
      <c r="D85" s="33">
        <f>+D81-D83</f>
        <v>13143.800000000003</v>
      </c>
      <c r="E85" s="13"/>
      <c r="F85" s="31">
        <f>IF(D$12=0,0,D85/D$12)</f>
        <v>0.44440011495613085</v>
      </c>
      <c r="G85" s="13"/>
      <c r="H85" s="33">
        <f>+H81-H83</f>
        <v>61786.479925259599</v>
      </c>
      <c r="I85" s="13"/>
      <c r="J85" s="31">
        <f>IF(H$12=0,0,H85/H$12)</f>
        <v>0.65730297792829362</v>
      </c>
      <c r="K85" s="16"/>
      <c r="L85" s="33">
        <f>D85-H85</f>
        <v>-48642.679925259596</v>
      </c>
      <c r="M85" s="16"/>
      <c r="N85" s="31">
        <f>IF(H85=0,0,L85/H85)</f>
        <v>-0.78727061299009937</v>
      </c>
      <c r="O85" s="25"/>
      <c r="P85" s="33">
        <f>+P81-P83</f>
        <v>-77304.020000000019</v>
      </c>
      <c r="Q85" s="13"/>
      <c r="R85" s="31">
        <f>IF(P$12=0,0,P85/P$12)</f>
        <v>-0.74041584878755329</v>
      </c>
      <c r="S85" s="13"/>
      <c r="T85" s="33">
        <f>+T81-T83</f>
        <v>13926.179184809414</v>
      </c>
      <c r="U85" s="13"/>
      <c r="V85" s="31">
        <f>IF(T$12=0,0,T85/T$12)</f>
        <v>6.1291295765688647E-2</v>
      </c>
      <c r="W85" s="16"/>
      <c r="X85" s="33">
        <f>P85-T85</f>
        <v>-91230.199184809433</v>
      </c>
      <c r="Y85" s="16"/>
      <c r="Z85" s="31">
        <f>IF(T85=0,0,X85/T85)</f>
        <v>-6.5509855915341619</v>
      </c>
    </row>
    <row r="86" spans="1:26" ht="15" thickTop="1" x14ac:dyDescent="0.3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3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" thickBot="1" x14ac:dyDescent="0.4">
      <c r="A88" s="10"/>
      <c r="B88" s="26" t="s">
        <v>5</v>
      </c>
      <c r="C88" s="26"/>
      <c r="D88" s="34">
        <f>SUM(D85:D87)</f>
        <v>13143.800000000003</v>
      </c>
      <c r="E88" s="13"/>
      <c r="F88" s="32">
        <f>IF(D$12=0,0,D88/D$12)</f>
        <v>0.44440011495613085</v>
      </c>
      <c r="G88" s="13"/>
      <c r="H88" s="34">
        <f>SUM(H85:H87)</f>
        <v>61786.479925259599</v>
      </c>
      <c r="I88" s="13"/>
      <c r="J88" s="32">
        <f>IF(H$12=0,0,H88/H$12)</f>
        <v>0.65730297792829362</v>
      </c>
      <c r="K88" s="16"/>
      <c r="L88" s="34">
        <f>+D88-H88</f>
        <v>-48642.679925259596</v>
      </c>
      <c r="M88" s="16"/>
      <c r="N88" s="32">
        <f>IF(H88=0,0,L88/H88)</f>
        <v>-0.78727061299009937</v>
      </c>
      <c r="O88" s="25"/>
      <c r="P88" s="34">
        <f>SUM(P85:P87)</f>
        <v>-77304.020000000019</v>
      </c>
      <c r="Q88" s="13"/>
      <c r="R88" s="32">
        <f>IF(P$12=0,0,P88/P$12)</f>
        <v>-0.74041584878755329</v>
      </c>
      <c r="S88" s="13"/>
      <c r="T88" s="34">
        <f>SUM(T85:T87)</f>
        <v>13926.179184809414</v>
      </c>
      <c r="U88" s="13"/>
      <c r="V88" s="32">
        <f>IF(T$12=0,0,T88/T$12)</f>
        <v>6.1291295765688647E-2</v>
      </c>
      <c r="W88" s="16"/>
      <c r="X88" s="34">
        <f>+P88-T88</f>
        <v>-91230.199184809433</v>
      </c>
      <c r="Y88" s="16"/>
      <c r="Z88" s="32">
        <f>IF(T88=0,0,X88/T88)</f>
        <v>-6.5509855915341619</v>
      </c>
    </row>
    <row r="89" spans="1:26" ht="15" thickTop="1" x14ac:dyDescent="0.35">
      <c r="A89" s="9"/>
      <c r="C89" s="9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35">
      <c r="A90" s="9"/>
      <c r="B90" s="60">
        <v>44238.490155405096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35">
      <c r="A91" s="9"/>
      <c r="B91" s="59" t="s">
        <v>314</v>
      </c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35">
      <c r="A92" s="9"/>
      <c r="B92" s="58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35"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","316", " - ", "Campus Copy Center")</f>
        <v>Department 316 - Campus Copy Center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29576.499999999996</v>
      </c>
      <c r="E12" s="4"/>
      <c r="F12" s="12"/>
      <c r="G12" s="4"/>
      <c r="H12" s="4">
        <f>SUM(OSRRefH13x_0)</f>
        <v>94000</v>
      </c>
      <c r="I12" s="4"/>
      <c r="J12" s="12"/>
      <c r="K12" s="4"/>
      <c r="L12" s="4">
        <f t="shared" ref="L12:L23" si="0">+D12-H12</f>
        <v>-64423.5</v>
      </c>
      <c r="M12" s="4"/>
      <c r="N12" s="12">
        <f t="shared" ref="N12:N23" si="1">IF(H12=0,0,L12/H12)</f>
        <v>-0.68535638297872337</v>
      </c>
      <c r="O12" s="10"/>
      <c r="P12" s="4">
        <f>SUM(OSRRefP13x_0)</f>
        <v>104406.22</v>
      </c>
      <c r="Q12" s="4"/>
      <c r="R12" s="12"/>
      <c r="S12" s="4"/>
      <c r="T12" s="4">
        <f>SUM(OSRRefT13x_0)</f>
        <v>227213</v>
      </c>
      <c r="U12" s="4"/>
      <c r="V12" s="12"/>
      <c r="W12" s="4"/>
      <c r="X12" s="4">
        <f t="shared" ref="X12:X23" si="2">+P12-T12</f>
        <v>-122806.78</v>
      </c>
      <c r="Y12" s="4"/>
      <c r="Z12" s="12">
        <f t="shared" ref="Z12:Z23" si="3">IF(T12=0,0,X12/T12)</f>
        <v>-0.54049187326429382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>-0.63</f>
        <v>-0.63</v>
      </c>
      <c r="E13" s="2"/>
      <c r="F13" s="22"/>
      <c r="G13" s="2"/>
      <c r="H13" s="2">
        <v>75000</v>
      </c>
      <c r="I13" s="2"/>
      <c r="J13" s="22"/>
      <c r="K13" s="2"/>
      <c r="L13" s="2">
        <f t="shared" si="0"/>
        <v>-75000.63</v>
      </c>
      <c r="M13" s="2"/>
      <c r="N13" s="22">
        <f t="shared" si="1"/>
        <v>-1.0000084</v>
      </c>
      <c r="O13" s="11"/>
      <c r="P13" s="2">
        <f>-9.28</f>
        <v>-9.2799999999999994</v>
      </c>
      <c r="Q13" s="2"/>
      <c r="R13" s="22"/>
      <c r="S13" s="2"/>
      <c r="T13" s="2">
        <v>193713</v>
      </c>
      <c r="U13" s="2"/>
      <c r="V13" s="22"/>
      <c r="W13" s="2"/>
      <c r="X13" s="2">
        <f t="shared" si="2"/>
        <v>-193722.28</v>
      </c>
      <c r="Y13" s="2"/>
      <c r="Z13" s="22">
        <f t="shared" si="3"/>
        <v>-1.0000479059226794</v>
      </c>
    </row>
    <row r="14" spans="1:26" s="24" customFormat="1" hidden="1" outlineLevel="1" x14ac:dyDescent="0.35">
      <c r="A14" s="51"/>
      <c r="B14" s="11" t="str">
        <f>CONCATENATE("          ", "4041", " - ", "TAXABLE SALES-LOGO GIFTS")</f>
        <v xml:space="preserve">          4041 - TAXABLE SALES-LOGO GIFTS</v>
      </c>
      <c r="C14" s="11"/>
      <c r="D14" s="2">
        <f>--27561.7</f>
        <v>27561.7</v>
      </c>
      <c r="E14" s="2"/>
      <c r="F14" s="22"/>
      <c r="G14" s="2"/>
      <c r="H14" s="2"/>
      <c r="I14" s="2"/>
      <c r="J14" s="22"/>
      <c r="K14" s="2"/>
      <c r="L14" s="2">
        <f t="shared" si="0"/>
        <v>27561.7</v>
      </c>
      <c r="M14" s="2"/>
      <c r="N14" s="22">
        <f t="shared" si="1"/>
        <v>0</v>
      </c>
      <c r="O14" s="11"/>
      <c r="P14" s="2">
        <f>--88505.97</f>
        <v>88505.97</v>
      </c>
      <c r="Q14" s="2"/>
      <c r="R14" s="22"/>
      <c r="S14" s="2"/>
      <c r="T14" s="2"/>
      <c r="U14" s="2"/>
      <c r="V14" s="22"/>
      <c r="W14" s="2"/>
      <c r="X14" s="2">
        <f t="shared" si="2"/>
        <v>88505.97</v>
      </c>
      <c r="Y14" s="2"/>
      <c r="Z14" s="22">
        <f t="shared" si="3"/>
        <v>0</v>
      </c>
    </row>
    <row r="15" spans="1:26" s="24" customFormat="1" hidden="1" outlineLevel="1" x14ac:dyDescent="0.35">
      <c r="A15" s="51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--1691.73</f>
        <v>1691.73</v>
      </c>
      <c r="E15" s="2"/>
      <c r="F15" s="22"/>
      <c r="G15" s="2"/>
      <c r="H15" s="2"/>
      <c r="I15" s="2"/>
      <c r="J15" s="22"/>
      <c r="K15" s="2"/>
      <c r="L15" s="2">
        <f t="shared" si="0"/>
        <v>1691.73</v>
      </c>
      <c r="M15" s="2"/>
      <c r="N15" s="22">
        <f t="shared" si="1"/>
        <v>0</v>
      </c>
      <c r="O15" s="11"/>
      <c r="P15" s="2">
        <f>--14545.58</f>
        <v>14545.58</v>
      </c>
      <c r="Q15" s="2"/>
      <c r="R15" s="22"/>
      <c r="S15" s="2"/>
      <c r="T15" s="2"/>
      <c r="U15" s="2"/>
      <c r="V15" s="22"/>
      <c r="W15" s="2"/>
      <c r="X15" s="2">
        <f t="shared" si="2"/>
        <v>14545.58</v>
      </c>
      <c r="Y15" s="2"/>
      <c r="Z15" s="22">
        <f t="shared" si="3"/>
        <v>0</v>
      </c>
    </row>
    <row r="16" spans="1:26" s="24" customFormat="1" hidden="1" outlineLevel="1" x14ac:dyDescent="0.35">
      <c r="A16" s="51"/>
      <c r="B16" s="11" t="str">
        <f>CONCATENATE("          ", "4043", " - ", "TAXABLE SALES-CARDS")</f>
        <v xml:space="preserve">          4043 - TAXABLE SALES-CARDS</v>
      </c>
      <c r="C16" s="11"/>
      <c r="D16" s="2">
        <f>--18.35</f>
        <v>18.350000000000001</v>
      </c>
      <c r="E16" s="2"/>
      <c r="F16" s="22"/>
      <c r="G16" s="2"/>
      <c r="H16" s="2"/>
      <c r="I16" s="2"/>
      <c r="J16" s="22"/>
      <c r="K16" s="2"/>
      <c r="L16" s="2">
        <f t="shared" si="0"/>
        <v>18.350000000000001</v>
      </c>
      <c r="M16" s="2"/>
      <c r="N16" s="22">
        <f t="shared" si="1"/>
        <v>0</v>
      </c>
      <c r="O16" s="11"/>
      <c r="P16" s="2">
        <f>--34.31</f>
        <v>34.31</v>
      </c>
      <c r="Q16" s="2"/>
      <c r="R16" s="22"/>
      <c r="S16" s="2"/>
      <c r="T16" s="2"/>
      <c r="U16" s="2"/>
      <c r="V16" s="22"/>
      <c r="W16" s="2"/>
      <c r="X16" s="2">
        <f t="shared" si="2"/>
        <v>34.31</v>
      </c>
      <c r="Y16" s="2"/>
      <c r="Z16" s="22">
        <f t="shared" si="3"/>
        <v>0</v>
      </c>
    </row>
    <row r="17" spans="1:26" s="24" customFormat="1" hidden="1" outlineLevel="1" x14ac:dyDescent="0.3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>0</f>
        <v>0</v>
      </c>
      <c r="E17" s="2"/>
      <c r="F17" s="22"/>
      <c r="G17" s="2"/>
      <c r="H17" s="2">
        <v>19000</v>
      </c>
      <c r="I17" s="2"/>
      <c r="J17" s="22"/>
      <c r="K17" s="2"/>
      <c r="L17" s="2">
        <f t="shared" si="0"/>
        <v>-19000</v>
      </c>
      <c r="M17" s="2"/>
      <c r="N17" s="22">
        <f t="shared" si="1"/>
        <v>-1</v>
      </c>
      <c r="O17" s="11"/>
      <c r="P17" s="2">
        <f>0</f>
        <v>0</v>
      </c>
      <c r="Q17" s="2"/>
      <c r="R17" s="22"/>
      <c r="S17" s="2"/>
      <c r="T17" s="2">
        <v>33500</v>
      </c>
      <c r="U17" s="2"/>
      <c r="V17" s="22"/>
      <c r="W17" s="2"/>
      <c r="X17" s="2">
        <f t="shared" si="2"/>
        <v>-33500</v>
      </c>
      <c r="Y17" s="2"/>
      <c r="Z17" s="22">
        <f t="shared" si="3"/>
        <v>-1</v>
      </c>
    </row>
    <row r="18" spans="1:26" s="24" customFormat="1" hidden="1" outlineLevel="1" x14ac:dyDescent="0.35">
      <c r="A18" s="51"/>
      <c r="B18" s="11" t="str">
        <f>CONCATENATE("          ", "4141", " - ", "NON-TAXABLE SALES-LOGO GIFTS")</f>
        <v xml:space="preserve">          4141 - NON-TAXABLE SALES-LOGO GIFTS</v>
      </c>
      <c r="C18" s="11"/>
      <c r="D18" s="2">
        <f>--708.6</f>
        <v>708.6</v>
      </c>
      <c r="E18" s="2"/>
      <c r="F18" s="22"/>
      <c r="G18" s="2"/>
      <c r="H18" s="2"/>
      <c r="I18" s="2"/>
      <c r="J18" s="22"/>
      <c r="K18" s="2"/>
      <c r="L18" s="2">
        <f t="shared" si="0"/>
        <v>708.6</v>
      </c>
      <c r="M18" s="2"/>
      <c r="N18" s="22">
        <f t="shared" si="1"/>
        <v>0</v>
      </c>
      <c r="O18" s="11"/>
      <c r="P18" s="2">
        <f>--1228.25</f>
        <v>1228.25</v>
      </c>
      <c r="Q18" s="2"/>
      <c r="R18" s="22"/>
      <c r="S18" s="2"/>
      <c r="T18" s="2"/>
      <c r="U18" s="2"/>
      <c r="V18" s="22"/>
      <c r="W18" s="2"/>
      <c r="X18" s="2">
        <f t="shared" si="2"/>
        <v>1228.25</v>
      </c>
      <c r="Y18" s="2"/>
      <c r="Z18" s="22">
        <f t="shared" si="3"/>
        <v>0</v>
      </c>
    </row>
    <row r="19" spans="1:26" s="24" customFormat="1" hidden="1" outlineLevel="1" x14ac:dyDescent="0.35">
      <c r="A19" s="51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>0</f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--1110.59</f>
        <v>1110.5899999999999</v>
      </c>
      <c r="Q19" s="2"/>
      <c r="R19" s="22"/>
      <c r="S19" s="2"/>
      <c r="T19" s="2"/>
      <c r="U19" s="2"/>
      <c r="V19" s="22"/>
      <c r="W19" s="2"/>
      <c r="X19" s="2">
        <f t="shared" si="2"/>
        <v>1110.5899999999999</v>
      </c>
      <c r="Y19" s="2"/>
      <c r="Z19" s="22">
        <f t="shared" si="3"/>
        <v>0</v>
      </c>
    </row>
    <row r="20" spans="1:26" s="24" customFormat="1" hidden="1" outlineLevel="1" x14ac:dyDescent="0.35">
      <c r="A20" s="51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--12.7</f>
        <v>12.7</v>
      </c>
      <c r="E20" s="2"/>
      <c r="F20" s="22"/>
      <c r="G20" s="2"/>
      <c r="H20" s="2"/>
      <c r="I20" s="2"/>
      <c r="J20" s="22"/>
      <c r="K20" s="2"/>
      <c r="L20" s="2">
        <f t="shared" si="0"/>
        <v>12.7</v>
      </c>
      <c r="M20" s="2"/>
      <c r="N20" s="22">
        <f t="shared" si="1"/>
        <v>0</v>
      </c>
      <c r="O20" s="11"/>
      <c r="P20" s="2">
        <f>--140.6</f>
        <v>140.6</v>
      </c>
      <c r="Q20" s="2"/>
      <c r="R20" s="22"/>
      <c r="S20" s="2"/>
      <c r="T20" s="2"/>
      <c r="U20" s="2"/>
      <c r="V20" s="22"/>
      <c r="W20" s="2"/>
      <c r="X20" s="2">
        <f t="shared" si="2"/>
        <v>140.6</v>
      </c>
      <c r="Y20" s="2"/>
      <c r="Z20" s="22">
        <f t="shared" si="3"/>
        <v>0</v>
      </c>
    </row>
    <row r="21" spans="1:26" s="24" customFormat="1" hidden="1" outlineLevel="1" x14ac:dyDescent="0.35">
      <c r="A21" s="51"/>
      <c r="B21" s="11" t="str">
        <f>CONCATENATE("          ", "4147", " - ", "NON-TAXABLE SALES-MISC")</f>
        <v xml:space="preserve">          4147 - NON-TAXABLE SALES-MISC</v>
      </c>
      <c r="C21" s="11"/>
      <c r="D21" s="2">
        <f>--11</f>
        <v>11</v>
      </c>
      <c r="E21" s="2"/>
      <c r="F21" s="22"/>
      <c r="G21" s="2"/>
      <c r="H21" s="2"/>
      <c r="I21" s="2"/>
      <c r="J21" s="22"/>
      <c r="K21" s="2"/>
      <c r="L21" s="2">
        <f t="shared" si="0"/>
        <v>11</v>
      </c>
      <c r="M21" s="2"/>
      <c r="N21" s="22">
        <f t="shared" si="1"/>
        <v>0</v>
      </c>
      <c r="O21" s="11"/>
      <c r="P21" s="2">
        <f>--115.5</f>
        <v>115.5</v>
      </c>
      <c r="Q21" s="2"/>
      <c r="R21" s="22"/>
      <c r="S21" s="2"/>
      <c r="T21" s="2"/>
      <c r="U21" s="2"/>
      <c r="V21" s="22"/>
      <c r="W21" s="2"/>
      <c r="X21" s="2">
        <f t="shared" si="2"/>
        <v>115.5</v>
      </c>
      <c r="Y21" s="2"/>
      <c r="Z21" s="22">
        <f t="shared" si="3"/>
        <v>0</v>
      </c>
    </row>
    <row r="22" spans="1:26" s="24" customFormat="1" hidden="1" outlineLevel="1" x14ac:dyDescent="0.35">
      <c r="A22" s="51"/>
      <c r="B22" s="11" t="str">
        <f>CONCATENATE("          ", "4241", " - ", "SALES RETURN TAXABLE-LOGO GIFT")</f>
        <v xml:space="preserve">          4241 - SALES RETURN TAXABLE-LOGO GIFT</v>
      </c>
      <c r="C22" s="11"/>
      <c r="D22" s="2">
        <f>-415.75</f>
        <v>-415.75</v>
      </c>
      <c r="E22" s="2"/>
      <c r="F22" s="22"/>
      <c r="G22" s="2"/>
      <c r="H22" s="2"/>
      <c r="I22" s="2"/>
      <c r="J22" s="22"/>
      <c r="K22" s="2"/>
      <c r="L22" s="2">
        <f t="shared" si="0"/>
        <v>-415.75</v>
      </c>
      <c r="M22" s="2"/>
      <c r="N22" s="22">
        <f t="shared" si="1"/>
        <v>0</v>
      </c>
      <c r="O22" s="11"/>
      <c r="P22" s="2">
        <f>-1254.1</f>
        <v>-1254.0999999999999</v>
      </c>
      <c r="Q22" s="2"/>
      <c r="R22" s="22"/>
      <c r="S22" s="2"/>
      <c r="T22" s="2"/>
      <c r="U22" s="2"/>
      <c r="V22" s="22"/>
      <c r="W22" s="2"/>
      <c r="X22" s="2">
        <f t="shared" si="2"/>
        <v>-1254.0999999999999</v>
      </c>
      <c r="Y22" s="2"/>
      <c r="Z22" s="22">
        <f t="shared" si="3"/>
        <v>0</v>
      </c>
    </row>
    <row r="23" spans="1:26" s="24" customFormat="1" hidden="1" outlineLevel="1" x14ac:dyDescent="0.35">
      <c r="A23" s="51"/>
      <c r="B23" s="11" t="str">
        <f>CONCATENATE("          ", "4341", " - ", "SALES RETURN NON TAXABLE-LOGO")</f>
        <v xml:space="preserve">          4341 - SALES RETURN NON TAXABLE-LOGO</v>
      </c>
      <c r="C23" s="11"/>
      <c r="D23" s="2">
        <f>-11.2</f>
        <v>-11.2</v>
      </c>
      <c r="E23" s="2"/>
      <c r="F23" s="22"/>
      <c r="G23" s="2"/>
      <c r="H23" s="2"/>
      <c r="I23" s="2"/>
      <c r="J23" s="22"/>
      <c r="K23" s="2"/>
      <c r="L23" s="2">
        <f t="shared" si="0"/>
        <v>-11.2</v>
      </c>
      <c r="M23" s="2"/>
      <c r="N23" s="22">
        <f t="shared" si="1"/>
        <v>0</v>
      </c>
      <c r="O23" s="11"/>
      <c r="P23" s="2">
        <f>-11.2</f>
        <v>-11.2</v>
      </c>
      <c r="Q23" s="2"/>
      <c r="R23" s="22"/>
      <c r="S23" s="2"/>
      <c r="T23" s="2"/>
      <c r="U23" s="2"/>
      <c r="V23" s="22"/>
      <c r="W23" s="2"/>
      <c r="X23" s="2">
        <f t="shared" si="2"/>
        <v>-11.2</v>
      </c>
      <c r="Y23" s="2"/>
      <c r="Z23" s="22">
        <f t="shared" si="3"/>
        <v>0</v>
      </c>
    </row>
    <row r="24" spans="1:26" x14ac:dyDescent="0.3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35">
      <c r="A25" s="10"/>
      <c r="B25" s="25" t="s">
        <v>8</v>
      </c>
      <c r="C25" s="10"/>
      <c r="D25" s="4">
        <f>SUM(0)</f>
        <v>0</v>
      </c>
      <c r="E25" s="4"/>
      <c r="F25" s="12">
        <f>IF(D$12=0,0,D25/D$12)</f>
        <v>0</v>
      </c>
      <c r="G25" s="4"/>
      <c r="H25" s="4">
        <f>SUM(0)</f>
        <v>0</v>
      </c>
      <c r="I25" s="4"/>
      <c r="J25" s="12">
        <f>IF(H$12=0,0,H25/H$12)</f>
        <v>0</v>
      </c>
      <c r="K25" s="4"/>
      <c r="L25" s="4">
        <f>+D25-H25</f>
        <v>0</v>
      </c>
      <c r="M25" s="4"/>
      <c r="N25" s="12">
        <f>IF(H25=0,0,L25/H25)</f>
        <v>0</v>
      </c>
      <c r="O25" s="10"/>
      <c r="P25" s="4">
        <f>SUM(0)</f>
        <v>0</v>
      </c>
      <c r="Q25" s="4"/>
      <c r="R25" s="12">
        <f>IF(P$12=0,0,P25/P$12)</f>
        <v>0</v>
      </c>
      <c r="S25" s="4"/>
      <c r="T25" s="4">
        <f>SUM(0)</f>
        <v>0</v>
      </c>
      <c r="U25" s="4"/>
      <c r="V25" s="12">
        <f>IF(T$12=0,0,T25/T$12)</f>
        <v>0</v>
      </c>
      <c r="W25" s="4"/>
      <c r="X25" s="4">
        <f>+P25-T25</f>
        <v>0</v>
      </c>
      <c r="Y25" s="4"/>
      <c r="Z25" s="12">
        <f>IF(T25=0,0,X25/T25)</f>
        <v>0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6</v>
      </c>
      <c r="C27" s="26"/>
      <c r="D27" s="19">
        <f>D12-D25</f>
        <v>29576.499999999996</v>
      </c>
      <c r="E27" s="13"/>
      <c r="F27" s="21">
        <f>IF(D$12=0,0,D27/D$12)</f>
        <v>1</v>
      </c>
      <c r="G27" s="13"/>
      <c r="H27" s="19">
        <f>H12-H25</f>
        <v>94000</v>
      </c>
      <c r="I27" s="13"/>
      <c r="J27" s="21">
        <f>IF(H$12=0,0,H27/H$12)</f>
        <v>1</v>
      </c>
      <c r="K27" s="16"/>
      <c r="L27" s="19">
        <f>+D27-H27</f>
        <v>-64423.5</v>
      </c>
      <c r="M27" s="16"/>
      <c r="N27" s="21">
        <f>IF(H27=0,0,L27/H27)</f>
        <v>-0.68535638297872337</v>
      </c>
      <c r="O27" s="25"/>
      <c r="P27" s="19">
        <f>P12-P25</f>
        <v>104406.22</v>
      </c>
      <c r="Q27" s="13"/>
      <c r="R27" s="21">
        <f>IF(P$12=0,0,P27/P$12)</f>
        <v>1</v>
      </c>
      <c r="S27" s="13"/>
      <c r="T27" s="19">
        <f>T12-T25</f>
        <v>227213</v>
      </c>
      <c r="U27" s="13"/>
      <c r="V27" s="21">
        <f>IF(T$12=0,0,T27/T$12)</f>
        <v>1</v>
      </c>
      <c r="W27" s="16"/>
      <c r="X27" s="19">
        <f>+P27-T27</f>
        <v>-122806.78</v>
      </c>
      <c r="Y27" s="16"/>
      <c r="Z27" s="21">
        <f>IF(T27=0,0,X27/T27)</f>
        <v>-0.54049187326429382</v>
      </c>
    </row>
    <row r="28" spans="1:26" x14ac:dyDescent="0.3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35">
      <c r="A29" s="10"/>
      <c r="B29" s="25" t="s">
        <v>9</v>
      </c>
      <c r="C29" s="10"/>
      <c r="D29" s="20">
        <f>SUM(OSRRefD22x_0)</f>
        <v>18107.289999999994</v>
      </c>
      <c r="E29" s="20"/>
      <c r="F29" s="30">
        <f t="shared" ref="F29:F39" si="4">IF(D$12=0,0,D29/D$12)</f>
        <v>0.61221882237587255</v>
      </c>
      <c r="G29" s="20"/>
      <c r="H29" s="20">
        <f>SUM(OSRRefH22x_0)</f>
        <v>24926.520074740401</v>
      </c>
      <c r="I29" s="20"/>
      <c r="J29" s="30">
        <f t="shared" ref="J29:J39" si="5">IF(H$12=0,0,H29/H$12)</f>
        <v>0.26517574547596173</v>
      </c>
      <c r="K29" s="4"/>
      <c r="L29" s="20">
        <f t="shared" ref="L29:L39" si="6">+D29-H29</f>
        <v>-6819.2300747404079</v>
      </c>
      <c r="M29" s="4"/>
      <c r="N29" s="30">
        <f t="shared" ref="N29:N39" si="7">IF(H29=0,0,L29/H29)</f>
        <v>-0.27357328878212567</v>
      </c>
      <c r="O29" s="10"/>
      <c r="P29" s="20">
        <f>SUM(OSRRefP22x_0)</f>
        <v>210231.75000000003</v>
      </c>
      <c r="Q29" s="20"/>
      <c r="R29" s="30">
        <f t="shared" ref="R29:R39" si="8">IF(P$12=0,0,P29/P$12)</f>
        <v>2.0135941134541602</v>
      </c>
      <c r="S29" s="20"/>
      <c r="T29" s="20">
        <f>SUM(OSRRefT22x_0)</f>
        <v>221981.82081519059</v>
      </c>
      <c r="U29" s="20"/>
      <c r="V29" s="30">
        <f t="shared" ref="V29:V39" si="9">IF(T$12=0,0,T29/T$12)</f>
        <v>0.97697676107965026</v>
      </c>
      <c r="W29" s="4"/>
      <c r="X29" s="20">
        <f t="shared" ref="X29:X39" si="10">+P29-T29</f>
        <v>-11750.070815190556</v>
      </c>
      <c r="Y29" s="4"/>
      <c r="Z29" s="30">
        <f t="shared" ref="Z29:Z39" si="11">IF(T29=0,0,X29/T29)</f>
        <v>-5.2932581470142077E-2</v>
      </c>
    </row>
    <row r="30" spans="1:26" s="28" customFormat="1" outlineLevel="1" collapsed="1" x14ac:dyDescent="0.35">
      <c r="A30" s="27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11976.35</v>
      </c>
      <c r="E30" s="1"/>
      <c r="F30" s="5">
        <f t="shared" si="4"/>
        <v>0.40492789883860503</v>
      </c>
      <c r="G30" s="1"/>
      <c r="H30" s="1">
        <f>SUM(OSRRefH22_0x_0)</f>
        <v>7338.6343728173024</v>
      </c>
      <c r="I30" s="1"/>
      <c r="J30" s="5">
        <f t="shared" si="5"/>
        <v>7.8070578434226615E-2</v>
      </c>
      <c r="K30" s="1"/>
      <c r="L30" s="1">
        <f t="shared" si="6"/>
        <v>4637.715627182698</v>
      </c>
      <c r="M30" s="1"/>
      <c r="N30" s="5">
        <f t="shared" si="7"/>
        <v>0.63195894380036788</v>
      </c>
      <c r="O30" s="14"/>
      <c r="P30" s="1">
        <f>SUM(OSRRefP22_0x_0)</f>
        <v>66685.219999999987</v>
      </c>
      <c r="Q30" s="1"/>
      <c r="R30" s="5">
        <f t="shared" si="8"/>
        <v>0.63870926463959699</v>
      </c>
      <c r="S30" s="1"/>
      <c r="T30" s="1">
        <f>SUM(OSRRefT22_0x_0)</f>
        <v>47654.129463267287</v>
      </c>
      <c r="U30" s="1"/>
      <c r="V30" s="5">
        <f t="shared" si="9"/>
        <v>0.20973328754634324</v>
      </c>
      <c r="W30" s="1"/>
      <c r="X30" s="1">
        <f t="shared" si="10"/>
        <v>19031.0905367327</v>
      </c>
      <c r="Y30" s="1"/>
      <c r="Z30" s="5">
        <f t="shared" si="11"/>
        <v>0.39935868624779364</v>
      </c>
    </row>
    <row r="31" spans="1:26" s="24" customFormat="1" hidden="1" outlineLevel="2" x14ac:dyDescent="0.35">
      <c r="A31" s="29"/>
      <c r="B31" s="11" t="str">
        <f>CONCATENATE("          ", "6111", " - ", "F.I.C.A.")</f>
        <v xml:space="preserve">          6111 - F.I.C.A.</v>
      </c>
      <c r="C31" s="11"/>
      <c r="D31" s="7">
        <v>1213.6400000000001</v>
      </c>
      <c r="E31" s="2"/>
      <c r="F31" s="6">
        <f t="shared" si="4"/>
        <v>4.1033928963873353E-2</v>
      </c>
      <c r="G31" s="2"/>
      <c r="H31" s="7">
        <v>1301.96978922115</v>
      </c>
      <c r="I31" s="2"/>
      <c r="J31" s="6">
        <f t="shared" si="5"/>
        <v>1.3850742438522872E-2</v>
      </c>
      <c r="K31" s="2"/>
      <c r="L31" s="7">
        <f t="shared" si="6"/>
        <v>-88.329789221149895</v>
      </c>
      <c r="M31" s="2"/>
      <c r="N31" s="6">
        <f t="shared" si="7"/>
        <v>-6.7843194175795402E-2</v>
      </c>
      <c r="O31" s="11"/>
      <c r="P31" s="7">
        <v>9040.41</v>
      </c>
      <c r="Q31" s="2"/>
      <c r="R31" s="6">
        <f t="shared" si="8"/>
        <v>8.6588806682207239E-2</v>
      </c>
      <c r="S31" s="2"/>
      <c r="T31" s="7">
        <v>8174.5333031711298</v>
      </c>
      <c r="U31" s="2"/>
      <c r="V31" s="6">
        <f t="shared" si="9"/>
        <v>3.597740139503959E-2</v>
      </c>
      <c r="W31" s="2"/>
      <c r="X31" s="7">
        <f t="shared" si="10"/>
        <v>865.87669682887008</v>
      </c>
      <c r="Y31" s="2"/>
      <c r="Z31" s="6">
        <f t="shared" si="11"/>
        <v>0.10592368575866862</v>
      </c>
    </row>
    <row r="32" spans="1:26" s="24" customFormat="1" hidden="1" outlineLevel="2" x14ac:dyDescent="0.35">
      <c r="A32" s="29"/>
      <c r="B32" s="11" t="str">
        <f>CONCATENATE("          ", "6112", " - ", "COMPENSATION INSURANCE")</f>
        <v xml:space="preserve">          6112 - COMPENSATION INSURANCE</v>
      </c>
      <c r="C32" s="11"/>
      <c r="D32" s="7">
        <v>61.08</v>
      </c>
      <c r="E32" s="2"/>
      <c r="F32" s="6">
        <f t="shared" si="4"/>
        <v>2.0651530776122939E-3</v>
      </c>
      <c r="G32" s="2"/>
      <c r="H32" s="7">
        <v>349.98330240384598</v>
      </c>
      <c r="I32" s="2"/>
      <c r="J32" s="6">
        <f t="shared" si="5"/>
        <v>3.7232266213175105E-3</v>
      </c>
      <c r="K32" s="2"/>
      <c r="L32" s="7">
        <f t="shared" si="6"/>
        <v>-288.903302403846</v>
      </c>
      <c r="M32" s="2"/>
      <c r="N32" s="6">
        <f t="shared" si="7"/>
        <v>-0.82547738826259853</v>
      </c>
      <c r="O32" s="11"/>
      <c r="P32" s="7">
        <v>2405.0300000000002</v>
      </c>
      <c r="Q32" s="2"/>
      <c r="R32" s="6">
        <f t="shared" si="8"/>
        <v>2.303531341331963E-2</v>
      </c>
      <c r="S32" s="2"/>
      <c r="T32" s="7">
        <v>2124.2390299038457</v>
      </c>
      <c r="U32" s="2"/>
      <c r="V32" s="6">
        <f t="shared" si="9"/>
        <v>9.3491086773373252E-3</v>
      </c>
      <c r="W32" s="2"/>
      <c r="X32" s="7">
        <f t="shared" si="10"/>
        <v>280.79097009615452</v>
      </c>
      <c r="Y32" s="2"/>
      <c r="Z32" s="6">
        <f t="shared" si="11"/>
        <v>0.13218426276108136</v>
      </c>
    </row>
    <row r="33" spans="1:26" s="24" customFormat="1" hidden="1" outlineLevel="2" x14ac:dyDescent="0.35">
      <c r="A33" s="29"/>
      <c r="B33" s="11" t="str">
        <f>CONCATENATE("          ", "6113", " - ", "GROUP INSURANCE")</f>
        <v xml:space="preserve">          6113 - GROUP INSURANCE</v>
      </c>
      <c r="C33" s="11"/>
      <c r="D33" s="7">
        <v>6051.48</v>
      </c>
      <c r="E33" s="2"/>
      <c r="F33" s="6">
        <f t="shared" si="4"/>
        <v>0.20460433114127771</v>
      </c>
      <c r="G33" s="2"/>
      <c r="H33" s="7">
        <v>2645</v>
      </c>
      <c r="I33" s="2"/>
      <c r="J33" s="6">
        <f t="shared" si="5"/>
        <v>2.8138297872340425E-2</v>
      </c>
      <c r="K33" s="2"/>
      <c r="L33" s="7">
        <f t="shared" si="6"/>
        <v>3406.4799999999996</v>
      </c>
      <c r="M33" s="2"/>
      <c r="N33" s="6">
        <f t="shared" si="7"/>
        <v>1.2878941398865782</v>
      </c>
      <c r="O33" s="11"/>
      <c r="P33" s="7">
        <v>25792.809999999998</v>
      </c>
      <c r="Q33" s="2"/>
      <c r="R33" s="6">
        <f t="shared" si="8"/>
        <v>0.24704284859656828</v>
      </c>
      <c r="S33" s="2"/>
      <c r="T33" s="7">
        <v>18515</v>
      </c>
      <c r="U33" s="2"/>
      <c r="V33" s="6">
        <f t="shared" si="9"/>
        <v>8.148741489263378E-2</v>
      </c>
      <c r="W33" s="2"/>
      <c r="X33" s="7">
        <f t="shared" si="10"/>
        <v>7277.8099999999977</v>
      </c>
      <c r="Y33" s="2"/>
      <c r="Z33" s="6">
        <f t="shared" si="11"/>
        <v>0.39307642452065877</v>
      </c>
    </row>
    <row r="34" spans="1:26" s="24" customFormat="1" hidden="1" outlineLevel="2" x14ac:dyDescent="0.35">
      <c r="A34" s="29"/>
      <c r="B34" s="11" t="str">
        <f>CONCATENATE("          ", "6114", " - ", "STATE UNEMPLOYMENT INSURANCE")</f>
        <v xml:space="preserve">          6114 - STATE UNEMPLOYMENT INSURANCE</v>
      </c>
      <c r="C34" s="11"/>
      <c r="D34" s="7">
        <v>86.81</v>
      </c>
      <c r="E34" s="2"/>
      <c r="F34" s="6">
        <f t="shared" si="4"/>
        <v>2.9351005020878066E-3</v>
      </c>
      <c r="G34" s="2"/>
      <c r="H34" s="7">
        <v>54.260898500000003</v>
      </c>
      <c r="I34" s="2"/>
      <c r="J34" s="6">
        <f t="shared" si="5"/>
        <v>5.7724360106382985E-4</v>
      </c>
      <c r="K34" s="2"/>
      <c r="L34" s="7">
        <f t="shared" si="6"/>
        <v>32.549101499999999</v>
      </c>
      <c r="M34" s="2"/>
      <c r="N34" s="6">
        <f t="shared" si="7"/>
        <v>0.59986292891924742</v>
      </c>
      <c r="O34" s="11"/>
      <c r="P34" s="7">
        <v>337.99</v>
      </c>
      <c r="Q34" s="2"/>
      <c r="R34" s="6">
        <f t="shared" si="8"/>
        <v>3.2372592360876582E-3</v>
      </c>
      <c r="S34" s="2"/>
      <c r="T34" s="7">
        <v>324.74075749999997</v>
      </c>
      <c r="U34" s="2"/>
      <c r="V34" s="6">
        <f t="shared" si="9"/>
        <v>1.4292349359411652E-3</v>
      </c>
      <c r="W34" s="2"/>
      <c r="X34" s="7">
        <f t="shared" si="10"/>
        <v>13.249242500000037</v>
      </c>
      <c r="Y34" s="2"/>
      <c r="Z34" s="6">
        <f t="shared" si="11"/>
        <v>4.0799444461479518E-2</v>
      </c>
    </row>
    <row r="35" spans="1:26" s="24" customFormat="1" hidden="1" outlineLevel="2" x14ac:dyDescent="0.35">
      <c r="A35" s="29"/>
      <c r="B35" s="11" t="str">
        <f>CONCATENATE("          ", "6115", " - ", "P.E.R.S.")</f>
        <v xml:space="preserve">          6115 - P.E.R.S.</v>
      </c>
      <c r="C35" s="11"/>
      <c r="D35" s="7">
        <v>2421.6799999999998</v>
      </c>
      <c r="E35" s="2"/>
      <c r="F35" s="6">
        <f t="shared" si="4"/>
        <v>8.1878518418338889E-2</v>
      </c>
      <c r="G35" s="2"/>
      <c r="H35" s="7">
        <v>1239.9085557692301</v>
      </c>
      <c r="I35" s="2"/>
      <c r="J35" s="6">
        <f t="shared" si="5"/>
        <v>1.319051655073649E-2</v>
      </c>
      <c r="K35" s="2"/>
      <c r="L35" s="7">
        <f t="shared" si="6"/>
        <v>1181.7714442307697</v>
      </c>
      <c r="M35" s="2"/>
      <c r="N35" s="6">
        <f t="shared" si="7"/>
        <v>0.95311177484182086</v>
      </c>
      <c r="O35" s="11"/>
      <c r="P35" s="7">
        <v>12485.89</v>
      </c>
      <c r="Q35" s="2"/>
      <c r="R35" s="6">
        <f t="shared" si="8"/>
        <v>0.11958952253994062</v>
      </c>
      <c r="S35" s="2"/>
      <c r="T35" s="7">
        <v>7687.4330457692304</v>
      </c>
      <c r="U35" s="2"/>
      <c r="V35" s="6">
        <f t="shared" si="9"/>
        <v>3.3833596870642219E-2</v>
      </c>
      <c r="W35" s="2"/>
      <c r="X35" s="7">
        <f t="shared" si="10"/>
        <v>4798.456954230769</v>
      </c>
      <c r="Y35" s="2"/>
      <c r="Z35" s="6">
        <f t="shared" si="11"/>
        <v>0.62419495892345944</v>
      </c>
    </row>
    <row r="36" spans="1:26" s="24" customFormat="1" hidden="1" outlineLevel="2" x14ac:dyDescent="0.35">
      <c r="A36" s="29"/>
      <c r="B36" s="11" t="str">
        <f>CONCATENATE("          ", "6116", " - ", "EDUCATIONAL BENEFITS")</f>
        <v xml:space="preserve">          6116 - EDUCATIONAL BENEFITS</v>
      </c>
      <c r="C36" s="11"/>
      <c r="D36" s="7"/>
      <c r="E36" s="2"/>
      <c r="F36" s="6">
        <f t="shared" si="4"/>
        <v>0</v>
      </c>
      <c r="G36" s="2"/>
      <c r="H36" s="7">
        <v>0</v>
      </c>
      <c r="I36" s="2"/>
      <c r="J36" s="6">
        <f t="shared" si="5"/>
        <v>0</v>
      </c>
      <c r="K36" s="2"/>
      <c r="L36" s="7">
        <f t="shared" si="6"/>
        <v>0</v>
      </c>
      <c r="M36" s="2"/>
      <c r="N36" s="6">
        <f t="shared" si="7"/>
        <v>0</v>
      </c>
      <c r="O36" s="11"/>
      <c r="P36" s="7"/>
      <c r="Q36" s="2"/>
      <c r="R36" s="6">
        <f t="shared" si="8"/>
        <v>0</v>
      </c>
      <c r="S36" s="2"/>
      <c r="T36" s="7">
        <v>0</v>
      </c>
      <c r="U36" s="2"/>
      <c r="V36" s="6">
        <f t="shared" si="9"/>
        <v>0</v>
      </c>
      <c r="W36" s="2"/>
      <c r="X36" s="7">
        <f t="shared" si="10"/>
        <v>0</v>
      </c>
      <c r="Y36" s="2"/>
      <c r="Z36" s="6">
        <f t="shared" si="11"/>
        <v>0</v>
      </c>
    </row>
    <row r="37" spans="1:26" s="24" customFormat="1" hidden="1" outlineLevel="2" x14ac:dyDescent="0.35">
      <c r="A37" s="29"/>
      <c r="B37" s="11" t="str">
        <f>CONCATENATE("          ", "6118", " - ", "VACATION")</f>
        <v xml:space="preserve">          6118 - VACATION</v>
      </c>
      <c r="C37" s="11"/>
      <c r="D37" s="7">
        <v>1216.0999999999999</v>
      </c>
      <c r="E37" s="2"/>
      <c r="F37" s="6">
        <f t="shared" si="4"/>
        <v>4.1117103105506064E-2</v>
      </c>
      <c r="G37" s="2"/>
      <c r="H37" s="7">
        <v>1195.7663557692301</v>
      </c>
      <c r="I37" s="2"/>
      <c r="J37" s="6">
        <f t="shared" si="5"/>
        <v>1.2720918678396064E-2</v>
      </c>
      <c r="K37" s="2"/>
      <c r="L37" s="7">
        <f t="shared" si="6"/>
        <v>20.333644230769778</v>
      </c>
      <c r="M37" s="2"/>
      <c r="N37" s="6">
        <f t="shared" si="7"/>
        <v>1.7004696722453989E-2</v>
      </c>
      <c r="O37" s="11"/>
      <c r="P37" s="7">
        <v>8883.5300000000007</v>
      </c>
      <c r="Q37" s="2"/>
      <c r="R37" s="6">
        <f t="shared" si="8"/>
        <v>8.508621421214177E-2</v>
      </c>
      <c r="S37" s="2"/>
      <c r="T37" s="7">
        <v>7413.7514057692297</v>
      </c>
      <c r="U37" s="2"/>
      <c r="V37" s="6">
        <f t="shared" si="9"/>
        <v>3.262908110789977E-2</v>
      </c>
      <c r="W37" s="2"/>
      <c r="X37" s="7">
        <f t="shared" si="10"/>
        <v>1469.778594230771</v>
      </c>
      <c r="Y37" s="2"/>
      <c r="Z37" s="6">
        <f t="shared" si="11"/>
        <v>0.19825032076028598</v>
      </c>
    </row>
    <row r="38" spans="1:26" s="24" customFormat="1" hidden="1" outlineLevel="2" x14ac:dyDescent="0.35">
      <c r="A38" s="29"/>
      <c r="B38" s="11" t="str">
        <f>CONCATENATE("          ", "6119", " - ", "SICK LEAVE")</f>
        <v xml:space="preserve">          6119 - SICK LEAVE</v>
      </c>
      <c r="C38" s="11"/>
      <c r="D38" s="7">
        <v>738.5</v>
      </c>
      <c r="E38" s="2"/>
      <c r="F38" s="6">
        <f t="shared" si="4"/>
        <v>2.4969147803154533E-2</v>
      </c>
      <c r="G38" s="2"/>
      <c r="H38" s="7">
        <v>551.74547115384598</v>
      </c>
      <c r="I38" s="2"/>
      <c r="J38" s="6">
        <f t="shared" si="5"/>
        <v>5.8696326718494255E-3</v>
      </c>
      <c r="K38" s="2"/>
      <c r="L38" s="7">
        <f t="shared" si="6"/>
        <v>186.75452884615402</v>
      </c>
      <c r="M38" s="2"/>
      <c r="N38" s="6">
        <f t="shared" si="7"/>
        <v>0.33847949572762387</v>
      </c>
      <c r="O38" s="11"/>
      <c r="P38" s="7">
        <v>5432.77</v>
      </c>
      <c r="Q38" s="2"/>
      <c r="R38" s="6">
        <f t="shared" si="8"/>
        <v>5.2034926654752948E-2</v>
      </c>
      <c r="S38" s="2"/>
      <c r="T38" s="7">
        <v>3414.4319211538459</v>
      </c>
      <c r="U38" s="2"/>
      <c r="V38" s="6">
        <f t="shared" si="9"/>
        <v>1.5027449666849369E-2</v>
      </c>
      <c r="W38" s="2"/>
      <c r="X38" s="7">
        <f t="shared" si="10"/>
        <v>2018.3380788461545</v>
      </c>
      <c r="Y38" s="2"/>
      <c r="Z38" s="6">
        <f t="shared" si="11"/>
        <v>0.5911197310280808</v>
      </c>
    </row>
    <row r="39" spans="1:26" s="24" customFormat="1" hidden="1" outlineLevel="2" x14ac:dyDescent="0.35">
      <c r="A39" s="29"/>
      <c r="B39" s="11" t="str">
        <f>CONCATENATE("          ", "6156", " - ", "EMPLOYEE MEALS")</f>
        <v xml:space="preserve">          6156 - EMPLOYEE MEALS</v>
      </c>
      <c r="C39" s="11"/>
      <c r="D39" s="7">
        <v>187.06</v>
      </c>
      <c r="E39" s="2"/>
      <c r="F39" s="6">
        <f t="shared" si="4"/>
        <v>6.3246158267543495E-3</v>
      </c>
      <c r="G39" s="2"/>
      <c r="H39" s="7"/>
      <c r="I39" s="2"/>
      <c r="J39" s="6">
        <f t="shared" si="5"/>
        <v>0</v>
      </c>
      <c r="K39" s="2"/>
      <c r="L39" s="7">
        <f t="shared" si="6"/>
        <v>187.06</v>
      </c>
      <c r="M39" s="2"/>
      <c r="N39" s="6">
        <f t="shared" si="7"/>
        <v>0</v>
      </c>
      <c r="O39" s="11"/>
      <c r="P39" s="7">
        <v>2306.79</v>
      </c>
      <c r="Q39" s="2"/>
      <c r="R39" s="6">
        <f t="shared" si="8"/>
        <v>2.2094373304578981E-2</v>
      </c>
      <c r="S39" s="2"/>
      <c r="T39" s="7"/>
      <c r="U39" s="2"/>
      <c r="V39" s="6">
        <f t="shared" si="9"/>
        <v>0</v>
      </c>
      <c r="W39" s="2"/>
      <c r="X39" s="7">
        <f t="shared" si="10"/>
        <v>2306.79</v>
      </c>
      <c r="Y39" s="2"/>
      <c r="Z39" s="6">
        <f t="shared" si="11"/>
        <v>0</v>
      </c>
    </row>
    <row r="40" spans="1:26" s="28" customFormat="1" outlineLevel="1" collapsed="1" x14ac:dyDescent="0.35">
      <c r="A40" s="27"/>
      <c r="B40" s="14" t="str">
        <f>CONCATENATE("     ","*Payroll                                          ")</f>
        <v xml:space="preserve">     *Payroll                                          </v>
      </c>
      <c r="C40" s="14"/>
      <c r="D40" s="1">
        <f>SUM(OSRRefD22_1x_0)</f>
        <v>20840.240000000002</v>
      </c>
      <c r="E40" s="1"/>
      <c r="F40" s="5">
        <f t="shared" ref="F40:F50" si="12">IF(D$12=0,0,D40/D$12)</f>
        <v>0.70462157456088459</v>
      </c>
      <c r="G40" s="1"/>
      <c r="H40" s="1">
        <f>SUM(OSRRefH22_1x_0)</f>
        <v>12746.8857019231</v>
      </c>
      <c r="I40" s="1"/>
      <c r="J40" s="5">
        <f t="shared" ref="J40:J50" si="13">IF(H$12=0,0,H40/H$12)</f>
        <v>0.13560516704173511</v>
      </c>
      <c r="K40" s="1"/>
      <c r="L40" s="1">
        <f t="shared" ref="L40:L50" si="14">+D40-H40</f>
        <v>8093.3542980769016</v>
      </c>
      <c r="M40" s="1"/>
      <c r="N40" s="5">
        <f t="shared" ref="N40:N50" si="15">IF(H40=0,0,L40/H40)</f>
        <v>0.63492797278757052</v>
      </c>
      <c r="O40" s="14"/>
      <c r="P40" s="1">
        <f>SUM(OSRRefP22_1x_0)</f>
        <v>108103.56999999999</v>
      </c>
      <c r="Q40" s="1"/>
      <c r="R40" s="5">
        <f t="shared" ref="R40:R50" si="16">IF(P$12=0,0,P40/P$12)</f>
        <v>1.0354131200229257</v>
      </c>
      <c r="S40" s="1"/>
      <c r="T40" s="1">
        <f>SUM(OSRRefT22_1x_0)</f>
        <v>79030.691351923306</v>
      </c>
      <c r="U40" s="1"/>
      <c r="V40" s="5">
        <f t="shared" ref="V40:V50" si="17">IF(T$12=0,0,T40/T$12)</f>
        <v>0.34782645073971696</v>
      </c>
      <c r="W40" s="1"/>
      <c r="X40" s="1">
        <f t="shared" ref="X40:X50" si="18">+P40-T40</f>
        <v>29072.878648076687</v>
      </c>
      <c r="Y40" s="1"/>
      <c r="Z40" s="5">
        <f t="shared" ref="Z40:Z50" si="19">IF(T40=0,0,X40/T40)</f>
        <v>0.36786820601904252</v>
      </c>
    </row>
    <row r="41" spans="1:26" s="24" customFormat="1" hidden="1" outlineLevel="2" x14ac:dyDescent="0.35">
      <c r="A41" s="29"/>
      <c r="B41" s="11" t="str">
        <f>CONCATENATE("          ", "6001", " - ", "ADMINISTRATIVE SALARIES")</f>
        <v xml:space="preserve">          6001 - ADMINISTRATIVE SALARIES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4" customFormat="1" hidden="1" outlineLevel="2" x14ac:dyDescent="0.35">
      <c r="A42" s="29"/>
      <c r="B42" s="11" t="str">
        <f>CONCATENATE("          ", "6002", " - ", "STAFF SALARIES")</f>
        <v xml:space="preserve">          6002 - STAFF SALARIES</v>
      </c>
      <c r="C42" s="11"/>
      <c r="D42" s="7">
        <v>19715.72</v>
      </c>
      <c r="E42" s="2"/>
      <c r="F42" s="6">
        <f t="shared" si="12"/>
        <v>0.66660084864672975</v>
      </c>
      <c r="G42" s="2"/>
      <c r="H42" s="7">
        <v>12746.8857019231</v>
      </c>
      <c r="I42" s="2"/>
      <c r="J42" s="6">
        <f t="shared" si="13"/>
        <v>0.13560516704173511</v>
      </c>
      <c r="K42" s="2"/>
      <c r="L42" s="7">
        <f t="shared" si="14"/>
        <v>6968.8342980769012</v>
      </c>
      <c r="M42" s="2"/>
      <c r="N42" s="6">
        <f t="shared" si="15"/>
        <v>0.5467087774251812</v>
      </c>
      <c r="O42" s="11"/>
      <c r="P42" s="7">
        <v>102746.43</v>
      </c>
      <c r="Q42" s="2"/>
      <c r="R42" s="6">
        <f t="shared" si="16"/>
        <v>0.98410257549789648</v>
      </c>
      <c r="S42" s="2"/>
      <c r="T42" s="7">
        <v>79030.691351923306</v>
      </c>
      <c r="U42" s="2"/>
      <c r="V42" s="6">
        <f t="shared" si="17"/>
        <v>0.34782645073971696</v>
      </c>
      <c r="W42" s="2"/>
      <c r="X42" s="7">
        <f t="shared" si="18"/>
        <v>23715.738648076687</v>
      </c>
      <c r="Y42" s="2"/>
      <c r="Z42" s="6">
        <f t="shared" si="19"/>
        <v>0.30008264184948874</v>
      </c>
    </row>
    <row r="43" spans="1:26" s="24" customFormat="1" hidden="1" outlineLevel="2" x14ac:dyDescent="0.35">
      <c r="A43" s="29"/>
      <c r="B43" s="11" t="str">
        <f>CONCATENATE("          ", "6003", " - ", "STAFF HOURLY-9 MONTH")</f>
        <v xml:space="preserve">          6003 - STAFF HOURLY-9 MONTH</v>
      </c>
      <c r="C43" s="11"/>
      <c r="D43" s="7"/>
      <c r="E43" s="2"/>
      <c r="F43" s="6">
        <f t="shared" si="12"/>
        <v>0</v>
      </c>
      <c r="G43" s="2"/>
      <c r="H43" s="7">
        <v>0</v>
      </c>
      <c r="I43" s="2"/>
      <c r="J43" s="6">
        <f t="shared" si="13"/>
        <v>0</v>
      </c>
      <c r="K43" s="2"/>
      <c r="L43" s="7">
        <f t="shared" si="14"/>
        <v>0</v>
      </c>
      <c r="M43" s="2"/>
      <c r="N43" s="6">
        <f t="shared" si="15"/>
        <v>0</v>
      </c>
      <c r="O43" s="11"/>
      <c r="P43" s="7"/>
      <c r="Q43" s="2"/>
      <c r="R43" s="6">
        <f t="shared" si="16"/>
        <v>0</v>
      </c>
      <c r="S43" s="2"/>
      <c r="T43" s="7">
        <v>0</v>
      </c>
      <c r="U43" s="2"/>
      <c r="V43" s="6">
        <f t="shared" si="17"/>
        <v>0</v>
      </c>
      <c r="W43" s="2"/>
      <c r="X43" s="7">
        <f t="shared" si="18"/>
        <v>0</v>
      </c>
      <c r="Y43" s="2"/>
      <c r="Z43" s="6">
        <f t="shared" si="19"/>
        <v>0</v>
      </c>
    </row>
    <row r="44" spans="1:26" s="24" customFormat="1" hidden="1" outlineLevel="2" x14ac:dyDescent="0.35">
      <c r="A44" s="29"/>
      <c r="B44" s="11" t="str">
        <f>CONCATENATE("          ", "6004", " - ", "STAFF HOURLY")</f>
        <v xml:space="preserve">          6004 - STAFF HOURLY</v>
      </c>
      <c r="C44" s="11"/>
      <c r="D44" s="7"/>
      <c r="E44" s="2"/>
      <c r="F44" s="6">
        <f t="shared" si="12"/>
        <v>0</v>
      </c>
      <c r="G44" s="2"/>
      <c r="H44" s="7">
        <v>0</v>
      </c>
      <c r="I44" s="2"/>
      <c r="J44" s="6">
        <f t="shared" si="13"/>
        <v>0</v>
      </c>
      <c r="K44" s="2"/>
      <c r="L44" s="7">
        <f t="shared" si="14"/>
        <v>0</v>
      </c>
      <c r="M44" s="2"/>
      <c r="N44" s="6">
        <f t="shared" si="15"/>
        <v>0</v>
      </c>
      <c r="O44" s="11"/>
      <c r="P44" s="7"/>
      <c r="Q44" s="2"/>
      <c r="R44" s="6">
        <f t="shared" si="16"/>
        <v>0</v>
      </c>
      <c r="S44" s="2"/>
      <c r="T44" s="7">
        <v>0</v>
      </c>
      <c r="U44" s="2"/>
      <c r="V44" s="6">
        <f t="shared" si="17"/>
        <v>0</v>
      </c>
      <c r="W44" s="2"/>
      <c r="X44" s="7">
        <f t="shared" si="18"/>
        <v>0</v>
      </c>
      <c r="Y44" s="2"/>
      <c r="Z44" s="6">
        <f t="shared" si="19"/>
        <v>0</v>
      </c>
    </row>
    <row r="45" spans="1:26" s="24" customFormat="1" hidden="1" outlineLevel="2" x14ac:dyDescent="0.35">
      <c r="A45" s="29"/>
      <c r="B45" s="11" t="str">
        <f>CONCATENATE("          ", "6005", " - ", "TEMPORARY WAGES-HOURLY")</f>
        <v xml:space="preserve">          6005 - TEMPORARY WAGES-HOURLY</v>
      </c>
      <c r="C45" s="11"/>
      <c r="D45" s="7"/>
      <c r="E45" s="2"/>
      <c r="F45" s="6">
        <f t="shared" si="12"/>
        <v>0</v>
      </c>
      <c r="G45" s="2"/>
      <c r="H45" s="7">
        <v>0</v>
      </c>
      <c r="I45" s="2"/>
      <c r="J45" s="6">
        <f t="shared" si="13"/>
        <v>0</v>
      </c>
      <c r="K45" s="2"/>
      <c r="L45" s="7">
        <f t="shared" si="14"/>
        <v>0</v>
      </c>
      <c r="M45" s="2"/>
      <c r="N45" s="6">
        <f t="shared" si="15"/>
        <v>0</v>
      </c>
      <c r="O45" s="11"/>
      <c r="P45" s="7">
        <v>383.25</v>
      </c>
      <c r="Q45" s="2"/>
      <c r="R45" s="6">
        <f t="shared" si="16"/>
        <v>3.6707583130583597E-3</v>
      </c>
      <c r="S45" s="2"/>
      <c r="T45" s="7">
        <v>0</v>
      </c>
      <c r="U45" s="2"/>
      <c r="V45" s="6">
        <f t="shared" si="17"/>
        <v>0</v>
      </c>
      <c r="W45" s="2"/>
      <c r="X45" s="7">
        <f t="shared" si="18"/>
        <v>383.25</v>
      </c>
      <c r="Y45" s="2"/>
      <c r="Z45" s="6">
        <f t="shared" si="19"/>
        <v>0</v>
      </c>
    </row>
    <row r="46" spans="1:26" s="24" customFormat="1" hidden="1" outlineLevel="2" x14ac:dyDescent="0.35">
      <c r="A46" s="29"/>
      <c r="B46" s="11" t="str">
        <f>CONCATENATE("          ", "6006", " - ", "TEMPORARY PART TIME")</f>
        <v xml:space="preserve">          6006 - TEMPORARY PART TIME</v>
      </c>
      <c r="C46" s="11"/>
      <c r="D46" s="7"/>
      <c r="E46" s="2"/>
      <c r="F46" s="6">
        <f t="shared" si="12"/>
        <v>0</v>
      </c>
      <c r="G46" s="2"/>
      <c r="H46" s="7">
        <v>0</v>
      </c>
      <c r="I46" s="2"/>
      <c r="J46" s="6">
        <f t="shared" si="13"/>
        <v>0</v>
      </c>
      <c r="K46" s="2"/>
      <c r="L46" s="7">
        <f t="shared" si="14"/>
        <v>0</v>
      </c>
      <c r="M46" s="2"/>
      <c r="N46" s="6">
        <f t="shared" si="15"/>
        <v>0</v>
      </c>
      <c r="O46" s="11"/>
      <c r="P46" s="7"/>
      <c r="Q46" s="2"/>
      <c r="R46" s="6">
        <f t="shared" si="16"/>
        <v>0</v>
      </c>
      <c r="S46" s="2"/>
      <c r="T46" s="7">
        <v>0</v>
      </c>
      <c r="U46" s="2"/>
      <c r="V46" s="6">
        <f t="shared" si="17"/>
        <v>0</v>
      </c>
      <c r="W46" s="2"/>
      <c r="X46" s="7">
        <f t="shared" si="18"/>
        <v>0</v>
      </c>
      <c r="Y46" s="2"/>
      <c r="Z46" s="6">
        <f t="shared" si="19"/>
        <v>0</v>
      </c>
    </row>
    <row r="47" spans="1:26" s="24" customFormat="1" hidden="1" outlineLevel="2" x14ac:dyDescent="0.35">
      <c r="A47" s="29"/>
      <c r="B47" s="11" t="str">
        <f>CONCATENATE("          ", "6007", " - ", "STUDENT HOURLY")</f>
        <v xml:space="preserve">          6007 - STUDENT HOURLY</v>
      </c>
      <c r="C47" s="11"/>
      <c r="D47" s="7">
        <v>1124.52</v>
      </c>
      <c r="E47" s="2"/>
      <c r="F47" s="6">
        <f t="shared" si="12"/>
        <v>3.802072591415482E-2</v>
      </c>
      <c r="G47" s="2"/>
      <c r="H47" s="7">
        <v>0</v>
      </c>
      <c r="I47" s="2"/>
      <c r="J47" s="6">
        <f t="shared" si="13"/>
        <v>0</v>
      </c>
      <c r="K47" s="2"/>
      <c r="L47" s="7">
        <f t="shared" si="14"/>
        <v>1124.52</v>
      </c>
      <c r="M47" s="2"/>
      <c r="N47" s="6">
        <f t="shared" si="15"/>
        <v>0</v>
      </c>
      <c r="O47" s="11"/>
      <c r="P47" s="7">
        <v>4973.8900000000003</v>
      </c>
      <c r="Q47" s="2"/>
      <c r="R47" s="6">
        <f t="shared" si="16"/>
        <v>4.7639786211970896E-2</v>
      </c>
      <c r="S47" s="2"/>
      <c r="T47" s="7">
        <v>0</v>
      </c>
      <c r="U47" s="2"/>
      <c r="V47" s="6">
        <f t="shared" si="17"/>
        <v>0</v>
      </c>
      <c r="W47" s="2"/>
      <c r="X47" s="7">
        <f t="shared" si="18"/>
        <v>4973.8900000000003</v>
      </c>
      <c r="Y47" s="2"/>
      <c r="Z47" s="6">
        <f t="shared" si="19"/>
        <v>0</v>
      </c>
    </row>
    <row r="48" spans="1:26" s="24" customFormat="1" hidden="1" outlineLevel="2" x14ac:dyDescent="0.35">
      <c r="A48" s="29"/>
      <c r="B48" s="11" t="str">
        <f>CONCATENATE("          ", "6008", " - ", "STUDENT HOURLY-FICA EXEMPT")</f>
        <v xml:space="preserve">          6008 - STUDENT HOURLY-FICA EXEMPT</v>
      </c>
      <c r="C48" s="11"/>
      <c r="D48" s="7"/>
      <c r="E48" s="2"/>
      <c r="F48" s="6">
        <f t="shared" si="12"/>
        <v>0</v>
      </c>
      <c r="G48" s="2"/>
      <c r="H48" s="7">
        <v>0</v>
      </c>
      <c r="I48" s="2"/>
      <c r="J48" s="6">
        <f t="shared" si="13"/>
        <v>0</v>
      </c>
      <c r="K48" s="2"/>
      <c r="L48" s="7">
        <f t="shared" si="14"/>
        <v>0</v>
      </c>
      <c r="M48" s="2"/>
      <c r="N48" s="6">
        <f t="shared" si="15"/>
        <v>0</v>
      </c>
      <c r="O48" s="11"/>
      <c r="P48" s="7"/>
      <c r="Q48" s="2"/>
      <c r="R48" s="6">
        <f t="shared" si="16"/>
        <v>0</v>
      </c>
      <c r="S48" s="2"/>
      <c r="T48" s="7">
        <v>0</v>
      </c>
      <c r="U48" s="2"/>
      <c r="V48" s="6">
        <f t="shared" si="17"/>
        <v>0</v>
      </c>
      <c r="W48" s="2"/>
      <c r="X48" s="7">
        <f t="shared" si="18"/>
        <v>0</v>
      </c>
      <c r="Y48" s="2"/>
      <c r="Z48" s="6">
        <f t="shared" si="19"/>
        <v>0</v>
      </c>
    </row>
    <row r="49" spans="1:26" s="24" customFormat="1" hidden="1" outlineLevel="2" x14ac:dyDescent="0.35">
      <c r="A49" s="29"/>
      <c r="B49" s="11" t="str">
        <f>CONCATENATE("          ", "6009", " - ", "TEMPORARY-SEASONAL")</f>
        <v xml:space="preserve">          6009 - TEMPORARY-SEASONAL</v>
      </c>
      <c r="C49" s="11"/>
      <c r="D49" s="7"/>
      <c r="E49" s="2"/>
      <c r="F49" s="6">
        <f t="shared" si="12"/>
        <v>0</v>
      </c>
      <c r="G49" s="2"/>
      <c r="H49" s="7">
        <v>0</v>
      </c>
      <c r="I49" s="2"/>
      <c r="J49" s="6">
        <f t="shared" si="13"/>
        <v>0</v>
      </c>
      <c r="K49" s="2"/>
      <c r="L49" s="7">
        <f t="shared" si="14"/>
        <v>0</v>
      </c>
      <c r="M49" s="2"/>
      <c r="N49" s="6">
        <f t="shared" si="15"/>
        <v>0</v>
      </c>
      <c r="O49" s="11"/>
      <c r="P49" s="7"/>
      <c r="Q49" s="2"/>
      <c r="R49" s="6">
        <f t="shared" si="16"/>
        <v>0</v>
      </c>
      <c r="S49" s="2"/>
      <c r="T49" s="7">
        <v>0</v>
      </c>
      <c r="U49" s="2"/>
      <c r="V49" s="6">
        <f t="shared" si="17"/>
        <v>0</v>
      </c>
      <c r="W49" s="2"/>
      <c r="X49" s="7">
        <f t="shared" si="18"/>
        <v>0</v>
      </c>
      <c r="Y49" s="2"/>
      <c r="Z49" s="6">
        <f t="shared" si="19"/>
        <v>0</v>
      </c>
    </row>
    <row r="50" spans="1:26" s="24" customFormat="1" hidden="1" outlineLevel="2" x14ac:dyDescent="0.35">
      <c r="A50" s="29"/>
      <c r="B50" s="11" t="str">
        <f>CONCATENATE("          ", "6010", " - ", "GRATUITY")</f>
        <v xml:space="preserve">          6010 - GRATUITY</v>
      </c>
      <c r="C50" s="11"/>
      <c r="D50" s="7"/>
      <c r="E50" s="2"/>
      <c r="F50" s="6">
        <f t="shared" si="12"/>
        <v>0</v>
      </c>
      <c r="G50" s="2"/>
      <c r="H50" s="7">
        <v>0</v>
      </c>
      <c r="I50" s="2"/>
      <c r="J50" s="6">
        <f t="shared" si="13"/>
        <v>0</v>
      </c>
      <c r="K50" s="2"/>
      <c r="L50" s="7">
        <f t="shared" si="14"/>
        <v>0</v>
      </c>
      <c r="M50" s="2"/>
      <c r="N50" s="6">
        <f t="shared" si="15"/>
        <v>0</v>
      </c>
      <c r="O50" s="11"/>
      <c r="P50" s="7"/>
      <c r="Q50" s="2"/>
      <c r="R50" s="6">
        <f t="shared" si="16"/>
        <v>0</v>
      </c>
      <c r="S50" s="2"/>
      <c r="T50" s="7">
        <v>0</v>
      </c>
      <c r="U50" s="2"/>
      <c r="V50" s="6">
        <f t="shared" si="17"/>
        <v>0</v>
      </c>
      <c r="W50" s="2"/>
      <c r="X50" s="7">
        <f t="shared" si="18"/>
        <v>0</v>
      </c>
      <c r="Y50" s="2"/>
      <c r="Z50" s="6">
        <f t="shared" si="19"/>
        <v>0</v>
      </c>
    </row>
    <row r="51" spans="1:26" s="28" customFormat="1" outlineLevel="1" collapsed="1" x14ac:dyDescent="0.35">
      <c r="A51" s="27"/>
      <c r="B51" s="14" t="str">
        <f>CONCATENATE("     ","Advertising/Promo                                 ")</f>
        <v xml:space="preserve">     Advertising/Promo                                 </v>
      </c>
      <c r="C51" s="14"/>
      <c r="D51" s="1">
        <f>SUM(OSRRefD22_2x_0)</f>
        <v>0</v>
      </c>
      <c r="E51" s="1"/>
      <c r="F51" s="5">
        <f t="shared" ref="F51:F61" si="20">IF(D$12=0,0,D51/D$12)</f>
        <v>0</v>
      </c>
      <c r="G51" s="1"/>
      <c r="H51" s="1">
        <f>SUM(OSRRefH22_2x_0)</f>
        <v>50</v>
      </c>
      <c r="I51" s="1"/>
      <c r="J51" s="5">
        <f t="shared" ref="J51:J61" si="21">IF(H$12=0,0,H51/H$12)</f>
        <v>5.3191489361702129E-4</v>
      </c>
      <c r="K51" s="1"/>
      <c r="L51" s="1">
        <f t="shared" ref="L51:L61" si="22">+D51-H51</f>
        <v>-50</v>
      </c>
      <c r="M51" s="1"/>
      <c r="N51" s="5">
        <f t="shared" ref="N51:N61" si="23">IF(H51=0,0,L51/H51)</f>
        <v>-1</v>
      </c>
      <c r="O51" s="14"/>
      <c r="P51" s="1">
        <f>SUM(OSRRefP22_2x_0)</f>
        <v>0</v>
      </c>
      <c r="Q51" s="1"/>
      <c r="R51" s="5">
        <f t="shared" ref="R51:R61" si="24">IF(P$12=0,0,P51/P$12)</f>
        <v>0</v>
      </c>
      <c r="S51" s="1"/>
      <c r="T51" s="1">
        <f>SUM(OSRRefT22_2x_0)</f>
        <v>350</v>
      </c>
      <c r="U51" s="1"/>
      <c r="V51" s="5">
        <f t="shared" ref="V51:V61" si="25">IF(T$12=0,0,T51/T$12)</f>
        <v>1.5404048183862719E-3</v>
      </c>
      <c r="W51" s="1"/>
      <c r="X51" s="1">
        <f t="shared" ref="X51:X61" si="26">+P51-T51</f>
        <v>-350</v>
      </c>
      <c r="Y51" s="1"/>
      <c r="Z51" s="5">
        <f t="shared" ref="Z51:Z61" si="27">IF(T51=0,0,X51/T51)</f>
        <v>-1</v>
      </c>
    </row>
    <row r="52" spans="1:26" s="24" customFormat="1" hidden="1" outlineLevel="2" x14ac:dyDescent="0.35">
      <c r="A52" s="29"/>
      <c r="B52" s="11" t="str">
        <f>CONCATENATE("          ", "6362", " - ", "ADVERTISING EXPENSE")</f>
        <v xml:space="preserve">          6362 - ADVERTISING EXPENSE</v>
      </c>
      <c r="C52" s="11"/>
      <c r="D52" s="7"/>
      <c r="E52" s="2"/>
      <c r="F52" s="6">
        <f t="shared" si="20"/>
        <v>0</v>
      </c>
      <c r="G52" s="2"/>
      <c r="H52" s="7">
        <v>50</v>
      </c>
      <c r="I52" s="2"/>
      <c r="J52" s="6">
        <f t="shared" si="21"/>
        <v>5.3191489361702129E-4</v>
      </c>
      <c r="K52" s="2"/>
      <c r="L52" s="7">
        <f t="shared" si="22"/>
        <v>-50</v>
      </c>
      <c r="M52" s="2"/>
      <c r="N52" s="6">
        <f t="shared" si="23"/>
        <v>-1</v>
      </c>
      <c r="O52" s="11"/>
      <c r="P52" s="7"/>
      <c r="Q52" s="2"/>
      <c r="R52" s="6">
        <f t="shared" si="24"/>
        <v>0</v>
      </c>
      <c r="S52" s="2"/>
      <c r="T52" s="7">
        <v>350</v>
      </c>
      <c r="U52" s="2"/>
      <c r="V52" s="6">
        <f t="shared" si="25"/>
        <v>1.5404048183862719E-3</v>
      </c>
      <c r="W52" s="2"/>
      <c r="X52" s="7">
        <f t="shared" si="26"/>
        <v>-350</v>
      </c>
      <c r="Y52" s="2"/>
      <c r="Z52" s="6">
        <f t="shared" si="27"/>
        <v>-1</v>
      </c>
    </row>
    <row r="53" spans="1:26" s="28" customFormat="1" outlineLevel="1" collapsed="1" x14ac:dyDescent="0.35">
      <c r="A53" s="27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SUM(OSRRefD22_3x_0)</f>
        <v>169.88</v>
      </c>
      <c r="E53" s="1"/>
      <c r="F53" s="5">
        <f t="shared" si="20"/>
        <v>5.743749260392542E-3</v>
      </c>
      <c r="G53" s="1"/>
      <c r="H53" s="1">
        <f>SUM(OSRRefH22_3x_0)</f>
        <v>170</v>
      </c>
      <c r="I53" s="1"/>
      <c r="J53" s="5">
        <f t="shared" si="21"/>
        <v>1.8085106382978724E-3</v>
      </c>
      <c r="K53" s="1"/>
      <c r="L53" s="1">
        <f t="shared" si="22"/>
        <v>-0.12000000000000455</v>
      </c>
      <c r="M53" s="1"/>
      <c r="N53" s="5">
        <f t="shared" si="23"/>
        <v>-7.0588235294120319E-4</v>
      </c>
      <c r="O53" s="14"/>
      <c r="P53" s="1">
        <f>SUM(OSRRefP22_3x_0)</f>
        <v>1189.1600000000001</v>
      </c>
      <c r="Q53" s="1"/>
      <c r="R53" s="5">
        <f t="shared" si="24"/>
        <v>1.1389742871641174E-2</v>
      </c>
      <c r="S53" s="1"/>
      <c r="T53" s="1">
        <f>SUM(OSRRefT22_3x_0)</f>
        <v>1190</v>
      </c>
      <c r="U53" s="1"/>
      <c r="V53" s="5">
        <f t="shared" si="25"/>
        <v>5.2373763825133242E-3</v>
      </c>
      <c r="W53" s="1"/>
      <c r="X53" s="1">
        <f t="shared" si="26"/>
        <v>-0.83999999999991815</v>
      </c>
      <c r="Y53" s="1"/>
      <c r="Z53" s="5">
        <f t="shared" si="27"/>
        <v>-7.0588235294110767E-4</v>
      </c>
    </row>
    <row r="54" spans="1:26" s="24" customFormat="1" hidden="1" outlineLevel="2" x14ac:dyDescent="0.35">
      <c r="A54" s="29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169.88</v>
      </c>
      <c r="E54" s="2"/>
      <c r="F54" s="6">
        <f t="shared" si="20"/>
        <v>5.743749260392542E-3</v>
      </c>
      <c r="G54" s="2"/>
      <c r="H54" s="7">
        <v>170</v>
      </c>
      <c r="I54" s="2"/>
      <c r="J54" s="6">
        <f t="shared" si="21"/>
        <v>1.8085106382978724E-3</v>
      </c>
      <c r="K54" s="2"/>
      <c r="L54" s="7">
        <f t="shared" si="22"/>
        <v>-0.12000000000000455</v>
      </c>
      <c r="M54" s="2"/>
      <c r="N54" s="6">
        <f t="shared" si="23"/>
        <v>-7.0588235294120319E-4</v>
      </c>
      <c r="O54" s="11"/>
      <c r="P54" s="7">
        <v>1189.1600000000001</v>
      </c>
      <c r="Q54" s="2"/>
      <c r="R54" s="6">
        <f t="shared" si="24"/>
        <v>1.1389742871641174E-2</v>
      </c>
      <c r="S54" s="2"/>
      <c r="T54" s="7">
        <v>1190</v>
      </c>
      <c r="U54" s="2"/>
      <c r="V54" s="6">
        <f t="shared" si="25"/>
        <v>5.2373763825133242E-3</v>
      </c>
      <c r="W54" s="2"/>
      <c r="X54" s="7">
        <f t="shared" si="26"/>
        <v>-0.83999999999991815</v>
      </c>
      <c r="Y54" s="2"/>
      <c r="Z54" s="6">
        <f t="shared" si="27"/>
        <v>-7.0588235294110767E-4</v>
      </c>
    </row>
    <row r="55" spans="1:26" s="28" customFormat="1" outlineLevel="1" collapsed="1" x14ac:dyDescent="0.35">
      <c r="A55" s="27"/>
      <c r="B55" s="14" t="str">
        <f>CONCATENATE("     ","Discounts and Markdowns                           ")</f>
        <v xml:space="preserve">     Discounts and Markdowns                           </v>
      </c>
      <c r="C55" s="14"/>
      <c r="D55" s="1">
        <f>SUM(OSRRefD22_4x_0)</f>
        <v>0</v>
      </c>
      <c r="E55" s="1"/>
      <c r="F55" s="5">
        <f t="shared" si="20"/>
        <v>0</v>
      </c>
      <c r="G55" s="1"/>
      <c r="H55" s="1">
        <f>SUM(OSRRefH22_4x_0)</f>
        <v>50</v>
      </c>
      <c r="I55" s="1"/>
      <c r="J55" s="5">
        <f t="shared" si="21"/>
        <v>5.3191489361702129E-4</v>
      </c>
      <c r="K55" s="1"/>
      <c r="L55" s="1">
        <f t="shared" si="22"/>
        <v>-50</v>
      </c>
      <c r="M55" s="1"/>
      <c r="N55" s="5">
        <f t="shared" si="23"/>
        <v>-1</v>
      </c>
      <c r="O55" s="14"/>
      <c r="P55" s="1">
        <f>SUM(OSRRefP22_4x_0)</f>
        <v>0</v>
      </c>
      <c r="Q55" s="1"/>
      <c r="R55" s="5">
        <f t="shared" si="24"/>
        <v>0</v>
      </c>
      <c r="S55" s="1"/>
      <c r="T55" s="1">
        <f>SUM(OSRRefT22_4x_0)</f>
        <v>350</v>
      </c>
      <c r="U55" s="1"/>
      <c r="V55" s="5">
        <f t="shared" si="25"/>
        <v>1.5404048183862719E-3</v>
      </c>
      <c r="W55" s="1"/>
      <c r="X55" s="1">
        <f t="shared" si="26"/>
        <v>-350</v>
      </c>
      <c r="Y55" s="1"/>
      <c r="Z55" s="5">
        <f t="shared" si="27"/>
        <v>-1</v>
      </c>
    </row>
    <row r="56" spans="1:26" s="24" customFormat="1" hidden="1" outlineLevel="2" x14ac:dyDescent="0.35">
      <c r="A56" s="29"/>
      <c r="B56" s="11" t="str">
        <f>CONCATENATE("          ", "6382", " - ", "DISCOUNTS/MARK DOWNS")</f>
        <v xml:space="preserve">          6382 - DISCOUNTS/MARK DOWNS</v>
      </c>
      <c r="C56" s="11"/>
      <c r="D56" s="7"/>
      <c r="E56" s="2"/>
      <c r="F56" s="6">
        <f t="shared" si="20"/>
        <v>0</v>
      </c>
      <c r="G56" s="2"/>
      <c r="H56" s="7">
        <v>50</v>
      </c>
      <c r="I56" s="2"/>
      <c r="J56" s="6">
        <f t="shared" si="21"/>
        <v>5.3191489361702129E-4</v>
      </c>
      <c r="K56" s="2"/>
      <c r="L56" s="7">
        <f t="shared" si="22"/>
        <v>-50</v>
      </c>
      <c r="M56" s="2"/>
      <c r="N56" s="6">
        <f t="shared" si="23"/>
        <v>-1</v>
      </c>
      <c r="O56" s="11"/>
      <c r="P56" s="7"/>
      <c r="Q56" s="2"/>
      <c r="R56" s="6">
        <f t="shared" si="24"/>
        <v>0</v>
      </c>
      <c r="S56" s="2"/>
      <c r="T56" s="7">
        <v>350</v>
      </c>
      <c r="U56" s="2"/>
      <c r="V56" s="6">
        <f t="shared" si="25"/>
        <v>1.5404048183862719E-3</v>
      </c>
      <c r="W56" s="2"/>
      <c r="X56" s="7">
        <f t="shared" si="26"/>
        <v>-350</v>
      </c>
      <c r="Y56" s="2"/>
      <c r="Z56" s="6">
        <f t="shared" si="27"/>
        <v>-1</v>
      </c>
    </row>
    <row r="57" spans="1:26" s="28" customFormat="1" outlineLevel="1" collapsed="1" x14ac:dyDescent="0.35">
      <c r="A57" s="27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SUM(OSRRefD22_5x_0)</f>
        <v>1205.6400000000001</v>
      </c>
      <c r="E57" s="1"/>
      <c r="F57" s="5">
        <f t="shared" si="20"/>
        <v>4.0763443950433631E-2</v>
      </c>
      <c r="G57" s="1"/>
      <c r="H57" s="1">
        <f>SUM(OSRRefH22_5x_0)</f>
        <v>1206</v>
      </c>
      <c r="I57" s="1"/>
      <c r="J57" s="5">
        <f t="shared" si="21"/>
        <v>1.2829787234042553E-2</v>
      </c>
      <c r="K57" s="1"/>
      <c r="L57" s="1">
        <f t="shared" si="22"/>
        <v>-0.35999999999989996</v>
      </c>
      <c r="M57" s="1"/>
      <c r="N57" s="5">
        <f t="shared" si="23"/>
        <v>-2.9850746268648423E-4</v>
      </c>
      <c r="O57" s="14"/>
      <c r="P57" s="1">
        <f>SUM(OSRRefP22_5x_0)</f>
        <v>8439.48</v>
      </c>
      <c r="Q57" s="1"/>
      <c r="R57" s="5">
        <f t="shared" si="24"/>
        <v>8.0833115115172258E-2</v>
      </c>
      <c r="S57" s="1"/>
      <c r="T57" s="1">
        <f>SUM(OSRRefT22_5x_0)</f>
        <v>8442</v>
      </c>
      <c r="U57" s="1"/>
      <c r="V57" s="5">
        <f t="shared" si="25"/>
        <v>3.7154564219476875E-2</v>
      </c>
      <c r="W57" s="1"/>
      <c r="X57" s="1">
        <f t="shared" si="26"/>
        <v>-2.5200000000004366</v>
      </c>
      <c r="Y57" s="1"/>
      <c r="Z57" s="5">
        <f t="shared" si="27"/>
        <v>-2.9850746268661888E-4</v>
      </c>
    </row>
    <row r="58" spans="1:26" s="24" customFormat="1" hidden="1" outlineLevel="2" x14ac:dyDescent="0.35">
      <c r="A58" s="29"/>
      <c r="B58" s="11" t="str">
        <f>CONCATENATE("          ", "6351", " - ", "EQUIPMENT RENTAL")</f>
        <v xml:space="preserve">          6351 - EQUIPMENT RENTAL</v>
      </c>
      <c r="C58" s="11"/>
      <c r="D58" s="7">
        <v>1205.6400000000001</v>
      </c>
      <c r="E58" s="2"/>
      <c r="F58" s="6">
        <f t="shared" si="20"/>
        <v>4.0763443950433631E-2</v>
      </c>
      <c r="G58" s="2"/>
      <c r="H58" s="7">
        <v>1206</v>
      </c>
      <c r="I58" s="2"/>
      <c r="J58" s="6">
        <f t="shared" si="21"/>
        <v>1.2829787234042553E-2</v>
      </c>
      <c r="K58" s="2"/>
      <c r="L58" s="7">
        <f t="shared" si="22"/>
        <v>-0.35999999999989996</v>
      </c>
      <c r="M58" s="2"/>
      <c r="N58" s="6">
        <f t="shared" si="23"/>
        <v>-2.9850746268648423E-4</v>
      </c>
      <c r="O58" s="11"/>
      <c r="P58" s="7">
        <v>8439.48</v>
      </c>
      <c r="Q58" s="2"/>
      <c r="R58" s="6">
        <f t="shared" si="24"/>
        <v>8.0833115115172258E-2</v>
      </c>
      <c r="S58" s="2"/>
      <c r="T58" s="7">
        <v>8442</v>
      </c>
      <c r="U58" s="2"/>
      <c r="V58" s="6">
        <f t="shared" si="25"/>
        <v>3.7154564219476875E-2</v>
      </c>
      <c r="W58" s="2"/>
      <c r="X58" s="7">
        <f t="shared" si="26"/>
        <v>-2.5200000000004366</v>
      </c>
      <c r="Y58" s="2"/>
      <c r="Z58" s="6">
        <f t="shared" si="27"/>
        <v>-2.9850746268661888E-4</v>
      </c>
    </row>
    <row r="59" spans="1:26" s="28" customFormat="1" outlineLevel="1" collapsed="1" x14ac:dyDescent="0.35">
      <c r="A59" s="27"/>
      <c r="B59" s="14" t="str">
        <f>CONCATENATE("     ","Freight out/Postage                               ")</f>
        <v xml:space="preserve">     Freight out/Postage                               </v>
      </c>
      <c r="C59" s="14"/>
      <c r="D59" s="1">
        <f>SUM(OSRRefD22_6x_0)</f>
        <v>-23491.679999999997</v>
      </c>
      <c r="E59" s="1"/>
      <c r="F59" s="5">
        <f t="shared" si="20"/>
        <v>-0.79426842256521224</v>
      </c>
      <c r="G59" s="1"/>
      <c r="H59" s="1">
        <f>SUM(OSRRefH22_6x_0)</f>
        <v>-13800</v>
      </c>
      <c r="I59" s="1"/>
      <c r="J59" s="5">
        <f t="shared" si="21"/>
        <v>-0.14680851063829786</v>
      </c>
      <c r="K59" s="1"/>
      <c r="L59" s="1">
        <f t="shared" si="22"/>
        <v>-9691.6799999999967</v>
      </c>
      <c r="M59" s="1"/>
      <c r="N59" s="5">
        <f t="shared" si="23"/>
        <v>0.70229565217391277</v>
      </c>
      <c r="O59" s="14"/>
      <c r="P59" s="1">
        <f>SUM(OSRRefP22_6x_0)</f>
        <v>-48225.559999999969</v>
      </c>
      <c r="Q59" s="1"/>
      <c r="R59" s="5">
        <f t="shared" si="24"/>
        <v>-0.46190313182490439</v>
      </c>
      <c r="S59" s="1"/>
      <c r="T59" s="1">
        <f>SUM(OSRRefT22_6x_0)</f>
        <v>25510</v>
      </c>
      <c r="U59" s="1"/>
      <c r="V59" s="5">
        <f t="shared" si="25"/>
        <v>0.11227350547723942</v>
      </c>
      <c r="W59" s="1"/>
      <c r="X59" s="1">
        <f t="shared" si="26"/>
        <v>-73735.559999999969</v>
      </c>
      <c r="Y59" s="1"/>
      <c r="Z59" s="5">
        <f t="shared" si="27"/>
        <v>-2.8904570756566041</v>
      </c>
    </row>
    <row r="60" spans="1:26" s="24" customFormat="1" hidden="1" outlineLevel="2" x14ac:dyDescent="0.35">
      <c r="A60" s="29"/>
      <c r="B60" s="11" t="str">
        <f>CONCATENATE("          ", "6305", " - ", "FREIGHT OUT")</f>
        <v xml:space="preserve">          6305 - FREIGHT OUT</v>
      </c>
      <c r="C60" s="11"/>
      <c r="D60" s="7">
        <v>18016.990000000002</v>
      </c>
      <c r="E60" s="2"/>
      <c r="F60" s="6">
        <f t="shared" si="20"/>
        <v>0.60916572278667203</v>
      </c>
      <c r="G60" s="2"/>
      <c r="H60" s="7">
        <v>2200</v>
      </c>
      <c r="I60" s="2"/>
      <c r="J60" s="6">
        <f t="shared" si="21"/>
        <v>2.3404255319148935E-2</v>
      </c>
      <c r="K60" s="2"/>
      <c r="L60" s="7">
        <f t="shared" si="22"/>
        <v>15816.990000000002</v>
      </c>
      <c r="M60" s="2"/>
      <c r="N60" s="6">
        <f t="shared" si="23"/>
        <v>7.1895409090909101</v>
      </c>
      <c r="O60" s="11"/>
      <c r="P60" s="7">
        <v>126079.23000000001</v>
      </c>
      <c r="Q60" s="2"/>
      <c r="R60" s="6">
        <f t="shared" si="24"/>
        <v>1.2075835137025361</v>
      </c>
      <c r="S60" s="2"/>
      <c r="T60" s="7">
        <v>22260</v>
      </c>
      <c r="U60" s="2"/>
      <c r="V60" s="6">
        <f t="shared" si="25"/>
        <v>9.7969746449366887E-2</v>
      </c>
      <c r="W60" s="2"/>
      <c r="X60" s="7">
        <f t="shared" si="26"/>
        <v>103819.23000000001</v>
      </c>
      <c r="Y60" s="2"/>
      <c r="Z60" s="6">
        <f t="shared" si="27"/>
        <v>4.6639366576819414</v>
      </c>
    </row>
    <row r="61" spans="1:26" s="24" customFormat="1" hidden="1" outlineLevel="2" x14ac:dyDescent="0.35">
      <c r="A61" s="29"/>
      <c r="B61" s="11" t="str">
        <f>CONCATENATE("          ", "6307", " - ", "POSTAGE")</f>
        <v xml:space="preserve">          6307 - POSTAGE</v>
      </c>
      <c r="C61" s="11"/>
      <c r="D61" s="7">
        <v>-41508.67</v>
      </c>
      <c r="E61" s="2"/>
      <c r="F61" s="6">
        <f t="shared" si="20"/>
        <v>-1.4034341453518842</v>
      </c>
      <c r="G61" s="2"/>
      <c r="H61" s="7">
        <v>-16000</v>
      </c>
      <c r="I61" s="2"/>
      <c r="J61" s="6">
        <f t="shared" si="21"/>
        <v>-0.1702127659574468</v>
      </c>
      <c r="K61" s="2"/>
      <c r="L61" s="7">
        <f t="shared" si="22"/>
        <v>-25508.67</v>
      </c>
      <c r="M61" s="2"/>
      <c r="N61" s="6">
        <f t="shared" si="23"/>
        <v>1.5942918749999999</v>
      </c>
      <c r="O61" s="11"/>
      <c r="P61" s="7">
        <v>-174304.78999999998</v>
      </c>
      <c r="Q61" s="2"/>
      <c r="R61" s="6">
        <f t="shared" si="24"/>
        <v>-1.6694866455274406</v>
      </c>
      <c r="S61" s="2"/>
      <c r="T61" s="7">
        <v>3250</v>
      </c>
      <c r="U61" s="2"/>
      <c r="V61" s="6">
        <f t="shared" si="25"/>
        <v>1.4303759027872525E-2</v>
      </c>
      <c r="W61" s="2"/>
      <c r="X61" s="7">
        <f t="shared" si="26"/>
        <v>-177554.78999999998</v>
      </c>
      <c r="Y61" s="2"/>
      <c r="Z61" s="6">
        <f t="shared" si="27"/>
        <v>-54.632243076923068</v>
      </c>
    </row>
    <row r="62" spans="1:26" s="28" customFormat="1" outlineLevel="1" collapsed="1" x14ac:dyDescent="0.35">
      <c r="A62" s="27"/>
      <c r="B62" s="14" t="str">
        <f>CONCATENATE("     ","Repair and Maintenance                            ")</f>
        <v xml:space="preserve">     Repair and Maintenance                            </v>
      </c>
      <c r="C62" s="14"/>
      <c r="D62" s="1">
        <f>SUM(OSRRefD22_7x_0)</f>
        <v>1053.08</v>
      </c>
      <c r="E62" s="1"/>
      <c r="F62" s="5">
        <f t="shared" ref="F62:F64" si="28">IF(D$12=0,0,D62/D$12)</f>
        <v>3.5605294744138087E-2</v>
      </c>
      <c r="G62" s="1"/>
      <c r="H62" s="1">
        <f>SUM(OSRRefH22_7x_0)</f>
        <v>8700</v>
      </c>
      <c r="I62" s="1"/>
      <c r="J62" s="5">
        <f t="shared" ref="J62:J64" si="29">IF(H$12=0,0,H62/H$12)</f>
        <v>9.2553191489361697E-2</v>
      </c>
      <c r="K62" s="1"/>
      <c r="L62" s="1">
        <f t="shared" ref="L62:L64" si="30">+D62-H62</f>
        <v>-7646.92</v>
      </c>
      <c r="M62" s="1"/>
      <c r="N62" s="5">
        <f t="shared" ref="N62:N64" si="31">IF(H62=0,0,L62/H62)</f>
        <v>-0.87895632183908046</v>
      </c>
      <c r="O62" s="14"/>
      <c r="P62" s="1">
        <f>SUM(OSRRefP22_7x_0)</f>
        <v>30432.589999999997</v>
      </c>
      <c r="Q62" s="1"/>
      <c r="R62" s="5">
        <f t="shared" ref="R62:R64" si="32">IF(P$12=0,0,P62/P$12)</f>
        <v>0.29148253810931951</v>
      </c>
      <c r="S62" s="1"/>
      <c r="T62" s="1">
        <f>SUM(OSRRefT22_7x_0)</f>
        <v>35400</v>
      </c>
      <c r="U62" s="1"/>
      <c r="V62" s="5">
        <f t="shared" ref="V62:V64" si="33">IF(T$12=0,0,T62/T$12)</f>
        <v>0.1558009444882115</v>
      </c>
      <c r="W62" s="1"/>
      <c r="X62" s="1">
        <f t="shared" ref="X62:X64" si="34">+P62-T62</f>
        <v>-4967.4100000000035</v>
      </c>
      <c r="Y62" s="1"/>
      <c r="Z62" s="5">
        <f t="shared" ref="Z62:Z64" si="35">IF(T62=0,0,X62/T62)</f>
        <v>-0.14032231638418088</v>
      </c>
    </row>
    <row r="63" spans="1:26" s="24" customFormat="1" hidden="1" outlineLevel="2" x14ac:dyDescent="0.35">
      <c r="A63" s="29"/>
      <c r="B63" s="11" t="str">
        <f>CONCATENATE("          ", "6371", " - ", "COMPUTER SOFTWARE MAINTENANCE")</f>
        <v xml:space="preserve">          6371 - COMPUTER SOFTWARE MAINTENANCE</v>
      </c>
      <c r="C63" s="11"/>
      <c r="D63" s="7"/>
      <c r="E63" s="2"/>
      <c r="F63" s="6">
        <f t="shared" si="28"/>
        <v>0</v>
      </c>
      <c r="G63" s="2"/>
      <c r="H63" s="7"/>
      <c r="I63" s="2"/>
      <c r="J63" s="6">
        <f t="shared" si="29"/>
        <v>0</v>
      </c>
      <c r="K63" s="2"/>
      <c r="L63" s="7">
        <f t="shared" si="30"/>
        <v>0</v>
      </c>
      <c r="M63" s="2"/>
      <c r="N63" s="6">
        <f t="shared" si="31"/>
        <v>0</v>
      </c>
      <c r="O63" s="11"/>
      <c r="P63" s="7">
        <v>7.69</v>
      </c>
      <c r="Q63" s="2"/>
      <c r="R63" s="6">
        <f t="shared" si="32"/>
        <v>7.365461559665698E-5</v>
      </c>
      <c r="S63" s="2"/>
      <c r="T63" s="7"/>
      <c r="U63" s="2"/>
      <c r="V63" s="6">
        <f t="shared" si="33"/>
        <v>0</v>
      </c>
      <c r="W63" s="2"/>
      <c r="X63" s="7">
        <f t="shared" si="34"/>
        <v>7.69</v>
      </c>
      <c r="Y63" s="2"/>
      <c r="Z63" s="6">
        <f t="shared" si="35"/>
        <v>0</v>
      </c>
    </row>
    <row r="64" spans="1:26" s="24" customFormat="1" hidden="1" outlineLevel="2" x14ac:dyDescent="0.35">
      <c r="A64" s="29"/>
      <c r="B64" s="11" t="str">
        <f>CONCATENATE("          ", "6373", " - ", "MAINTENANCE CONTRACTS")</f>
        <v xml:space="preserve">          6373 - MAINTENANCE CONTRACTS</v>
      </c>
      <c r="C64" s="11"/>
      <c r="D64" s="7">
        <v>1053.08</v>
      </c>
      <c r="E64" s="2"/>
      <c r="F64" s="6">
        <f t="shared" si="28"/>
        <v>3.5605294744138087E-2</v>
      </c>
      <c r="G64" s="2"/>
      <c r="H64" s="7">
        <v>8700</v>
      </c>
      <c r="I64" s="2"/>
      <c r="J64" s="6">
        <f t="shared" si="29"/>
        <v>9.2553191489361697E-2</v>
      </c>
      <c r="K64" s="2"/>
      <c r="L64" s="7">
        <f t="shared" si="30"/>
        <v>-7646.92</v>
      </c>
      <c r="M64" s="2"/>
      <c r="N64" s="6">
        <f t="shared" si="31"/>
        <v>-0.87895632183908046</v>
      </c>
      <c r="O64" s="11"/>
      <c r="P64" s="7">
        <v>30424.899999999998</v>
      </c>
      <c r="Q64" s="2"/>
      <c r="R64" s="6">
        <f t="shared" si="32"/>
        <v>0.29140888349372285</v>
      </c>
      <c r="S64" s="2"/>
      <c r="T64" s="7">
        <v>35400</v>
      </c>
      <c r="U64" s="2"/>
      <c r="V64" s="6">
        <f t="shared" si="33"/>
        <v>0.1558009444882115</v>
      </c>
      <c r="W64" s="2"/>
      <c r="X64" s="7">
        <f t="shared" si="34"/>
        <v>-4975.1000000000022</v>
      </c>
      <c r="Y64" s="2"/>
      <c r="Z64" s="6">
        <f t="shared" si="35"/>
        <v>-0.14053954802259894</v>
      </c>
    </row>
    <row r="65" spans="1:26" s="28" customFormat="1" outlineLevel="1" collapsed="1" x14ac:dyDescent="0.35">
      <c r="A65" s="27"/>
      <c r="B65" s="14" t="str">
        <f>CONCATENATE("     ","Royalty &amp; Commissions                             ")</f>
        <v xml:space="preserve">     Royalty &amp; Commissions                             </v>
      </c>
      <c r="C65" s="14"/>
      <c r="D65" s="1">
        <f>SUM(OSRRefD22_8x_0)</f>
        <v>3.81</v>
      </c>
      <c r="E65" s="1"/>
      <c r="F65" s="5">
        <f t="shared" ref="F65:F72" si="36">IF(D$12=0,0,D65/D$12)</f>
        <v>1.2881848765066862E-4</v>
      </c>
      <c r="G65" s="1"/>
      <c r="H65" s="1">
        <f>SUM(OSRRefH22_8x_0)</f>
        <v>5700</v>
      </c>
      <c r="I65" s="1"/>
      <c r="J65" s="5">
        <f t="shared" ref="J65:J72" si="37">IF(H$12=0,0,H65/H$12)</f>
        <v>6.0638297872340423E-2</v>
      </c>
      <c r="K65" s="1"/>
      <c r="L65" s="1">
        <f t="shared" ref="L65:L72" si="38">+D65-H65</f>
        <v>-5696.19</v>
      </c>
      <c r="M65" s="1"/>
      <c r="N65" s="5">
        <f t="shared" ref="N65:N72" si="39">IF(H65=0,0,L65/H65)</f>
        <v>-0.99933157894736835</v>
      </c>
      <c r="O65" s="14"/>
      <c r="P65" s="1">
        <f>SUM(OSRRefP22_8x_0)</f>
        <v>10168.07</v>
      </c>
      <c r="Q65" s="1"/>
      <c r="R65" s="5">
        <f t="shared" ref="R65:R72" si="40">IF(P$12=0,0,P65/P$12)</f>
        <v>9.7389504188543558E-2</v>
      </c>
      <c r="S65" s="1"/>
      <c r="T65" s="1">
        <f>SUM(OSRRefT22_8x_0)</f>
        <v>10050</v>
      </c>
      <c r="U65" s="1"/>
      <c r="V65" s="5">
        <f t="shared" ref="V65:V72" si="41">IF(T$12=0,0,T65/T$12)</f>
        <v>4.423162407080581E-2</v>
      </c>
      <c r="W65" s="1"/>
      <c r="X65" s="1">
        <f t="shared" ref="X65:X72" si="42">+P65-T65</f>
        <v>118.06999999999971</v>
      </c>
      <c r="Y65" s="1"/>
      <c r="Z65" s="5">
        <f t="shared" ref="Z65:Z72" si="43">IF(T65=0,0,X65/T65)</f>
        <v>1.1748258706467632E-2</v>
      </c>
    </row>
    <row r="66" spans="1:26" s="24" customFormat="1" hidden="1" outlineLevel="2" x14ac:dyDescent="0.35">
      <c r="A66" s="29"/>
      <c r="B66" s="11" t="str">
        <f>CONCATENATE("          ", "6259", " - ", "ROYALTY &amp; COMMISSIONS")</f>
        <v xml:space="preserve">          6259 - ROYALTY &amp; COMMISSIONS</v>
      </c>
      <c r="C66" s="11"/>
      <c r="D66" s="7">
        <v>3.81</v>
      </c>
      <c r="E66" s="2"/>
      <c r="F66" s="6">
        <f t="shared" si="36"/>
        <v>1.2881848765066862E-4</v>
      </c>
      <c r="G66" s="2"/>
      <c r="H66" s="7">
        <v>5700</v>
      </c>
      <c r="I66" s="2"/>
      <c r="J66" s="6">
        <f t="shared" si="37"/>
        <v>6.0638297872340423E-2</v>
      </c>
      <c r="K66" s="2"/>
      <c r="L66" s="7">
        <f t="shared" si="38"/>
        <v>-5696.19</v>
      </c>
      <c r="M66" s="2"/>
      <c r="N66" s="6">
        <f t="shared" si="39"/>
        <v>-0.99933157894736835</v>
      </c>
      <c r="O66" s="11"/>
      <c r="P66" s="7">
        <v>10168.07</v>
      </c>
      <c r="Q66" s="2"/>
      <c r="R66" s="6">
        <f t="shared" si="40"/>
        <v>9.7389504188543558E-2</v>
      </c>
      <c r="S66" s="2"/>
      <c r="T66" s="7">
        <v>10050</v>
      </c>
      <c r="U66" s="2"/>
      <c r="V66" s="6">
        <f t="shared" si="41"/>
        <v>4.423162407080581E-2</v>
      </c>
      <c r="W66" s="2"/>
      <c r="X66" s="7">
        <f t="shared" si="42"/>
        <v>118.06999999999971</v>
      </c>
      <c r="Y66" s="2"/>
      <c r="Z66" s="6">
        <f t="shared" si="43"/>
        <v>1.1748258706467632E-2</v>
      </c>
    </row>
    <row r="67" spans="1:26" s="28" customFormat="1" outlineLevel="1" collapsed="1" x14ac:dyDescent="0.35">
      <c r="A67" s="27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SUM(OSRRefD22_9x_0)</f>
        <v>6267.77</v>
      </c>
      <c r="E67" s="1"/>
      <c r="F67" s="5">
        <f t="shared" si="36"/>
        <v>0.21191723158588749</v>
      </c>
      <c r="G67" s="1"/>
      <c r="H67" s="1">
        <f>SUM(OSRRefH22_9x_0)</f>
        <v>2600</v>
      </c>
      <c r="I67" s="1"/>
      <c r="J67" s="5">
        <f t="shared" si="37"/>
        <v>2.7659574468085105E-2</v>
      </c>
      <c r="K67" s="1"/>
      <c r="L67" s="1">
        <f t="shared" si="38"/>
        <v>3667.7700000000004</v>
      </c>
      <c r="M67" s="1"/>
      <c r="N67" s="5">
        <f t="shared" si="39"/>
        <v>1.4106807692307695</v>
      </c>
      <c r="O67" s="14"/>
      <c r="P67" s="1">
        <f>SUM(OSRRefP22_9x_0)</f>
        <v>32085</v>
      </c>
      <c r="Q67" s="1"/>
      <c r="R67" s="5">
        <f t="shared" si="40"/>
        <v>0.30730927716758638</v>
      </c>
      <c r="S67" s="1"/>
      <c r="T67" s="1">
        <f>SUM(OSRRefT22_9x_0)</f>
        <v>12850</v>
      </c>
      <c r="U67" s="1"/>
      <c r="V67" s="5">
        <f t="shared" si="41"/>
        <v>5.6554862617895982E-2</v>
      </c>
      <c r="W67" s="1"/>
      <c r="X67" s="1">
        <f t="shared" si="42"/>
        <v>19235</v>
      </c>
      <c r="Y67" s="1"/>
      <c r="Z67" s="5">
        <f t="shared" si="43"/>
        <v>1.4968871595330739</v>
      </c>
    </row>
    <row r="68" spans="1:26" s="24" customFormat="1" hidden="1" outlineLevel="2" x14ac:dyDescent="0.35">
      <c r="A68" s="29"/>
      <c r="B68" s="11" t="str">
        <f>CONCATENATE("          ", "6235", " - ", "COVID-19 EXPENSES")</f>
        <v xml:space="preserve">          6235 - COVID-19 EXPENSES</v>
      </c>
      <c r="C68" s="11"/>
      <c r="D68" s="7"/>
      <c r="E68" s="2"/>
      <c r="F68" s="6">
        <f t="shared" si="36"/>
        <v>0</v>
      </c>
      <c r="G68" s="2"/>
      <c r="H68" s="7"/>
      <c r="I68" s="2"/>
      <c r="J68" s="6">
        <f t="shared" si="37"/>
        <v>0</v>
      </c>
      <c r="K68" s="2"/>
      <c r="L68" s="7">
        <f t="shared" si="38"/>
        <v>0</v>
      </c>
      <c r="M68" s="2"/>
      <c r="N68" s="6">
        <f t="shared" si="39"/>
        <v>0</v>
      </c>
      <c r="O68" s="11"/>
      <c r="P68" s="7">
        <v>310.91000000000003</v>
      </c>
      <c r="Q68" s="2"/>
      <c r="R68" s="6">
        <f t="shared" si="40"/>
        <v>2.9778877158851266E-3</v>
      </c>
      <c r="S68" s="2"/>
      <c r="T68" s="7"/>
      <c r="U68" s="2"/>
      <c r="V68" s="6">
        <f t="shared" si="41"/>
        <v>0</v>
      </c>
      <c r="W68" s="2"/>
      <c r="X68" s="7">
        <f t="shared" si="42"/>
        <v>310.91000000000003</v>
      </c>
      <c r="Y68" s="2"/>
      <c r="Z68" s="6">
        <f t="shared" si="43"/>
        <v>0</v>
      </c>
    </row>
    <row r="69" spans="1:26" s="24" customFormat="1" hidden="1" outlineLevel="2" x14ac:dyDescent="0.35">
      <c r="A69" s="29"/>
      <c r="B69" s="11" t="str">
        <f>CONCATENATE("          ", "6241", " - ", "OFFICE EXPENSE")</f>
        <v xml:space="preserve">          6241 - OFFICE EXPENSE</v>
      </c>
      <c r="C69" s="11"/>
      <c r="D69" s="7"/>
      <c r="E69" s="2"/>
      <c r="F69" s="6">
        <f t="shared" si="36"/>
        <v>0</v>
      </c>
      <c r="G69" s="2"/>
      <c r="H69" s="7"/>
      <c r="I69" s="2"/>
      <c r="J69" s="6">
        <f t="shared" si="37"/>
        <v>0</v>
      </c>
      <c r="K69" s="2"/>
      <c r="L69" s="7">
        <f t="shared" si="38"/>
        <v>0</v>
      </c>
      <c r="M69" s="2"/>
      <c r="N69" s="6">
        <f t="shared" si="39"/>
        <v>0</v>
      </c>
      <c r="O69" s="11"/>
      <c r="P69" s="7">
        <v>4596.8599999999997</v>
      </c>
      <c r="Q69" s="2"/>
      <c r="R69" s="6">
        <f t="shared" si="40"/>
        <v>4.4028602893582389E-2</v>
      </c>
      <c r="S69" s="2"/>
      <c r="T69" s="7"/>
      <c r="U69" s="2"/>
      <c r="V69" s="6">
        <f t="shared" si="41"/>
        <v>0</v>
      </c>
      <c r="W69" s="2"/>
      <c r="X69" s="7">
        <f t="shared" si="42"/>
        <v>4596.8599999999997</v>
      </c>
      <c r="Y69" s="2"/>
      <c r="Z69" s="6">
        <f t="shared" si="43"/>
        <v>0</v>
      </c>
    </row>
    <row r="70" spans="1:26" s="24" customFormat="1" hidden="1" outlineLevel="2" x14ac:dyDescent="0.35">
      <c r="A70" s="29"/>
      <c r="B70" s="11" t="str">
        <f>CONCATENATE("          ", "6243", " - ", "PAPER SUPPLIES")</f>
        <v xml:space="preserve">          6243 - PAPER SUPPLIES</v>
      </c>
      <c r="C70" s="11"/>
      <c r="D70" s="7">
        <v>1080</v>
      </c>
      <c r="E70" s="2"/>
      <c r="F70" s="6">
        <f t="shared" si="36"/>
        <v>3.6515476814362756E-2</v>
      </c>
      <c r="G70" s="2"/>
      <c r="H70" s="7">
        <v>2300</v>
      </c>
      <c r="I70" s="2"/>
      <c r="J70" s="6">
        <f t="shared" si="37"/>
        <v>2.4468085106382979E-2</v>
      </c>
      <c r="K70" s="2"/>
      <c r="L70" s="7">
        <f t="shared" si="38"/>
        <v>-1220</v>
      </c>
      <c r="M70" s="2"/>
      <c r="N70" s="6">
        <f t="shared" si="39"/>
        <v>-0.5304347826086957</v>
      </c>
      <c r="O70" s="11"/>
      <c r="P70" s="7">
        <v>6173.4</v>
      </c>
      <c r="Q70" s="2"/>
      <c r="R70" s="6">
        <f t="shared" si="40"/>
        <v>5.9128661108504836E-2</v>
      </c>
      <c r="S70" s="2"/>
      <c r="T70" s="7">
        <v>10700</v>
      </c>
      <c r="U70" s="2"/>
      <c r="V70" s="6">
        <f t="shared" si="41"/>
        <v>4.7092375876380314E-2</v>
      </c>
      <c r="W70" s="2"/>
      <c r="X70" s="7">
        <f t="shared" si="42"/>
        <v>-4526.6000000000004</v>
      </c>
      <c r="Y70" s="2"/>
      <c r="Z70" s="6">
        <f t="shared" si="43"/>
        <v>-0.42304672897196266</v>
      </c>
    </row>
    <row r="71" spans="1:26" s="24" customFormat="1" hidden="1" outlineLevel="2" x14ac:dyDescent="0.35">
      <c r="A71" s="29"/>
      <c r="B71" s="11" t="str">
        <f>CONCATENATE("          ", "6245", " - ", "PRINTING")</f>
        <v xml:space="preserve">          6245 - PRINTING</v>
      </c>
      <c r="C71" s="11"/>
      <c r="D71" s="7"/>
      <c r="E71" s="2"/>
      <c r="F71" s="6">
        <f t="shared" si="36"/>
        <v>0</v>
      </c>
      <c r="G71" s="2"/>
      <c r="H71" s="7">
        <v>200</v>
      </c>
      <c r="I71" s="2"/>
      <c r="J71" s="6">
        <f t="shared" si="37"/>
        <v>2.1276595744680851E-3</v>
      </c>
      <c r="K71" s="2"/>
      <c r="L71" s="7">
        <f t="shared" si="38"/>
        <v>-200</v>
      </c>
      <c r="M71" s="2"/>
      <c r="N71" s="6">
        <f t="shared" si="39"/>
        <v>-1</v>
      </c>
      <c r="O71" s="11"/>
      <c r="P71" s="7">
        <v>439.61</v>
      </c>
      <c r="Q71" s="2"/>
      <c r="R71" s="6">
        <f t="shared" si="40"/>
        <v>4.2105728949865251E-3</v>
      </c>
      <c r="S71" s="2"/>
      <c r="T71" s="7">
        <v>1500</v>
      </c>
      <c r="U71" s="2"/>
      <c r="V71" s="6">
        <f t="shared" si="41"/>
        <v>6.6017349359411654E-3</v>
      </c>
      <c r="W71" s="2"/>
      <c r="X71" s="7">
        <f t="shared" si="42"/>
        <v>-1060.3899999999999</v>
      </c>
      <c r="Y71" s="2"/>
      <c r="Z71" s="6">
        <f t="shared" si="43"/>
        <v>-0.70692666666666659</v>
      </c>
    </row>
    <row r="72" spans="1:26" s="24" customFormat="1" hidden="1" outlineLevel="2" x14ac:dyDescent="0.35">
      <c r="A72" s="29"/>
      <c r="B72" s="11" t="str">
        <f>CONCATENATE("          ", "6247", " - ", "STORE SUPPLIES")</f>
        <v xml:space="preserve">          6247 - STORE SUPPLIES</v>
      </c>
      <c r="C72" s="11"/>
      <c r="D72" s="7">
        <v>5187.7700000000004</v>
      </c>
      <c r="E72" s="2"/>
      <c r="F72" s="6">
        <f t="shared" si="36"/>
        <v>0.17540175477152473</v>
      </c>
      <c r="G72" s="2"/>
      <c r="H72" s="7">
        <v>100</v>
      </c>
      <c r="I72" s="2"/>
      <c r="J72" s="6">
        <f t="shared" si="37"/>
        <v>1.0638297872340426E-3</v>
      </c>
      <c r="K72" s="2"/>
      <c r="L72" s="7">
        <f t="shared" si="38"/>
        <v>5087.7700000000004</v>
      </c>
      <c r="M72" s="2"/>
      <c r="N72" s="6">
        <f t="shared" si="39"/>
        <v>50.877700000000004</v>
      </c>
      <c r="O72" s="11"/>
      <c r="P72" s="7">
        <v>20564.22</v>
      </c>
      <c r="Q72" s="2"/>
      <c r="R72" s="6">
        <f t="shared" si="40"/>
        <v>0.1969635525546275</v>
      </c>
      <c r="S72" s="2"/>
      <c r="T72" s="7">
        <v>650</v>
      </c>
      <c r="U72" s="2"/>
      <c r="V72" s="6">
        <f t="shared" si="41"/>
        <v>2.860751805574505E-3</v>
      </c>
      <c r="W72" s="2"/>
      <c r="X72" s="7">
        <f t="shared" si="42"/>
        <v>19914.22</v>
      </c>
      <c r="Y72" s="2"/>
      <c r="Z72" s="6">
        <f t="shared" si="43"/>
        <v>30.637261538461541</v>
      </c>
    </row>
    <row r="73" spans="1:26" s="28" customFormat="1" outlineLevel="1" collapsed="1" x14ac:dyDescent="0.35">
      <c r="A73" s="27"/>
      <c r="B73" s="14" t="str">
        <f>CONCATENATE("     ","Telephone/Data Lines                              ")</f>
        <v xml:space="preserve">     Telephone/Data Lines                              </v>
      </c>
      <c r="C73" s="14"/>
      <c r="D73" s="1">
        <f>SUM(OSRRefD22_10x_0)</f>
        <v>82.2</v>
      </c>
      <c r="E73" s="1"/>
      <c r="F73" s="5">
        <f t="shared" ref="F73:F76" si="44">IF(D$12=0,0,D73/D$12)</f>
        <v>2.7792335130931655E-3</v>
      </c>
      <c r="G73" s="1"/>
      <c r="H73" s="1">
        <f>SUM(OSRRefH22_10x_0)</f>
        <v>165</v>
      </c>
      <c r="I73" s="1"/>
      <c r="J73" s="5">
        <f t="shared" ref="J73:J76" si="45">IF(H$12=0,0,H73/H$12)</f>
        <v>1.7553191489361702E-3</v>
      </c>
      <c r="K73" s="1"/>
      <c r="L73" s="1">
        <f t="shared" ref="L73:L76" si="46">+D73-H73</f>
        <v>-82.8</v>
      </c>
      <c r="M73" s="1"/>
      <c r="N73" s="5">
        <f t="shared" ref="N73:N76" si="47">IF(H73=0,0,L73/H73)</f>
        <v>-0.50181818181818183</v>
      </c>
      <c r="O73" s="14"/>
      <c r="P73" s="1">
        <f>SUM(OSRRefP22_10x_0)</f>
        <v>1339.2</v>
      </c>
      <c r="Q73" s="1"/>
      <c r="R73" s="5">
        <f t="shared" ref="R73:R76" si="48">IF(P$12=0,0,P73/P$12)</f>
        <v>1.2826822003516649E-2</v>
      </c>
      <c r="S73" s="1"/>
      <c r="T73" s="1">
        <f>SUM(OSRRefT22_10x_0)</f>
        <v>1155</v>
      </c>
      <c r="U73" s="1"/>
      <c r="V73" s="5">
        <f t="shared" ref="V73:V76" si="49">IF(T$12=0,0,T73/T$12)</f>
        <v>5.0833359006746976E-3</v>
      </c>
      <c r="W73" s="1"/>
      <c r="X73" s="1">
        <f t="shared" ref="X73:X76" si="50">+P73-T73</f>
        <v>184.20000000000005</v>
      </c>
      <c r="Y73" s="1"/>
      <c r="Z73" s="5">
        <f t="shared" ref="Z73:Z76" si="51">IF(T73=0,0,X73/T73)</f>
        <v>0.15948051948051953</v>
      </c>
    </row>
    <row r="74" spans="1:26" s="24" customFormat="1" hidden="1" outlineLevel="2" x14ac:dyDescent="0.35">
      <c r="A74" s="29"/>
      <c r="B74" s="11" t="str">
        <f>CONCATENATE("          ", "6309", " - ", "TELEPHONE")</f>
        <v xml:space="preserve">          6309 - TELEPHONE</v>
      </c>
      <c r="C74" s="11"/>
      <c r="D74" s="7">
        <v>82.2</v>
      </c>
      <c r="E74" s="2"/>
      <c r="F74" s="6">
        <f t="shared" si="44"/>
        <v>2.7792335130931655E-3</v>
      </c>
      <c r="G74" s="2"/>
      <c r="H74" s="7">
        <v>165</v>
      </c>
      <c r="I74" s="2"/>
      <c r="J74" s="6">
        <f t="shared" si="45"/>
        <v>1.7553191489361702E-3</v>
      </c>
      <c r="K74" s="2"/>
      <c r="L74" s="7">
        <f t="shared" si="46"/>
        <v>-82.8</v>
      </c>
      <c r="M74" s="2"/>
      <c r="N74" s="6">
        <f t="shared" si="47"/>
        <v>-0.50181818181818183</v>
      </c>
      <c r="O74" s="11"/>
      <c r="P74" s="7">
        <v>1339.2</v>
      </c>
      <c r="Q74" s="2"/>
      <c r="R74" s="6">
        <f t="shared" si="48"/>
        <v>1.2826822003516649E-2</v>
      </c>
      <c r="S74" s="2"/>
      <c r="T74" s="7">
        <v>1155</v>
      </c>
      <c r="U74" s="2"/>
      <c r="V74" s="6">
        <f t="shared" si="49"/>
        <v>5.0833359006746976E-3</v>
      </c>
      <c r="W74" s="2"/>
      <c r="X74" s="7">
        <f t="shared" si="50"/>
        <v>184.20000000000005</v>
      </c>
      <c r="Y74" s="2"/>
      <c r="Z74" s="6">
        <f t="shared" si="51"/>
        <v>0.15948051948051953</v>
      </c>
    </row>
    <row r="75" spans="1:26" s="28" customFormat="1" outlineLevel="1" collapsed="1" x14ac:dyDescent="0.35">
      <c r="A75" s="27"/>
      <c r="B75" s="14" t="str">
        <f>CONCATENATE("     ","Utilities                                         ")</f>
        <v xml:space="preserve">     Utilities                                         </v>
      </c>
      <c r="C75" s="14"/>
      <c r="D75" s="1">
        <f>SUM(OSRRefD22_11x_0)</f>
        <v>0</v>
      </c>
      <c r="E75" s="1"/>
      <c r="F75" s="5">
        <f t="shared" si="44"/>
        <v>0</v>
      </c>
      <c r="G75" s="1"/>
      <c r="H75" s="1">
        <f>SUM(OSRRefH22_11x_0)</f>
        <v>0</v>
      </c>
      <c r="I75" s="1"/>
      <c r="J75" s="5">
        <f t="shared" si="45"/>
        <v>0</v>
      </c>
      <c r="K75" s="1"/>
      <c r="L75" s="1">
        <f t="shared" si="46"/>
        <v>0</v>
      </c>
      <c r="M75" s="1"/>
      <c r="N75" s="5">
        <f t="shared" si="47"/>
        <v>0</v>
      </c>
      <c r="O75" s="14"/>
      <c r="P75" s="1">
        <f>SUM(OSRRefP22_11x_0)</f>
        <v>15.02</v>
      </c>
      <c r="Q75" s="1"/>
      <c r="R75" s="5">
        <f t="shared" si="48"/>
        <v>1.438611607622611E-4</v>
      </c>
      <c r="S75" s="1"/>
      <c r="T75" s="1">
        <f>SUM(OSRRefT22_11x_0)</f>
        <v>0</v>
      </c>
      <c r="U75" s="1"/>
      <c r="V75" s="5">
        <f t="shared" si="49"/>
        <v>0</v>
      </c>
      <c r="W75" s="1"/>
      <c r="X75" s="1">
        <f t="shared" si="50"/>
        <v>15.02</v>
      </c>
      <c r="Y75" s="1"/>
      <c r="Z75" s="5">
        <f t="shared" si="51"/>
        <v>0</v>
      </c>
    </row>
    <row r="76" spans="1:26" s="24" customFormat="1" hidden="1" outlineLevel="2" x14ac:dyDescent="0.35">
      <c r="A76" s="29"/>
      <c r="B76" s="11" t="str">
        <f>CONCATENATE("          ", "6274", " - ", "UTILITIES")</f>
        <v xml:space="preserve">          6274 - UTILITIES</v>
      </c>
      <c r="C76" s="11"/>
      <c r="D76" s="7"/>
      <c r="E76" s="2"/>
      <c r="F76" s="6">
        <f t="shared" si="44"/>
        <v>0</v>
      </c>
      <c r="G76" s="2"/>
      <c r="H76" s="7"/>
      <c r="I76" s="2"/>
      <c r="J76" s="6">
        <f t="shared" si="45"/>
        <v>0</v>
      </c>
      <c r="K76" s="2"/>
      <c r="L76" s="7">
        <f t="shared" si="46"/>
        <v>0</v>
      </c>
      <c r="M76" s="2"/>
      <c r="N76" s="6">
        <f t="shared" si="47"/>
        <v>0</v>
      </c>
      <c r="O76" s="11"/>
      <c r="P76" s="7">
        <v>15.02</v>
      </c>
      <c r="Q76" s="2"/>
      <c r="R76" s="6">
        <f t="shared" si="48"/>
        <v>1.438611607622611E-4</v>
      </c>
      <c r="S76" s="2"/>
      <c r="T76" s="7"/>
      <c r="U76" s="2"/>
      <c r="V76" s="6">
        <f t="shared" si="49"/>
        <v>0</v>
      </c>
      <c r="W76" s="2"/>
      <c r="X76" s="7">
        <f t="shared" si="50"/>
        <v>15.02</v>
      </c>
      <c r="Y76" s="2"/>
      <c r="Z76" s="6">
        <f t="shared" si="51"/>
        <v>0</v>
      </c>
    </row>
    <row r="77" spans="1:26" s="55" customFormat="1" x14ac:dyDescent="0.35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collapsed="1" x14ac:dyDescent="0.35">
      <c r="A78" s="10"/>
      <c r="B78" s="25" t="s">
        <v>0</v>
      </c>
      <c r="C78" s="10"/>
      <c r="D78" s="4">
        <f>SUM(OSRRefD25x_0)</f>
        <v>6782</v>
      </c>
      <c r="E78" s="4"/>
      <c r="F78" s="12">
        <f t="shared" ref="F78:F79" si="52">IF(D$12=0,0,D78/D$12)</f>
        <v>0.22930367014352615</v>
      </c>
      <c r="G78" s="4"/>
      <c r="H78" s="4">
        <f>SUM(OSRRefH25x_0)</f>
        <v>6875</v>
      </c>
      <c r="I78" s="4"/>
      <c r="J78" s="12">
        <f t="shared" ref="J78:J79" si="53">IF(H$12=0,0,H78/H$12)</f>
        <v>7.3138297872340427E-2</v>
      </c>
      <c r="K78" s="4"/>
      <c r="L78" s="4">
        <f t="shared" ref="L78:L79" si="54">+D78-H78</f>
        <v>-93</v>
      </c>
      <c r="M78" s="4"/>
      <c r="N78" s="12">
        <f t="shared" ref="N78:N79" si="55">IF(H78=0,0,L78/H78)</f>
        <v>-1.3527272727272728E-2</v>
      </c>
      <c r="O78" s="10"/>
      <c r="P78" s="4">
        <f>SUM(OSRRefP25x_0)</f>
        <v>47474</v>
      </c>
      <c r="Q78" s="4"/>
      <c r="R78" s="12">
        <f t="shared" ref="R78:R79" si="56">IF(P$12=0,0,P78/P$12)</f>
        <v>0.45470471012167668</v>
      </c>
      <c r="S78" s="4"/>
      <c r="T78" s="4">
        <f>SUM(OSRRefT25x_0)</f>
        <v>48125</v>
      </c>
      <c r="U78" s="4"/>
      <c r="V78" s="12">
        <f t="shared" ref="V78:V79" si="57">IF(T$12=0,0,T78/T$12)</f>
        <v>0.21180566252811239</v>
      </c>
      <c r="W78" s="4"/>
      <c r="X78" s="4">
        <f t="shared" ref="X78:X79" si="58">+P78-T78</f>
        <v>-651</v>
      </c>
      <c r="Y78" s="4"/>
      <c r="Z78" s="12">
        <f t="shared" ref="Z78:Z79" si="59">IF(T78=0,0,X78/T78)</f>
        <v>-1.3527272727272728E-2</v>
      </c>
    </row>
    <row r="79" spans="1:26" s="24" customFormat="1" hidden="1" outlineLevel="1" x14ac:dyDescent="0.35">
      <c r="A79" s="51"/>
      <c r="B79" s="11" t="str">
        <f>CONCATENATE("          ", "9150", " - ", "MISC. INCOME")</f>
        <v xml:space="preserve">          9150 - MISC. INCOME</v>
      </c>
      <c r="C79" s="11"/>
      <c r="D79" s="2">
        <f>--6782</f>
        <v>6782</v>
      </c>
      <c r="E79" s="2"/>
      <c r="F79" s="22">
        <f t="shared" si="52"/>
        <v>0.22930367014352615</v>
      </c>
      <c r="G79" s="2"/>
      <c r="H79" s="2">
        <v>6875</v>
      </c>
      <c r="I79" s="2"/>
      <c r="J79" s="22">
        <f t="shared" si="53"/>
        <v>7.3138297872340427E-2</v>
      </c>
      <c r="K79" s="2"/>
      <c r="L79" s="2">
        <f t="shared" si="54"/>
        <v>-93</v>
      </c>
      <c r="M79" s="2"/>
      <c r="N79" s="22">
        <f t="shared" si="55"/>
        <v>-1.3527272727272728E-2</v>
      </c>
      <c r="O79" s="11"/>
      <c r="P79" s="2">
        <f>--47474</f>
        <v>47474</v>
      </c>
      <c r="Q79" s="2"/>
      <c r="R79" s="22">
        <f t="shared" si="56"/>
        <v>0.45470471012167668</v>
      </c>
      <c r="S79" s="2"/>
      <c r="T79" s="2">
        <v>48125</v>
      </c>
      <c r="U79" s="2"/>
      <c r="V79" s="22">
        <f t="shared" si="57"/>
        <v>0.21180566252811239</v>
      </c>
      <c r="W79" s="2"/>
      <c r="X79" s="2">
        <f t="shared" si="58"/>
        <v>-651</v>
      </c>
      <c r="Y79" s="2"/>
      <c r="Z79" s="22">
        <f t="shared" si="59"/>
        <v>-1.3527272727272728E-2</v>
      </c>
    </row>
    <row r="80" spans="1:26" x14ac:dyDescent="0.3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35">
      <c r="A81" s="10"/>
      <c r="B81" s="26" t="s">
        <v>3</v>
      </c>
      <c r="C81" s="26"/>
      <c r="D81" s="19">
        <f>+D27-D29+D78</f>
        <v>18251.210000000003</v>
      </c>
      <c r="E81" s="13"/>
      <c r="F81" s="21">
        <f>IF(D$12=0,0,D81/D$12)</f>
        <v>0.61708484776765349</v>
      </c>
      <c r="G81" s="13"/>
      <c r="H81" s="19">
        <f>+H27-H29+H78</f>
        <v>75948.479925259599</v>
      </c>
      <c r="I81" s="13"/>
      <c r="J81" s="21">
        <f>IF(H$12=0,0,H81/H$12)</f>
        <v>0.80796255239637871</v>
      </c>
      <c r="K81" s="16"/>
      <c r="L81" s="19">
        <f>+D81-H81</f>
        <v>-57697.269925259592</v>
      </c>
      <c r="M81" s="16"/>
      <c r="N81" s="21">
        <f>IF(H81=0,0,L81/H81)</f>
        <v>-0.75968959460464647</v>
      </c>
      <c r="O81" s="25"/>
      <c r="P81" s="19">
        <f>+P27-P29+P78</f>
        <v>-58351.530000000028</v>
      </c>
      <c r="Q81" s="13"/>
      <c r="R81" s="21">
        <f>IF(P$12=0,0,P81/P$12)</f>
        <v>-0.55888940333248371</v>
      </c>
      <c r="S81" s="13"/>
      <c r="T81" s="19">
        <f>+T27-T29+T78</f>
        <v>53356.179184809414</v>
      </c>
      <c r="U81" s="13"/>
      <c r="V81" s="21">
        <f>IF(T$12=0,0,T81/T$12)</f>
        <v>0.23482890144846208</v>
      </c>
      <c r="W81" s="16"/>
      <c r="X81" s="19">
        <f>+P81-T81</f>
        <v>-111707.70918480944</v>
      </c>
      <c r="Y81" s="16"/>
      <c r="Z81" s="21">
        <f>IF(T81=0,0,X81/T81)</f>
        <v>-2.0936227235816167</v>
      </c>
    </row>
    <row r="82" spans="1:26" x14ac:dyDescent="0.3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35">
      <c r="A83" s="52"/>
      <c r="B83" s="10" t="s">
        <v>14</v>
      </c>
      <c r="C83" s="10"/>
      <c r="D83" s="4">
        <v>5107.41</v>
      </c>
      <c r="E83" s="4"/>
      <c r="F83" s="12">
        <f>IF(D$12=0,0,D83/D$12)</f>
        <v>0.17268473281152269</v>
      </c>
      <c r="G83" s="4"/>
      <c r="H83" s="4">
        <v>14162</v>
      </c>
      <c r="I83" s="4"/>
      <c r="J83" s="12">
        <f>IF(H$12=0,0,H83/H$12)</f>
        <v>0.15065957446808512</v>
      </c>
      <c r="K83" s="4"/>
      <c r="L83" s="4">
        <f>+D83-H83</f>
        <v>-9054.59</v>
      </c>
      <c r="M83" s="4"/>
      <c r="N83" s="12">
        <f>IF(H83=0,0,L83/H83)</f>
        <v>-0.63935814150543713</v>
      </c>
      <c r="O83" s="10"/>
      <c r="P83" s="4">
        <v>18952.489999999998</v>
      </c>
      <c r="Q83" s="4"/>
      <c r="R83" s="12">
        <f>IF(P$12=0,0,P83/P$12)</f>
        <v>0.1815264454550696</v>
      </c>
      <c r="S83" s="4"/>
      <c r="T83" s="4">
        <v>39430</v>
      </c>
      <c r="U83" s="4"/>
      <c r="V83" s="12">
        <f>IF(T$12=0,0,T83/T$12)</f>
        <v>0.17353760568277343</v>
      </c>
      <c r="W83" s="4"/>
      <c r="X83" s="4">
        <f>+P83-T83</f>
        <v>-20477.510000000002</v>
      </c>
      <c r="Y83" s="4"/>
      <c r="Z83" s="12">
        <f>IF(T83=0,0,X83/T83)</f>
        <v>-0.51933832107532341</v>
      </c>
    </row>
    <row r="84" spans="1:26" x14ac:dyDescent="0.3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" thickBot="1" x14ac:dyDescent="0.4">
      <c r="A85" s="10"/>
      <c r="B85" s="26" t="s">
        <v>4</v>
      </c>
      <c r="C85" s="26"/>
      <c r="D85" s="33">
        <f>+D81-D83</f>
        <v>13143.800000000003</v>
      </c>
      <c r="E85" s="13"/>
      <c r="F85" s="31">
        <f>IF(D$12=0,0,D85/D$12)</f>
        <v>0.44440011495613085</v>
      </c>
      <c r="G85" s="13"/>
      <c r="H85" s="33">
        <f>+H81-H83</f>
        <v>61786.479925259599</v>
      </c>
      <c r="I85" s="13"/>
      <c r="J85" s="31">
        <f>IF(H$12=0,0,H85/H$12)</f>
        <v>0.65730297792829362</v>
      </c>
      <c r="K85" s="16"/>
      <c r="L85" s="33">
        <f>D85-H85</f>
        <v>-48642.679925259596</v>
      </c>
      <c r="M85" s="16"/>
      <c r="N85" s="31">
        <f>IF(H85=0,0,L85/H85)</f>
        <v>-0.78727061299009937</v>
      </c>
      <c r="O85" s="25"/>
      <c r="P85" s="33">
        <f>+P81-P83</f>
        <v>-77304.020000000019</v>
      </c>
      <c r="Q85" s="13"/>
      <c r="R85" s="31">
        <f>IF(P$12=0,0,P85/P$12)</f>
        <v>-0.74041584878755329</v>
      </c>
      <c r="S85" s="13"/>
      <c r="T85" s="33">
        <f>+T81-T83</f>
        <v>13926.179184809414</v>
      </c>
      <c r="U85" s="13"/>
      <c r="V85" s="31">
        <f>IF(T$12=0,0,T85/T$12)</f>
        <v>6.1291295765688647E-2</v>
      </c>
      <c r="W85" s="16"/>
      <c r="X85" s="33">
        <f>P85-T85</f>
        <v>-91230.199184809433</v>
      </c>
      <c r="Y85" s="16"/>
      <c r="Z85" s="31">
        <f>IF(T85=0,0,X85/T85)</f>
        <v>-6.5509855915341619</v>
      </c>
    </row>
    <row r="86" spans="1:26" ht="15" thickTop="1" x14ac:dyDescent="0.3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3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" thickBot="1" x14ac:dyDescent="0.4">
      <c r="A88" s="10"/>
      <c r="B88" s="26" t="s">
        <v>5</v>
      </c>
      <c r="C88" s="26"/>
      <c r="D88" s="34">
        <f>SUM(D85:D87)</f>
        <v>13143.800000000003</v>
      </c>
      <c r="E88" s="13"/>
      <c r="F88" s="32">
        <f>IF(D$12=0,0,D88/D$12)</f>
        <v>0.44440011495613085</v>
      </c>
      <c r="G88" s="13"/>
      <c r="H88" s="34">
        <f>SUM(H85:H87)</f>
        <v>61786.479925259599</v>
      </c>
      <c r="I88" s="13"/>
      <c r="J88" s="32">
        <f>IF(H$12=0,0,H88/H$12)</f>
        <v>0.65730297792829362</v>
      </c>
      <c r="K88" s="16"/>
      <c r="L88" s="34">
        <f>+D88-H88</f>
        <v>-48642.679925259596</v>
      </c>
      <c r="M88" s="16"/>
      <c r="N88" s="32">
        <f>IF(H88=0,0,L88/H88)</f>
        <v>-0.78727061299009937</v>
      </c>
      <c r="O88" s="25"/>
      <c r="P88" s="34">
        <f>SUM(P85:P87)</f>
        <v>-77304.020000000019</v>
      </c>
      <c r="Q88" s="13"/>
      <c r="R88" s="32">
        <f>IF(P$12=0,0,P88/P$12)</f>
        <v>-0.74041584878755329</v>
      </c>
      <c r="S88" s="13"/>
      <c r="T88" s="34">
        <f>SUM(T85:T87)</f>
        <v>13926.179184809414</v>
      </c>
      <c r="U88" s="13"/>
      <c r="V88" s="32">
        <f>IF(T$12=0,0,T88/T$12)</f>
        <v>6.1291295765688647E-2</v>
      </c>
      <c r="W88" s="16"/>
      <c r="X88" s="34">
        <f>+P88-T88</f>
        <v>-91230.199184809433</v>
      </c>
      <c r="Y88" s="16"/>
      <c r="Z88" s="32">
        <f>IF(T88=0,0,X88/T88)</f>
        <v>-6.5509855915341619</v>
      </c>
    </row>
    <row r="89" spans="1:26" ht="15" thickTop="1" x14ac:dyDescent="0.35">
      <c r="A89" s="9"/>
      <c r="C89" s="9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35">
      <c r="A90" s="9"/>
      <c r="B90" s="60">
        <v>44238.490502777779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35">
      <c r="A91" s="9"/>
      <c r="B91" s="59" t="s">
        <v>314</v>
      </c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35">
      <c r="A92" s="9"/>
      <c r="B92" s="58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35"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311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129191.81000000001</v>
      </c>
      <c r="E12" s="4"/>
      <c r="F12" s="12"/>
      <c r="G12" s="4"/>
      <c r="H12" s="4">
        <f>SUM(OSRRefH13x_0)</f>
        <v>193613</v>
      </c>
      <c r="I12" s="4"/>
      <c r="J12" s="12"/>
      <c r="K12" s="4"/>
      <c r="L12" s="4">
        <f t="shared" ref="L12:L30" si="0">+D12-H12</f>
        <v>-64421.189999999988</v>
      </c>
      <c r="M12" s="4"/>
      <c r="N12" s="12">
        <f t="shared" ref="N12:N30" si="1">IF(H12=0,0,L12/H12)</f>
        <v>-0.33273173805477929</v>
      </c>
      <c r="O12" s="10"/>
      <c r="P12" s="4">
        <f>SUM(OSRRefP13x_0)</f>
        <v>1404536.33</v>
      </c>
      <c r="Q12" s="4"/>
      <c r="R12" s="12"/>
      <c r="S12" s="4"/>
      <c r="T12" s="4">
        <f>SUM(OSRRefT13x_0)</f>
        <v>1618657</v>
      </c>
      <c r="U12" s="4"/>
      <c r="V12" s="12"/>
      <c r="W12" s="4"/>
      <c r="X12" s="4">
        <f t="shared" ref="X12:X30" si="2">+P12-T12</f>
        <v>-214120.66999999993</v>
      </c>
      <c r="Y12" s="4"/>
      <c r="Z12" s="12">
        <f t="shared" ref="Z12:Z30" si="3">IF(T12=0,0,X12/T12)</f>
        <v>-0.132282917257949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>-339.19</f>
        <v>-339.19</v>
      </c>
      <c r="E13" s="2"/>
      <c r="F13" s="22"/>
      <c r="G13" s="2"/>
      <c r="H13" s="2">
        <v>176061</v>
      </c>
      <c r="I13" s="2"/>
      <c r="J13" s="22"/>
      <c r="K13" s="2"/>
      <c r="L13" s="2">
        <f t="shared" si="0"/>
        <v>-176400.19</v>
      </c>
      <c r="M13" s="2"/>
      <c r="N13" s="22">
        <f t="shared" si="1"/>
        <v>-1.0019265481850042</v>
      </c>
      <c r="O13" s="11"/>
      <c r="P13" s="2">
        <f>-2647.96</f>
        <v>-2647.96</v>
      </c>
      <c r="Q13" s="2"/>
      <c r="R13" s="22"/>
      <c r="S13" s="2"/>
      <c r="T13" s="2">
        <v>1521502</v>
      </c>
      <c r="U13" s="2"/>
      <c r="V13" s="22"/>
      <c r="W13" s="2"/>
      <c r="X13" s="2">
        <f t="shared" si="2"/>
        <v>-1524149.96</v>
      </c>
      <c r="Y13" s="2"/>
      <c r="Z13" s="22">
        <f t="shared" si="3"/>
        <v>-1.0017403591976874</v>
      </c>
    </row>
    <row r="14" spans="1:26" s="24" customFormat="1" hidden="1" outlineLevel="1" x14ac:dyDescent="0.35">
      <c r="A14" s="51"/>
      <c r="B14" s="11" t="str">
        <f>CONCATENATE("          ", "4081", " - ", "TAXABLE SALES-ELECTRONICS")</f>
        <v xml:space="preserve">          4081 - TAXABLE SALES-ELECTRONICS</v>
      </c>
      <c r="C14" s="11"/>
      <c r="D14" s="2">
        <f>--2318.54</f>
        <v>2318.54</v>
      </c>
      <c r="E14" s="2"/>
      <c r="F14" s="22"/>
      <c r="G14" s="2"/>
      <c r="H14" s="2"/>
      <c r="I14" s="2"/>
      <c r="J14" s="22"/>
      <c r="K14" s="2"/>
      <c r="L14" s="2">
        <f t="shared" si="0"/>
        <v>2318.54</v>
      </c>
      <c r="M14" s="2"/>
      <c r="N14" s="22">
        <f t="shared" si="1"/>
        <v>0</v>
      </c>
      <c r="O14" s="11"/>
      <c r="P14" s="2">
        <f>--59198.06</f>
        <v>59198.06</v>
      </c>
      <c r="Q14" s="2"/>
      <c r="R14" s="22"/>
      <c r="S14" s="2"/>
      <c r="T14" s="2"/>
      <c r="U14" s="2"/>
      <c r="V14" s="22"/>
      <c r="W14" s="2"/>
      <c r="X14" s="2">
        <f t="shared" si="2"/>
        <v>59198.06</v>
      </c>
      <c r="Y14" s="2"/>
      <c r="Z14" s="22">
        <f t="shared" si="3"/>
        <v>0</v>
      </c>
    </row>
    <row r="15" spans="1:26" s="24" customFormat="1" hidden="1" outlineLevel="1" x14ac:dyDescent="0.35">
      <c r="A15" s="51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--91766.28</f>
        <v>91766.28</v>
      </c>
      <c r="E15" s="2"/>
      <c r="F15" s="22"/>
      <c r="G15" s="2"/>
      <c r="H15" s="2"/>
      <c r="I15" s="2"/>
      <c r="J15" s="22"/>
      <c r="K15" s="2"/>
      <c r="L15" s="2">
        <f t="shared" si="0"/>
        <v>91766.28</v>
      </c>
      <c r="M15" s="2"/>
      <c r="N15" s="22">
        <f t="shared" si="1"/>
        <v>0</v>
      </c>
      <c r="O15" s="11"/>
      <c r="P15" s="2">
        <f>--1085023.17</f>
        <v>1085023.17</v>
      </c>
      <c r="Q15" s="2"/>
      <c r="R15" s="22"/>
      <c r="S15" s="2"/>
      <c r="T15" s="2"/>
      <c r="U15" s="2"/>
      <c r="V15" s="22"/>
      <c r="W15" s="2"/>
      <c r="X15" s="2">
        <f t="shared" si="2"/>
        <v>1085023.17</v>
      </c>
      <c r="Y15" s="2"/>
      <c r="Z15" s="22">
        <f t="shared" si="3"/>
        <v>0</v>
      </c>
    </row>
    <row r="16" spans="1:26" s="24" customFormat="1" hidden="1" outlineLevel="1" x14ac:dyDescent="0.35">
      <c r="A16" s="51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--8639.61</f>
        <v>8639.61</v>
      </c>
      <c r="E16" s="2"/>
      <c r="F16" s="22"/>
      <c r="G16" s="2"/>
      <c r="H16" s="2"/>
      <c r="I16" s="2"/>
      <c r="J16" s="22"/>
      <c r="K16" s="2"/>
      <c r="L16" s="2">
        <f t="shared" si="0"/>
        <v>8639.61</v>
      </c>
      <c r="M16" s="2"/>
      <c r="N16" s="22">
        <f t="shared" si="1"/>
        <v>0</v>
      </c>
      <c r="O16" s="11"/>
      <c r="P16" s="2">
        <f>--93277.59</f>
        <v>93277.59</v>
      </c>
      <c r="Q16" s="2"/>
      <c r="R16" s="22"/>
      <c r="S16" s="2"/>
      <c r="T16" s="2"/>
      <c r="U16" s="2"/>
      <c r="V16" s="22"/>
      <c r="W16" s="2"/>
      <c r="X16" s="2">
        <f t="shared" si="2"/>
        <v>93277.59</v>
      </c>
      <c r="Y16" s="2"/>
      <c r="Z16" s="22">
        <f t="shared" si="3"/>
        <v>0</v>
      </c>
    </row>
    <row r="17" spans="1:26" s="24" customFormat="1" hidden="1" outlineLevel="1" x14ac:dyDescent="0.35">
      <c r="A17" s="51"/>
      <c r="B17" s="11" t="str">
        <f>CONCATENATE("          ", "4085", " - ", "TAXABLE SALES-SOFTWARE")</f>
        <v xml:space="preserve">          4085 - TAXABLE SALES-SOFTWARE</v>
      </c>
      <c r="C17" s="11"/>
      <c r="D17" s="2">
        <f>--149.99</f>
        <v>149.99</v>
      </c>
      <c r="E17" s="2"/>
      <c r="F17" s="22"/>
      <c r="G17" s="2"/>
      <c r="H17" s="2"/>
      <c r="I17" s="2"/>
      <c r="J17" s="22"/>
      <c r="K17" s="2"/>
      <c r="L17" s="2">
        <f t="shared" si="0"/>
        <v>149.99</v>
      </c>
      <c r="M17" s="2"/>
      <c r="N17" s="22">
        <f t="shared" si="1"/>
        <v>0</v>
      </c>
      <c r="O17" s="11"/>
      <c r="P17" s="2">
        <f>--2878.93</f>
        <v>2878.93</v>
      </c>
      <c r="Q17" s="2"/>
      <c r="R17" s="22"/>
      <c r="S17" s="2"/>
      <c r="T17" s="2"/>
      <c r="U17" s="2"/>
      <c r="V17" s="22"/>
      <c r="W17" s="2"/>
      <c r="X17" s="2">
        <f t="shared" si="2"/>
        <v>2878.93</v>
      </c>
      <c r="Y17" s="2"/>
      <c r="Z17" s="22">
        <f t="shared" si="3"/>
        <v>0</v>
      </c>
    </row>
    <row r="18" spans="1:26" s="24" customFormat="1" hidden="1" outlineLevel="1" x14ac:dyDescent="0.35">
      <c r="A18" s="51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--734.26</f>
        <v>734.26</v>
      </c>
      <c r="E18" s="2"/>
      <c r="F18" s="22"/>
      <c r="G18" s="2"/>
      <c r="H18" s="2"/>
      <c r="I18" s="2"/>
      <c r="J18" s="22"/>
      <c r="K18" s="2"/>
      <c r="L18" s="2">
        <f t="shared" si="0"/>
        <v>734.26</v>
      </c>
      <c r="M18" s="2"/>
      <c r="N18" s="22">
        <f t="shared" si="1"/>
        <v>0</v>
      </c>
      <c r="O18" s="11"/>
      <c r="P18" s="2">
        <f>--57869.84</f>
        <v>57869.84</v>
      </c>
      <c r="Q18" s="2"/>
      <c r="R18" s="22"/>
      <c r="S18" s="2"/>
      <c r="T18" s="2"/>
      <c r="U18" s="2"/>
      <c r="V18" s="22"/>
      <c r="W18" s="2"/>
      <c r="X18" s="2">
        <f t="shared" si="2"/>
        <v>57869.84</v>
      </c>
      <c r="Y18" s="2"/>
      <c r="Z18" s="22">
        <f t="shared" si="3"/>
        <v>0</v>
      </c>
    </row>
    <row r="19" spans="1:26" s="24" customFormat="1" hidden="1" outlineLevel="1" x14ac:dyDescent="0.35">
      <c r="A19" s="51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22"/>
      <c r="G19" s="2"/>
      <c r="H19" s="2">
        <v>17552</v>
      </c>
      <c r="I19" s="2"/>
      <c r="J19" s="22"/>
      <c r="K19" s="2"/>
      <c r="L19" s="2">
        <f t="shared" si="0"/>
        <v>-17552</v>
      </c>
      <c r="M19" s="2"/>
      <c r="N19" s="22">
        <f t="shared" si="1"/>
        <v>-1</v>
      </c>
      <c r="O19" s="11"/>
      <c r="P19" s="2">
        <f>0</f>
        <v>0</v>
      </c>
      <c r="Q19" s="2"/>
      <c r="R19" s="22"/>
      <c r="S19" s="2"/>
      <c r="T19" s="2">
        <v>97155</v>
      </c>
      <c r="U19" s="2"/>
      <c r="V19" s="22"/>
      <c r="W19" s="2"/>
      <c r="X19" s="2">
        <f t="shared" si="2"/>
        <v>-97155</v>
      </c>
      <c r="Y19" s="2"/>
      <c r="Z19" s="22">
        <f t="shared" si="3"/>
        <v>-1</v>
      </c>
    </row>
    <row r="20" spans="1:26" s="24" customFormat="1" hidden="1" outlineLevel="1" x14ac:dyDescent="0.35">
      <c r="A20" s="51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--2038.6</f>
        <v>2038.6</v>
      </c>
      <c r="E20" s="2"/>
      <c r="F20" s="22"/>
      <c r="G20" s="2"/>
      <c r="H20" s="2"/>
      <c r="I20" s="2"/>
      <c r="J20" s="22"/>
      <c r="K20" s="2"/>
      <c r="L20" s="2">
        <f t="shared" si="0"/>
        <v>2038.6</v>
      </c>
      <c r="M20" s="2"/>
      <c r="N20" s="22">
        <f t="shared" si="1"/>
        <v>0</v>
      </c>
      <c r="O20" s="11"/>
      <c r="P20" s="2">
        <f>--5572.72</f>
        <v>5572.72</v>
      </c>
      <c r="Q20" s="2"/>
      <c r="R20" s="22"/>
      <c r="S20" s="2"/>
      <c r="T20" s="2"/>
      <c r="U20" s="2"/>
      <c r="V20" s="22"/>
      <c r="W20" s="2"/>
      <c r="X20" s="2">
        <f t="shared" si="2"/>
        <v>5572.72</v>
      </c>
      <c r="Y20" s="2"/>
      <c r="Z20" s="22">
        <f t="shared" si="3"/>
        <v>0</v>
      </c>
    </row>
    <row r="21" spans="1:26" s="24" customFormat="1" hidden="1" outlineLevel="1" x14ac:dyDescent="0.35">
      <c r="A21" s="51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--22090.89</f>
        <v>22090.89</v>
      </c>
      <c r="E21" s="2"/>
      <c r="F21" s="22"/>
      <c r="G21" s="2"/>
      <c r="H21" s="2"/>
      <c r="I21" s="2"/>
      <c r="J21" s="22"/>
      <c r="K21" s="2"/>
      <c r="L21" s="2">
        <f t="shared" si="0"/>
        <v>22090.89</v>
      </c>
      <c r="M21" s="2"/>
      <c r="N21" s="22">
        <f t="shared" si="1"/>
        <v>0</v>
      </c>
      <c r="O21" s="11"/>
      <c r="P21" s="2">
        <f>--186399.2</f>
        <v>186399.2</v>
      </c>
      <c r="Q21" s="2"/>
      <c r="R21" s="22"/>
      <c r="S21" s="2"/>
      <c r="T21" s="2"/>
      <c r="U21" s="2"/>
      <c r="V21" s="22"/>
      <c r="W21" s="2"/>
      <c r="X21" s="2">
        <f t="shared" si="2"/>
        <v>186399.2</v>
      </c>
      <c r="Y21" s="2"/>
      <c r="Z21" s="22">
        <f t="shared" si="3"/>
        <v>0</v>
      </c>
    </row>
    <row r="22" spans="1:26" s="24" customFormat="1" hidden="1" outlineLevel="1" x14ac:dyDescent="0.35">
      <c r="A22" s="51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--2888.95</f>
        <v>2888.95</v>
      </c>
      <c r="E22" s="2"/>
      <c r="F22" s="22"/>
      <c r="G22" s="2"/>
      <c r="H22" s="2"/>
      <c r="I22" s="2"/>
      <c r="J22" s="22"/>
      <c r="K22" s="2"/>
      <c r="L22" s="2">
        <f t="shared" si="0"/>
        <v>2888.95</v>
      </c>
      <c r="M22" s="2"/>
      <c r="N22" s="22">
        <f t="shared" si="1"/>
        <v>0</v>
      </c>
      <c r="O22" s="11"/>
      <c r="P22" s="2">
        <f>--10518.14</f>
        <v>10518.14</v>
      </c>
      <c r="Q22" s="2"/>
      <c r="R22" s="22"/>
      <c r="S22" s="2"/>
      <c r="T22" s="2"/>
      <c r="U22" s="2"/>
      <c r="V22" s="22"/>
      <c r="W22" s="2"/>
      <c r="X22" s="2">
        <f t="shared" si="2"/>
        <v>10518.14</v>
      </c>
      <c r="Y22" s="2"/>
      <c r="Z22" s="22">
        <f t="shared" si="3"/>
        <v>0</v>
      </c>
    </row>
    <row r="23" spans="1:26" s="24" customFormat="1" hidden="1" outlineLevel="1" x14ac:dyDescent="0.35">
      <c r="A23" s="51"/>
      <c r="B23" s="11" t="str">
        <f>CONCATENATE("          ", "4185", " - ", "NON-TAXABLE SALES-SOFTWARE")</f>
        <v xml:space="preserve">          4185 - NON-TAXABLE SALES-SOFTWARE</v>
      </c>
      <c r="C23" s="11"/>
      <c r="D23" s="2">
        <f>--3149.85</f>
        <v>3149.85</v>
      </c>
      <c r="E23" s="2"/>
      <c r="F23" s="22"/>
      <c r="G23" s="2"/>
      <c r="H23" s="2"/>
      <c r="I23" s="2"/>
      <c r="J23" s="22"/>
      <c r="K23" s="2"/>
      <c r="L23" s="2">
        <f t="shared" si="0"/>
        <v>3149.85</v>
      </c>
      <c r="M23" s="2"/>
      <c r="N23" s="22">
        <f t="shared" si="1"/>
        <v>0</v>
      </c>
      <c r="O23" s="11"/>
      <c r="P23" s="2">
        <f>--29830.52</f>
        <v>29830.52</v>
      </c>
      <c r="Q23" s="2"/>
      <c r="R23" s="22"/>
      <c r="S23" s="2"/>
      <c r="T23" s="2"/>
      <c r="U23" s="2"/>
      <c r="V23" s="22"/>
      <c r="W23" s="2"/>
      <c r="X23" s="2">
        <f t="shared" si="2"/>
        <v>29830.52</v>
      </c>
      <c r="Y23" s="2"/>
      <c r="Z23" s="22">
        <f t="shared" si="3"/>
        <v>0</v>
      </c>
    </row>
    <row r="24" spans="1:26" s="24" customFormat="1" hidden="1" outlineLevel="1" x14ac:dyDescent="0.35">
      <c r="A24" s="51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--535.04</f>
        <v>535.04</v>
      </c>
      <c r="E24" s="2"/>
      <c r="F24" s="22"/>
      <c r="G24" s="2"/>
      <c r="H24" s="2"/>
      <c r="I24" s="2"/>
      <c r="J24" s="22"/>
      <c r="K24" s="2"/>
      <c r="L24" s="2">
        <f t="shared" si="0"/>
        <v>535.04</v>
      </c>
      <c r="M24" s="2"/>
      <c r="N24" s="22">
        <f t="shared" si="1"/>
        <v>0</v>
      </c>
      <c r="O24" s="11"/>
      <c r="P24" s="2">
        <f>--2485.03</f>
        <v>2485.0300000000002</v>
      </c>
      <c r="Q24" s="2"/>
      <c r="R24" s="22"/>
      <c r="S24" s="2"/>
      <c r="T24" s="2"/>
      <c r="U24" s="2"/>
      <c r="V24" s="22"/>
      <c r="W24" s="2"/>
      <c r="X24" s="2">
        <f t="shared" si="2"/>
        <v>2485.0300000000002</v>
      </c>
      <c r="Y24" s="2"/>
      <c r="Z24" s="22">
        <f t="shared" si="3"/>
        <v>0</v>
      </c>
    </row>
    <row r="25" spans="1:26" s="24" customFormat="1" hidden="1" outlineLevel="1" x14ac:dyDescent="0.35">
      <c r="A25" s="51"/>
      <c r="B25" s="11" t="str">
        <f>CONCATENATE("          ", "4281", " - ", "SALES RETURN TAXABLE-ELECTRONI")</f>
        <v xml:space="preserve">          4281 - SALES RETURN TAXABLE-ELECTRONI</v>
      </c>
      <c r="C25" s="11"/>
      <c r="D25" s="2">
        <f>-129.99</f>
        <v>-129.99</v>
      </c>
      <c r="E25" s="2"/>
      <c r="F25" s="22"/>
      <c r="G25" s="2"/>
      <c r="H25" s="2"/>
      <c r="I25" s="2"/>
      <c r="J25" s="22"/>
      <c r="K25" s="2"/>
      <c r="L25" s="2">
        <f t="shared" si="0"/>
        <v>-129.99</v>
      </c>
      <c r="M25" s="2"/>
      <c r="N25" s="22">
        <f t="shared" si="1"/>
        <v>0</v>
      </c>
      <c r="O25" s="11"/>
      <c r="P25" s="2">
        <f>-14762.14</f>
        <v>-14762.14</v>
      </c>
      <c r="Q25" s="2"/>
      <c r="R25" s="22"/>
      <c r="S25" s="2"/>
      <c r="T25" s="2"/>
      <c r="U25" s="2"/>
      <c r="V25" s="22"/>
      <c r="W25" s="2"/>
      <c r="X25" s="2">
        <f t="shared" si="2"/>
        <v>-14762.14</v>
      </c>
      <c r="Y25" s="2"/>
      <c r="Z25" s="22">
        <f t="shared" si="3"/>
        <v>0</v>
      </c>
    </row>
    <row r="26" spans="1:26" s="24" customFormat="1" hidden="1" outlineLevel="1" x14ac:dyDescent="0.35">
      <c r="A26" s="51"/>
      <c r="B26" s="11" t="str">
        <f>CONCATENATE("          ", "4282", " - ", "SALES RETURN TAXABLE-COMPUTER")</f>
        <v xml:space="preserve">          4282 - SALES RETURN TAXABLE-COMPUTER</v>
      </c>
      <c r="C26" s="11"/>
      <c r="D26" s="2">
        <f>-4897</f>
        <v>-4897</v>
      </c>
      <c r="E26" s="2"/>
      <c r="F26" s="22"/>
      <c r="G26" s="2"/>
      <c r="H26" s="2"/>
      <c r="I26" s="2"/>
      <c r="J26" s="22"/>
      <c r="K26" s="2"/>
      <c r="L26" s="2">
        <f t="shared" si="0"/>
        <v>-4897</v>
      </c>
      <c r="M26" s="2"/>
      <c r="N26" s="22">
        <f t="shared" si="1"/>
        <v>0</v>
      </c>
      <c r="O26" s="11"/>
      <c r="P26" s="2">
        <f>-96917.01</f>
        <v>-96917.01</v>
      </c>
      <c r="Q26" s="2"/>
      <c r="R26" s="22"/>
      <c r="S26" s="2"/>
      <c r="T26" s="2"/>
      <c r="U26" s="2"/>
      <c r="V26" s="22"/>
      <c r="W26" s="2"/>
      <c r="X26" s="2">
        <f t="shared" si="2"/>
        <v>-96917.01</v>
      </c>
      <c r="Y26" s="2"/>
      <c r="Z26" s="22">
        <f t="shared" si="3"/>
        <v>0</v>
      </c>
    </row>
    <row r="27" spans="1:26" s="24" customFormat="1" hidden="1" outlineLevel="1" x14ac:dyDescent="0.35">
      <c r="A27" s="51"/>
      <c r="B27" s="11" t="str">
        <f>CONCATENATE("          ", "4283", " - ", "SALES RETURN TAXABLE-COMPUTER")</f>
        <v xml:space="preserve">          4283 - SALES RETURN TAXABLE-COMPUTER</v>
      </c>
      <c r="C27" s="11"/>
      <c r="D27" s="2">
        <f>--264.97</f>
        <v>264.97000000000003</v>
      </c>
      <c r="E27" s="2"/>
      <c r="F27" s="22"/>
      <c r="G27" s="2"/>
      <c r="H27" s="2"/>
      <c r="I27" s="2"/>
      <c r="J27" s="22"/>
      <c r="K27" s="2"/>
      <c r="L27" s="2">
        <f t="shared" si="0"/>
        <v>264.97000000000003</v>
      </c>
      <c r="M27" s="2"/>
      <c r="N27" s="22">
        <f t="shared" si="1"/>
        <v>0</v>
      </c>
      <c r="O27" s="11"/>
      <c r="P27" s="2">
        <f>-3146.29</f>
        <v>-3146.29</v>
      </c>
      <c r="Q27" s="2"/>
      <c r="R27" s="22"/>
      <c r="S27" s="2"/>
      <c r="T27" s="2"/>
      <c r="U27" s="2"/>
      <c r="V27" s="22"/>
      <c r="W27" s="2"/>
      <c r="X27" s="2">
        <f t="shared" si="2"/>
        <v>-3146.29</v>
      </c>
      <c r="Y27" s="2"/>
      <c r="Z27" s="22">
        <f t="shared" si="3"/>
        <v>0</v>
      </c>
    </row>
    <row r="28" spans="1:26" s="24" customFormat="1" hidden="1" outlineLevel="1" x14ac:dyDescent="0.35">
      <c r="A28" s="51"/>
      <c r="B28" s="11" t="str">
        <f>CONCATENATE("          ", "4285", " - ", "SALES RETURN TAXABLE-SOFTWARE")</f>
        <v xml:space="preserve">          4285 - SALES RETURN TAXABLE-SOFTWARE</v>
      </c>
      <c r="C28" s="11"/>
      <c r="D28" s="2">
        <f>0</f>
        <v>0</v>
      </c>
      <c r="E28" s="2"/>
      <c r="F28" s="22"/>
      <c r="G28" s="2"/>
      <c r="H28" s="2"/>
      <c r="I28" s="2"/>
      <c r="J28" s="22"/>
      <c r="K28" s="2"/>
      <c r="L28" s="2">
        <f t="shared" si="0"/>
        <v>0</v>
      </c>
      <c r="M28" s="2"/>
      <c r="N28" s="22">
        <f t="shared" si="1"/>
        <v>0</v>
      </c>
      <c r="O28" s="11"/>
      <c r="P28" s="2">
        <f>-691.98</f>
        <v>-691.98</v>
      </c>
      <c r="Q28" s="2"/>
      <c r="R28" s="22"/>
      <c r="S28" s="2"/>
      <c r="T28" s="2"/>
      <c r="U28" s="2"/>
      <c r="V28" s="22"/>
      <c r="W28" s="2"/>
      <c r="X28" s="2">
        <f t="shared" si="2"/>
        <v>-691.98</v>
      </c>
      <c r="Y28" s="2"/>
      <c r="Z28" s="22">
        <f t="shared" si="3"/>
        <v>0</v>
      </c>
    </row>
    <row r="29" spans="1:26" s="24" customFormat="1" hidden="1" outlineLevel="1" x14ac:dyDescent="0.35">
      <c r="A29" s="51"/>
      <c r="B29" s="11" t="str">
        <f>CONCATENATE("          ", "4286", " - ", "SALES RETURN TAXABLE-COMPUTER")</f>
        <v xml:space="preserve">          4286 - SALES RETURN TAXABLE-COMPUTER</v>
      </c>
      <c r="C29" s="11"/>
      <c r="D29" s="2">
        <f>-18.99</f>
        <v>-18.989999999999998</v>
      </c>
      <c r="E29" s="2"/>
      <c r="F29" s="22"/>
      <c r="G29" s="2"/>
      <c r="H29" s="2"/>
      <c r="I29" s="2"/>
      <c r="J29" s="22"/>
      <c r="K29" s="2"/>
      <c r="L29" s="2">
        <f t="shared" si="0"/>
        <v>-18.989999999999998</v>
      </c>
      <c r="M29" s="2"/>
      <c r="N29" s="22">
        <f t="shared" si="1"/>
        <v>0</v>
      </c>
      <c r="O29" s="11"/>
      <c r="P29" s="2">
        <f>-4727.34</f>
        <v>-4727.34</v>
      </c>
      <c r="Q29" s="2"/>
      <c r="R29" s="22"/>
      <c r="S29" s="2"/>
      <c r="T29" s="2"/>
      <c r="U29" s="2"/>
      <c r="V29" s="22"/>
      <c r="W29" s="2"/>
      <c r="X29" s="2">
        <f t="shared" si="2"/>
        <v>-4727.34</v>
      </c>
      <c r="Y29" s="2"/>
      <c r="Z29" s="22">
        <f t="shared" si="3"/>
        <v>0</v>
      </c>
    </row>
    <row r="30" spans="1:26" s="24" customFormat="1" hidden="1" outlineLevel="1" x14ac:dyDescent="0.35">
      <c r="A30" s="51"/>
      <c r="B30" s="11" t="str">
        <f>CONCATENATE("          ", "4381", " - ", "SALES RETURN NON TAXABLE-ELECT")</f>
        <v xml:space="preserve">          4381 - SALES RETURN NON TAXABLE-ELECT</v>
      </c>
      <c r="C30" s="11"/>
      <c r="D30" s="2">
        <f>0</f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-5624.15</f>
        <v>-5624.15</v>
      </c>
      <c r="Q30" s="2"/>
      <c r="R30" s="22"/>
      <c r="S30" s="2"/>
      <c r="T30" s="2"/>
      <c r="U30" s="2"/>
      <c r="V30" s="22"/>
      <c r="W30" s="2"/>
      <c r="X30" s="2">
        <f t="shared" si="2"/>
        <v>-5624.15</v>
      </c>
      <c r="Y30" s="2"/>
      <c r="Z30" s="22">
        <f t="shared" si="3"/>
        <v>0</v>
      </c>
    </row>
    <row r="31" spans="1:26" x14ac:dyDescent="0.3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35">
      <c r="A32" s="10"/>
      <c r="B32" s="25" t="s">
        <v>8</v>
      </c>
      <c r="C32" s="10"/>
      <c r="D32" s="4">
        <f>SUM(OSRRefD16x_0)</f>
        <v>110569</v>
      </c>
      <c r="E32" s="4"/>
      <c r="F32" s="12">
        <f t="shared" ref="F32:F44" si="4">IF(D$12=0,0,D32/D$12)</f>
        <v>0.85585146612621954</v>
      </c>
      <c r="G32" s="4"/>
      <c r="H32" s="4">
        <f>SUM(OSRRefH16x_0)</f>
        <v>151205</v>
      </c>
      <c r="I32" s="4"/>
      <c r="J32" s="12">
        <f t="shared" ref="J32:J44" si="5">IF(H$12=0,0,H32/H$12)</f>
        <v>0.78096512114372485</v>
      </c>
      <c r="K32" s="4"/>
      <c r="L32" s="4">
        <f t="shared" ref="L32:L44" si="6">+D32-H32</f>
        <v>-40636</v>
      </c>
      <c r="M32" s="4"/>
      <c r="N32" s="12">
        <f t="shared" ref="N32:N44" si="7">IF(H32=0,0,L32/H32)</f>
        <v>-0.26874772659634272</v>
      </c>
      <c r="O32" s="10"/>
      <c r="P32" s="4">
        <f>SUM(OSRRefP16x_0)</f>
        <v>1326535.8400000001</v>
      </c>
      <c r="Q32" s="4"/>
      <c r="R32" s="12">
        <f t="shared" ref="R32:R44" si="8">IF(P$12=0,0,P32/P$12)</f>
        <v>0.94446530977237164</v>
      </c>
      <c r="S32" s="4"/>
      <c r="T32" s="4">
        <f>SUM(OSRRefT16x_0)</f>
        <v>1264111</v>
      </c>
      <c r="U32" s="4"/>
      <c r="V32" s="12">
        <f t="shared" ref="V32:V44" si="9">IF(T$12=0,0,T32/T$12)</f>
        <v>0.78096285995118175</v>
      </c>
      <c r="W32" s="4"/>
      <c r="X32" s="4">
        <f t="shared" ref="X32:X44" si="10">+P32-T32</f>
        <v>62424.840000000084</v>
      </c>
      <c r="Y32" s="4"/>
      <c r="Z32" s="12">
        <f t="shared" ref="Z32:Z44" si="11">IF(T32=0,0,X32/T32)</f>
        <v>4.9382403918643285E-2</v>
      </c>
    </row>
    <row r="33" spans="1:26" s="24" customFormat="1" hidden="1" outlineLevel="1" x14ac:dyDescent="0.35">
      <c r="A33" s="51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22">
        <f t="shared" si="4"/>
        <v>0</v>
      </c>
      <c r="G33" s="2"/>
      <c r="H33" s="2">
        <v>151205</v>
      </c>
      <c r="I33" s="2"/>
      <c r="J33" s="22">
        <f t="shared" si="5"/>
        <v>0.78096512114372485</v>
      </c>
      <c r="K33" s="2"/>
      <c r="L33" s="2">
        <f t="shared" si="6"/>
        <v>-151205</v>
      </c>
      <c r="M33" s="2"/>
      <c r="N33" s="22">
        <f t="shared" si="7"/>
        <v>-1</v>
      </c>
      <c r="O33" s="11"/>
      <c r="P33" s="2"/>
      <c r="Q33" s="2"/>
      <c r="R33" s="22">
        <f t="shared" si="8"/>
        <v>0</v>
      </c>
      <c r="S33" s="2"/>
      <c r="T33" s="2">
        <v>1264111</v>
      </c>
      <c r="U33" s="2"/>
      <c r="V33" s="22">
        <f t="shared" si="9"/>
        <v>0.78096285995118175</v>
      </c>
      <c r="W33" s="2"/>
      <c r="X33" s="2">
        <f t="shared" si="10"/>
        <v>-1264111</v>
      </c>
      <c r="Y33" s="2"/>
      <c r="Z33" s="22">
        <f t="shared" si="11"/>
        <v>-1</v>
      </c>
    </row>
    <row r="34" spans="1:26" s="24" customFormat="1" hidden="1" outlineLevel="1" x14ac:dyDescent="0.35">
      <c r="A34" s="51"/>
      <c r="B34" s="11" t="str">
        <f>CONCATENATE("          ", "5081", " - ", "PURCHASES @ COST-ELECTRONICS")</f>
        <v xml:space="preserve">          5081 - PURCHASES @ COST-ELECTRONICS</v>
      </c>
      <c r="C34" s="11"/>
      <c r="D34" s="2">
        <v>313.26</v>
      </c>
      <c r="E34" s="2"/>
      <c r="F34" s="22">
        <f t="shared" si="4"/>
        <v>2.4247667092828868E-3</v>
      </c>
      <c r="G34" s="2"/>
      <c r="H34" s="2"/>
      <c r="I34" s="2"/>
      <c r="J34" s="22">
        <f t="shared" si="5"/>
        <v>0</v>
      </c>
      <c r="K34" s="2"/>
      <c r="L34" s="2">
        <f t="shared" si="6"/>
        <v>313.26</v>
      </c>
      <c r="M34" s="2"/>
      <c r="N34" s="22">
        <f t="shared" si="7"/>
        <v>0</v>
      </c>
      <c r="O34" s="11"/>
      <c r="P34" s="2">
        <v>25573.769999999997</v>
      </c>
      <c r="Q34" s="2"/>
      <c r="R34" s="22">
        <f t="shared" si="8"/>
        <v>1.8207980422977024E-2</v>
      </c>
      <c r="S34" s="2"/>
      <c r="T34" s="2"/>
      <c r="U34" s="2"/>
      <c r="V34" s="22">
        <f t="shared" si="9"/>
        <v>0</v>
      </c>
      <c r="W34" s="2"/>
      <c r="X34" s="2">
        <f t="shared" si="10"/>
        <v>25573.769999999997</v>
      </c>
      <c r="Y34" s="2"/>
      <c r="Z34" s="22">
        <f t="shared" si="11"/>
        <v>0</v>
      </c>
    </row>
    <row r="35" spans="1:26" s="24" customFormat="1" hidden="1" outlineLevel="1" x14ac:dyDescent="0.35">
      <c r="A35" s="51"/>
      <c r="B35" s="11" t="str">
        <f>CONCATENATE("          ", "5082", " - ", "PURCHASES @ COST-COMPUTER HARD")</f>
        <v xml:space="preserve">          5082 - PURCHASES @ COST-COMPUTER HARD</v>
      </c>
      <c r="C35" s="11"/>
      <c r="D35" s="2">
        <v>98264.71</v>
      </c>
      <c r="E35" s="2"/>
      <c r="F35" s="22">
        <f t="shared" si="4"/>
        <v>0.76061098609888655</v>
      </c>
      <c r="G35" s="2"/>
      <c r="H35" s="2"/>
      <c r="I35" s="2"/>
      <c r="J35" s="22">
        <f t="shared" si="5"/>
        <v>0</v>
      </c>
      <c r="K35" s="2"/>
      <c r="L35" s="2">
        <f t="shared" si="6"/>
        <v>98264.71</v>
      </c>
      <c r="M35" s="2"/>
      <c r="N35" s="22">
        <f t="shared" si="7"/>
        <v>0</v>
      </c>
      <c r="O35" s="11"/>
      <c r="P35" s="2">
        <v>1079201.53</v>
      </c>
      <c r="Q35" s="2"/>
      <c r="R35" s="22">
        <f t="shared" si="8"/>
        <v>0.76836854052753478</v>
      </c>
      <c r="S35" s="2"/>
      <c r="T35" s="2"/>
      <c r="U35" s="2"/>
      <c r="V35" s="22">
        <f t="shared" si="9"/>
        <v>0</v>
      </c>
      <c r="W35" s="2"/>
      <c r="X35" s="2">
        <f t="shared" si="10"/>
        <v>1079201.53</v>
      </c>
      <c r="Y35" s="2"/>
      <c r="Z35" s="22">
        <f t="shared" si="11"/>
        <v>0</v>
      </c>
    </row>
    <row r="36" spans="1:26" s="24" customFormat="1" hidden="1" outlineLevel="1" x14ac:dyDescent="0.35">
      <c r="A36" s="51"/>
      <c r="B36" s="11" t="str">
        <f>CONCATENATE("          ", "5083", " - ", "PURCHASES @ COST-COMPUTER EQUI")</f>
        <v xml:space="preserve">          5083 - PURCHASES @ COST-COMPUTER EQUI</v>
      </c>
      <c r="C36" s="11"/>
      <c r="D36" s="2">
        <v>8829.83</v>
      </c>
      <c r="E36" s="2"/>
      <c r="F36" s="22">
        <f t="shared" si="4"/>
        <v>6.8346669963057244E-2</v>
      </c>
      <c r="G36" s="2"/>
      <c r="H36" s="2"/>
      <c r="I36" s="2"/>
      <c r="J36" s="22">
        <f t="shared" si="5"/>
        <v>0</v>
      </c>
      <c r="K36" s="2"/>
      <c r="L36" s="2">
        <f t="shared" si="6"/>
        <v>8829.83</v>
      </c>
      <c r="M36" s="2"/>
      <c r="N36" s="22">
        <f t="shared" si="7"/>
        <v>0</v>
      </c>
      <c r="O36" s="11"/>
      <c r="P36" s="2">
        <v>90556.67</v>
      </c>
      <c r="Q36" s="2"/>
      <c r="R36" s="22">
        <f t="shared" si="8"/>
        <v>6.4474423384975735E-2</v>
      </c>
      <c r="S36" s="2"/>
      <c r="T36" s="2"/>
      <c r="U36" s="2"/>
      <c r="V36" s="22">
        <f t="shared" si="9"/>
        <v>0</v>
      </c>
      <c r="W36" s="2"/>
      <c r="X36" s="2">
        <f t="shared" si="10"/>
        <v>90556.67</v>
      </c>
      <c r="Y36" s="2"/>
      <c r="Z36" s="22">
        <f t="shared" si="11"/>
        <v>0</v>
      </c>
    </row>
    <row r="37" spans="1:26" s="24" customFormat="1" hidden="1" outlineLevel="1" x14ac:dyDescent="0.35">
      <c r="A37" s="51"/>
      <c r="B37" s="11" t="str">
        <f>CONCATENATE("          ", "5085", " - ", "PURCHASES @ COST-SOFTWARE")</f>
        <v xml:space="preserve">          5085 - PURCHASES @ COST-SOFTWARE</v>
      </c>
      <c r="C37" s="11"/>
      <c r="D37" s="2">
        <v>4174.1400000000003</v>
      </c>
      <c r="E37" s="2"/>
      <c r="F37" s="22">
        <f t="shared" si="4"/>
        <v>3.2309633249971492E-2</v>
      </c>
      <c r="G37" s="2"/>
      <c r="H37" s="2"/>
      <c r="I37" s="2"/>
      <c r="J37" s="22">
        <f t="shared" si="5"/>
        <v>0</v>
      </c>
      <c r="K37" s="2"/>
      <c r="L37" s="2">
        <f t="shared" si="6"/>
        <v>4174.1400000000003</v>
      </c>
      <c r="M37" s="2"/>
      <c r="N37" s="22">
        <f t="shared" si="7"/>
        <v>0</v>
      </c>
      <c r="O37" s="11"/>
      <c r="P37" s="2">
        <v>28746.22</v>
      </c>
      <c r="Q37" s="2"/>
      <c r="R37" s="22">
        <f t="shared" si="8"/>
        <v>2.0466697361968558E-2</v>
      </c>
      <c r="S37" s="2"/>
      <c r="T37" s="2"/>
      <c r="U37" s="2"/>
      <c r="V37" s="22">
        <f t="shared" si="9"/>
        <v>0</v>
      </c>
      <c r="W37" s="2"/>
      <c r="X37" s="2">
        <f t="shared" si="10"/>
        <v>28746.22</v>
      </c>
      <c r="Y37" s="2"/>
      <c r="Z37" s="22">
        <f t="shared" si="11"/>
        <v>0</v>
      </c>
    </row>
    <row r="38" spans="1:26" s="24" customFormat="1" hidden="1" outlineLevel="1" x14ac:dyDescent="0.35">
      <c r="A38" s="51"/>
      <c r="B38" s="11" t="str">
        <f>CONCATENATE("          ", "5086", " - ", "PURCHASES @ COST-COMPUTER SUPP")</f>
        <v xml:space="preserve">          5086 - PURCHASES @ COST-COMPUTER SUPP</v>
      </c>
      <c r="C38" s="11"/>
      <c r="D38" s="2">
        <v>21.24</v>
      </c>
      <c r="E38" s="2"/>
      <c r="F38" s="22">
        <f t="shared" si="4"/>
        <v>1.644067065861218E-4</v>
      </c>
      <c r="G38" s="2"/>
      <c r="H38" s="2"/>
      <c r="I38" s="2"/>
      <c r="J38" s="22">
        <f t="shared" si="5"/>
        <v>0</v>
      </c>
      <c r="K38" s="2"/>
      <c r="L38" s="2">
        <f t="shared" si="6"/>
        <v>21.24</v>
      </c>
      <c r="M38" s="2"/>
      <c r="N38" s="22">
        <f t="shared" si="7"/>
        <v>0</v>
      </c>
      <c r="O38" s="11"/>
      <c r="P38" s="2">
        <v>22739.85</v>
      </c>
      <c r="Q38" s="2"/>
      <c r="R38" s="22">
        <f t="shared" si="8"/>
        <v>1.6190289645266774E-2</v>
      </c>
      <c r="S38" s="2"/>
      <c r="T38" s="2"/>
      <c r="U38" s="2"/>
      <c r="V38" s="22">
        <f t="shared" si="9"/>
        <v>0</v>
      </c>
      <c r="W38" s="2"/>
      <c r="X38" s="2">
        <f t="shared" si="10"/>
        <v>22739.85</v>
      </c>
      <c r="Y38" s="2"/>
      <c r="Z38" s="22">
        <f t="shared" si="11"/>
        <v>0</v>
      </c>
    </row>
    <row r="39" spans="1:26" s="24" customFormat="1" hidden="1" outlineLevel="1" x14ac:dyDescent="0.35">
      <c r="A39" s="51"/>
      <c r="B39" s="11" t="str">
        <f>CONCATENATE("          ", "5200", " - ", "PURCHASES OFFSET")</f>
        <v xml:space="preserve">          5200 - PURCHASES OFFSET</v>
      </c>
      <c r="C39" s="11"/>
      <c r="D39" s="2">
        <v>-111613.24</v>
      </c>
      <c r="E39" s="2"/>
      <c r="F39" s="22">
        <f t="shared" si="4"/>
        <v>-0.86393433144097909</v>
      </c>
      <c r="G39" s="2"/>
      <c r="H39" s="2"/>
      <c r="I39" s="2"/>
      <c r="J39" s="22">
        <f t="shared" si="5"/>
        <v>0</v>
      </c>
      <c r="K39" s="2"/>
      <c r="L39" s="2">
        <f t="shared" si="6"/>
        <v>-111613.24</v>
      </c>
      <c r="M39" s="2"/>
      <c r="N39" s="22">
        <f t="shared" si="7"/>
        <v>0</v>
      </c>
      <c r="O39" s="11"/>
      <c r="P39" s="2">
        <v>-1243263.78</v>
      </c>
      <c r="Q39" s="2"/>
      <c r="R39" s="22">
        <f t="shared" si="8"/>
        <v>-0.88517737380278372</v>
      </c>
      <c r="S39" s="2"/>
      <c r="T39" s="2"/>
      <c r="U39" s="2"/>
      <c r="V39" s="22">
        <f t="shared" si="9"/>
        <v>0</v>
      </c>
      <c r="W39" s="2"/>
      <c r="X39" s="2">
        <f t="shared" si="10"/>
        <v>-1243263.78</v>
      </c>
      <c r="Y39" s="2"/>
      <c r="Z39" s="22">
        <f t="shared" si="11"/>
        <v>0</v>
      </c>
    </row>
    <row r="40" spans="1:26" s="24" customFormat="1" hidden="1" outlineLevel="1" x14ac:dyDescent="0.35">
      <c r="A40" s="51"/>
      <c r="B40" s="11" t="str">
        <f>CONCATENATE("          ", "5300", " - ", "COG$ OFFSET")</f>
        <v xml:space="preserve">          5300 - COG$ OFFSET</v>
      </c>
      <c r="C40" s="11"/>
      <c r="D40" s="2">
        <v>110569</v>
      </c>
      <c r="E40" s="2"/>
      <c r="F40" s="22">
        <f t="shared" si="4"/>
        <v>0.85585146612621954</v>
      </c>
      <c r="G40" s="2"/>
      <c r="H40" s="2"/>
      <c r="I40" s="2"/>
      <c r="J40" s="22">
        <f t="shared" si="5"/>
        <v>0</v>
      </c>
      <c r="K40" s="2"/>
      <c r="L40" s="2">
        <f t="shared" si="6"/>
        <v>110569</v>
      </c>
      <c r="M40" s="2"/>
      <c r="N40" s="22">
        <f t="shared" si="7"/>
        <v>0</v>
      </c>
      <c r="O40" s="11"/>
      <c r="P40" s="2">
        <v>1322590</v>
      </c>
      <c r="Q40" s="2"/>
      <c r="R40" s="22">
        <f t="shared" si="8"/>
        <v>0.94165595559924031</v>
      </c>
      <c r="S40" s="2"/>
      <c r="T40" s="2"/>
      <c r="U40" s="2"/>
      <c r="V40" s="22">
        <f t="shared" si="9"/>
        <v>0</v>
      </c>
      <c r="W40" s="2"/>
      <c r="X40" s="2">
        <f t="shared" si="10"/>
        <v>1322590</v>
      </c>
      <c r="Y40" s="2"/>
      <c r="Z40" s="22">
        <f t="shared" si="11"/>
        <v>0</v>
      </c>
    </row>
    <row r="41" spans="1:26" s="24" customFormat="1" hidden="1" outlineLevel="1" x14ac:dyDescent="0.35">
      <c r="A41" s="51"/>
      <c r="B41" s="11" t="str">
        <f>CONCATENATE("          ", "5581", " - ", "FREIGHT-IN-ELECTRONICS")</f>
        <v xml:space="preserve">          5581 - FREIGHT-IN-ELECTRONICS</v>
      </c>
      <c r="C41" s="11"/>
      <c r="D41" s="2"/>
      <c r="E41" s="2"/>
      <c r="F41" s="22">
        <f t="shared" si="4"/>
        <v>0</v>
      </c>
      <c r="G41" s="2"/>
      <c r="H41" s="2"/>
      <c r="I41" s="2"/>
      <c r="J41" s="22">
        <f t="shared" si="5"/>
        <v>0</v>
      </c>
      <c r="K41" s="2"/>
      <c r="L41" s="2">
        <f t="shared" si="6"/>
        <v>0</v>
      </c>
      <c r="M41" s="2"/>
      <c r="N41" s="22">
        <f t="shared" si="7"/>
        <v>0</v>
      </c>
      <c r="O41" s="11"/>
      <c r="P41" s="2">
        <v>31</v>
      </c>
      <c r="Q41" s="2"/>
      <c r="R41" s="22">
        <f t="shared" si="8"/>
        <v>2.2071340796147293E-5</v>
      </c>
      <c r="S41" s="2"/>
      <c r="T41" s="2"/>
      <c r="U41" s="2"/>
      <c r="V41" s="22">
        <f t="shared" si="9"/>
        <v>0</v>
      </c>
      <c r="W41" s="2"/>
      <c r="X41" s="2">
        <f t="shared" si="10"/>
        <v>31</v>
      </c>
      <c r="Y41" s="2"/>
      <c r="Z41" s="22">
        <f t="shared" si="11"/>
        <v>0</v>
      </c>
    </row>
    <row r="42" spans="1:26" s="24" customFormat="1" hidden="1" outlineLevel="1" x14ac:dyDescent="0.35">
      <c r="A42" s="51"/>
      <c r="B42" s="11" t="str">
        <f>CONCATENATE("          ", "5582", " - ", "FREIGHT-IN-COMPUTER HARDWARE")</f>
        <v xml:space="preserve">          5582 - FREIGHT-IN-COMPUTER HARDWARE</v>
      </c>
      <c r="C42" s="11"/>
      <c r="D42" s="2"/>
      <c r="E42" s="2"/>
      <c r="F42" s="22">
        <f t="shared" si="4"/>
        <v>0</v>
      </c>
      <c r="G42" s="2"/>
      <c r="H42" s="2"/>
      <c r="I42" s="2"/>
      <c r="J42" s="22">
        <f t="shared" si="5"/>
        <v>0</v>
      </c>
      <c r="K42" s="2"/>
      <c r="L42" s="2">
        <f t="shared" si="6"/>
        <v>0</v>
      </c>
      <c r="M42" s="2"/>
      <c r="N42" s="22">
        <f t="shared" si="7"/>
        <v>0</v>
      </c>
      <c r="O42" s="11"/>
      <c r="P42" s="2">
        <v>94</v>
      </c>
      <c r="Q42" s="2"/>
      <c r="R42" s="22">
        <f t="shared" si="8"/>
        <v>6.6926001123801467E-5</v>
      </c>
      <c r="S42" s="2"/>
      <c r="T42" s="2"/>
      <c r="U42" s="2"/>
      <c r="V42" s="22">
        <f t="shared" si="9"/>
        <v>0</v>
      </c>
      <c r="W42" s="2"/>
      <c r="X42" s="2">
        <f t="shared" si="10"/>
        <v>94</v>
      </c>
      <c r="Y42" s="2"/>
      <c r="Z42" s="22">
        <f t="shared" si="11"/>
        <v>0</v>
      </c>
    </row>
    <row r="43" spans="1:26" s="24" customFormat="1" hidden="1" outlineLevel="1" x14ac:dyDescent="0.35">
      <c r="A43" s="51"/>
      <c r="B43" s="11" t="str">
        <f>CONCATENATE("          ", "5583", " - ", "FREIGHT-IN-COMPUTER EQUIPMENT")</f>
        <v xml:space="preserve">          5583 - FREIGHT-IN-COMPUTER EQUIPMENT</v>
      </c>
      <c r="C43" s="11"/>
      <c r="D43" s="2">
        <v>10.06</v>
      </c>
      <c r="E43" s="2"/>
      <c r="F43" s="22">
        <f t="shared" si="4"/>
        <v>7.7868713194745076E-5</v>
      </c>
      <c r="G43" s="2"/>
      <c r="H43" s="2"/>
      <c r="I43" s="2"/>
      <c r="J43" s="22">
        <f t="shared" si="5"/>
        <v>0</v>
      </c>
      <c r="K43" s="2"/>
      <c r="L43" s="2">
        <f t="shared" si="6"/>
        <v>10.06</v>
      </c>
      <c r="M43" s="2"/>
      <c r="N43" s="22">
        <f t="shared" si="7"/>
        <v>0</v>
      </c>
      <c r="O43" s="11"/>
      <c r="P43" s="2">
        <v>242.46</v>
      </c>
      <c r="Q43" s="2"/>
      <c r="R43" s="22">
        <f t="shared" si="8"/>
        <v>1.7262636417528622E-4</v>
      </c>
      <c r="S43" s="2"/>
      <c r="T43" s="2"/>
      <c r="U43" s="2"/>
      <c r="V43" s="22">
        <f t="shared" si="9"/>
        <v>0</v>
      </c>
      <c r="W43" s="2"/>
      <c r="X43" s="2">
        <f t="shared" si="10"/>
        <v>242.46</v>
      </c>
      <c r="Y43" s="2"/>
      <c r="Z43" s="22">
        <f t="shared" si="11"/>
        <v>0</v>
      </c>
    </row>
    <row r="44" spans="1:26" s="24" customFormat="1" hidden="1" outlineLevel="1" x14ac:dyDescent="0.35">
      <c r="A44" s="51"/>
      <c r="B44" s="11" t="str">
        <f>CONCATENATE("          ", "5586", " - ", "FREIGHT-IN-COMPUTER SUPPLIES")</f>
        <v xml:space="preserve">          5586 - FREIGHT-IN-COMPUTER SUPPLIES</v>
      </c>
      <c r="C44" s="11"/>
      <c r="D44" s="2"/>
      <c r="E44" s="2"/>
      <c r="F44" s="22">
        <f t="shared" si="4"/>
        <v>0</v>
      </c>
      <c r="G44" s="2"/>
      <c r="H44" s="2"/>
      <c r="I44" s="2"/>
      <c r="J44" s="22">
        <f t="shared" si="5"/>
        <v>0</v>
      </c>
      <c r="K44" s="2"/>
      <c r="L44" s="2">
        <f t="shared" si="6"/>
        <v>0</v>
      </c>
      <c r="M44" s="2"/>
      <c r="N44" s="22">
        <f t="shared" si="7"/>
        <v>0</v>
      </c>
      <c r="O44" s="11"/>
      <c r="P44" s="2">
        <v>24.12</v>
      </c>
      <c r="Q44" s="2"/>
      <c r="R44" s="22">
        <f t="shared" si="8"/>
        <v>1.7172927096873315E-5</v>
      </c>
      <c r="S44" s="2"/>
      <c r="T44" s="2"/>
      <c r="U44" s="2"/>
      <c r="V44" s="22">
        <f t="shared" si="9"/>
        <v>0</v>
      </c>
      <c r="W44" s="2"/>
      <c r="X44" s="2">
        <f t="shared" si="10"/>
        <v>24.12</v>
      </c>
      <c r="Y44" s="2"/>
      <c r="Z44" s="22">
        <f t="shared" si="11"/>
        <v>0</v>
      </c>
    </row>
    <row r="45" spans="1:26" x14ac:dyDescent="0.3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35">
      <c r="A46" s="10"/>
      <c r="B46" s="26" t="s">
        <v>6</v>
      </c>
      <c r="C46" s="26"/>
      <c r="D46" s="19">
        <f>D12-D32</f>
        <v>18622.810000000012</v>
      </c>
      <c r="E46" s="13"/>
      <c r="F46" s="21">
        <f>IF(D$12=0,0,D46/D$12)</f>
        <v>0.14414853387378046</v>
      </c>
      <c r="G46" s="13"/>
      <c r="H46" s="19">
        <f>H12-H32</f>
        <v>42408</v>
      </c>
      <c r="I46" s="13"/>
      <c r="J46" s="21">
        <f>IF(H$12=0,0,H46/H$12)</f>
        <v>0.21903487885627515</v>
      </c>
      <c r="K46" s="16"/>
      <c r="L46" s="19">
        <f>+D46-H46</f>
        <v>-23785.189999999988</v>
      </c>
      <c r="M46" s="16"/>
      <c r="N46" s="21">
        <f>IF(H46=0,0,L46/H46)</f>
        <v>-0.56086563855876226</v>
      </c>
      <c r="O46" s="25"/>
      <c r="P46" s="19">
        <f>P12-P32</f>
        <v>78000.489999999991</v>
      </c>
      <c r="Q46" s="13"/>
      <c r="R46" s="21">
        <f>IF(P$12=0,0,P46/P$12)</f>
        <v>5.5534690227628351E-2</v>
      </c>
      <c r="S46" s="13"/>
      <c r="T46" s="19">
        <f>T12-T32</f>
        <v>354546</v>
      </c>
      <c r="U46" s="13"/>
      <c r="V46" s="21">
        <f>IF(T$12=0,0,T46/T$12)</f>
        <v>0.21903714004881825</v>
      </c>
      <c r="W46" s="16"/>
      <c r="X46" s="19">
        <f>+P46-T46</f>
        <v>-276545.51</v>
      </c>
      <c r="Y46" s="16"/>
      <c r="Z46" s="21">
        <f>IF(T46=0,0,X46/T46)</f>
        <v>-0.77999895641186201</v>
      </c>
    </row>
    <row r="47" spans="1:26" x14ac:dyDescent="0.35">
      <c r="A47" s="9"/>
      <c r="B47" s="10"/>
      <c r="C47" s="9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6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35">
      <c r="A48" s="10"/>
      <c r="B48" s="25" t="s">
        <v>9</v>
      </c>
      <c r="C48" s="10"/>
      <c r="D48" s="20">
        <f>SUM(OSRRefD22x_0)</f>
        <v>14258.260000000002</v>
      </c>
      <c r="E48" s="20"/>
      <c r="F48" s="30">
        <f t="shared" ref="F48:F59" si="12">IF(D$12=0,0,D48/D$12)</f>
        <v>0.11036504558609404</v>
      </c>
      <c r="G48" s="20"/>
      <c r="H48" s="20">
        <f>SUM(OSRRefH22x_0)</f>
        <v>24301.313038157692</v>
      </c>
      <c r="I48" s="20"/>
      <c r="J48" s="30">
        <f t="shared" ref="J48:J59" si="13">IF(H$12=0,0,H48/H$12)</f>
        <v>0.12551488297871369</v>
      </c>
      <c r="K48" s="4"/>
      <c r="L48" s="20">
        <f t="shared" ref="L48:L59" si="14">+D48-H48</f>
        <v>-10043.05303815769</v>
      </c>
      <c r="M48" s="4"/>
      <c r="N48" s="30">
        <f t="shared" ref="N48:N59" si="15">IF(H48=0,0,L48/H48)</f>
        <v>-0.41327203276580909</v>
      </c>
      <c r="O48" s="10"/>
      <c r="P48" s="20">
        <f>SUM(OSRRefP22x_0)</f>
        <v>94484.689999999988</v>
      </c>
      <c r="Q48" s="20"/>
      <c r="R48" s="30">
        <f t="shared" ref="R48:R59" si="16">IF(P$12=0,0,P48/P$12)</f>
        <v>6.7271090097042907E-2</v>
      </c>
      <c r="S48" s="20"/>
      <c r="T48" s="20">
        <f>SUM(OSRRefT22x_0)</f>
        <v>138569.21892665769</v>
      </c>
      <c r="U48" s="20"/>
      <c r="V48" s="30">
        <f t="shared" ref="V48:V59" si="17">IF(T$12=0,0,T48/T$12)</f>
        <v>8.5607524587764855E-2</v>
      </c>
      <c r="W48" s="4"/>
      <c r="X48" s="20">
        <f t="shared" ref="X48:X59" si="18">+P48-T48</f>
        <v>-44084.528926657702</v>
      </c>
      <c r="Y48" s="4"/>
      <c r="Z48" s="30">
        <f t="shared" ref="Z48:Z59" si="19">IF(T48=0,0,X48/T48)</f>
        <v>-0.31814084879839649</v>
      </c>
    </row>
    <row r="49" spans="1:26" s="28" customFormat="1" outlineLevel="1" collapsed="1" x14ac:dyDescent="0.35">
      <c r="A49" s="27"/>
      <c r="B49" s="14" t="str">
        <f>CONCATENATE("     ","*Benefits                                         ")</f>
        <v xml:space="preserve">     *Benefits                                         </v>
      </c>
      <c r="C49" s="14"/>
      <c r="D49" s="1">
        <f>SUM(OSRRefD22_0x_0)</f>
        <v>2747.9300000000003</v>
      </c>
      <c r="E49" s="1"/>
      <c r="F49" s="5">
        <f t="shared" si="12"/>
        <v>2.1270156366723247E-2</v>
      </c>
      <c r="G49" s="1"/>
      <c r="H49" s="1">
        <f>SUM(OSRRefH22_0x_0)</f>
        <v>2990.59186815769</v>
      </c>
      <c r="I49" s="1"/>
      <c r="J49" s="5">
        <f t="shared" si="13"/>
        <v>1.5446234850747058E-2</v>
      </c>
      <c r="K49" s="1"/>
      <c r="L49" s="1">
        <f t="shared" si="14"/>
        <v>-242.6618681576897</v>
      </c>
      <c r="M49" s="1"/>
      <c r="N49" s="5">
        <f t="shared" si="15"/>
        <v>-8.1141753490815843E-2</v>
      </c>
      <c r="O49" s="14"/>
      <c r="P49" s="1">
        <f>SUM(OSRRefP22_0x_0)</f>
        <v>20566.809999999998</v>
      </c>
      <c r="Q49" s="1"/>
      <c r="R49" s="5">
        <f t="shared" si="16"/>
        <v>1.4643131374180969E-2</v>
      </c>
      <c r="S49" s="1"/>
      <c r="T49" s="1">
        <f>SUM(OSRRefT22_0x_0)</f>
        <v>18688.485256657685</v>
      </c>
      <c r="U49" s="1"/>
      <c r="V49" s="5">
        <f t="shared" si="17"/>
        <v>1.1545673516166602E-2</v>
      </c>
      <c r="W49" s="1"/>
      <c r="X49" s="1">
        <f t="shared" si="18"/>
        <v>1878.324743342313</v>
      </c>
      <c r="Y49" s="1"/>
      <c r="Z49" s="5">
        <f t="shared" si="19"/>
        <v>0.10050706183761836</v>
      </c>
    </row>
    <row r="50" spans="1:26" s="24" customFormat="1" hidden="1" outlineLevel="2" x14ac:dyDescent="0.35">
      <c r="A50" s="29"/>
      <c r="B50" s="11" t="str">
        <f>CONCATENATE("          ", "6111", " - ", "F.I.C.A.")</f>
        <v xml:space="preserve">          6111 - F.I.C.A.</v>
      </c>
      <c r="C50" s="11"/>
      <c r="D50" s="7">
        <v>449.24</v>
      </c>
      <c r="E50" s="2"/>
      <c r="F50" s="6">
        <f t="shared" si="12"/>
        <v>3.4773102102989345E-3</v>
      </c>
      <c r="G50" s="2"/>
      <c r="H50" s="7">
        <v>532.10352375000002</v>
      </c>
      <c r="I50" s="2"/>
      <c r="J50" s="6">
        <f t="shared" si="13"/>
        <v>2.748284070542784E-3</v>
      </c>
      <c r="K50" s="2"/>
      <c r="L50" s="7">
        <f t="shared" si="14"/>
        <v>-82.863523750000013</v>
      </c>
      <c r="M50" s="2"/>
      <c r="N50" s="6">
        <f t="shared" si="15"/>
        <v>-0.15572819959172468</v>
      </c>
      <c r="O50" s="11"/>
      <c r="P50" s="7">
        <v>3839.6</v>
      </c>
      <c r="Q50" s="2"/>
      <c r="R50" s="6">
        <f t="shared" si="16"/>
        <v>2.7337135522866821E-3</v>
      </c>
      <c r="S50" s="2"/>
      <c r="T50" s="7">
        <v>3726.3853672500004</v>
      </c>
      <c r="U50" s="2"/>
      <c r="V50" s="6">
        <f t="shared" si="17"/>
        <v>2.3021463887963915E-3</v>
      </c>
      <c r="W50" s="2"/>
      <c r="X50" s="7">
        <f t="shared" si="18"/>
        <v>113.21463274999951</v>
      </c>
      <c r="Y50" s="2"/>
      <c r="Z50" s="6">
        <f t="shared" si="19"/>
        <v>3.038189065065745E-2</v>
      </c>
    </row>
    <row r="51" spans="1:26" s="24" customFormat="1" hidden="1" outlineLevel="2" x14ac:dyDescent="0.35">
      <c r="A51" s="29"/>
      <c r="B51" s="11" t="str">
        <f>CONCATENATE("          ", "6112", " - ", "COMPENSATION INSURANCE")</f>
        <v xml:space="preserve">          6112 - COMPENSATION INSURANCE</v>
      </c>
      <c r="C51" s="11"/>
      <c r="D51" s="7">
        <v>46.19</v>
      </c>
      <c r="E51" s="2"/>
      <c r="F51" s="6">
        <f t="shared" si="12"/>
        <v>3.5753040382358595E-4</v>
      </c>
      <c r="G51" s="2"/>
      <c r="H51" s="7">
        <v>276.74910349999999</v>
      </c>
      <c r="I51" s="2"/>
      <c r="J51" s="6">
        <f t="shared" si="13"/>
        <v>1.4293931889904085E-3</v>
      </c>
      <c r="K51" s="2"/>
      <c r="L51" s="7">
        <f t="shared" si="14"/>
        <v>-230.55910349999999</v>
      </c>
      <c r="M51" s="2"/>
      <c r="N51" s="6">
        <f t="shared" si="15"/>
        <v>-0.83309792365777258</v>
      </c>
      <c r="O51" s="11"/>
      <c r="P51" s="7">
        <v>1028.72</v>
      </c>
      <c r="Q51" s="2"/>
      <c r="R51" s="6">
        <f t="shared" si="16"/>
        <v>7.3242676463911754E-4</v>
      </c>
      <c r="S51" s="2"/>
      <c r="T51" s="7">
        <v>1467.2971785</v>
      </c>
      <c r="U51" s="2"/>
      <c r="V51" s="6">
        <f t="shared" si="17"/>
        <v>9.064904908822561E-4</v>
      </c>
      <c r="W51" s="2"/>
      <c r="X51" s="7">
        <f t="shared" si="18"/>
        <v>-438.57717849999995</v>
      </c>
      <c r="Y51" s="2"/>
      <c r="Z51" s="6">
        <f t="shared" si="19"/>
        <v>-0.2989013983849898</v>
      </c>
    </row>
    <row r="52" spans="1:26" s="24" customFormat="1" hidden="1" outlineLevel="2" x14ac:dyDescent="0.35">
      <c r="A52" s="29"/>
      <c r="B52" s="11" t="str">
        <f>CONCATENATE("          ", "6113", " - ", "GROUP INSURANCE")</f>
        <v xml:space="preserve">          6113 - GROUP INSURANCE</v>
      </c>
      <c r="C52" s="11"/>
      <c r="D52" s="7">
        <v>1053.8499999999999</v>
      </c>
      <c r="E52" s="2"/>
      <c r="F52" s="6">
        <f t="shared" si="12"/>
        <v>8.1572508350181011E-3</v>
      </c>
      <c r="G52" s="2"/>
      <c r="H52" s="7">
        <v>1099.8076923076899</v>
      </c>
      <c r="I52" s="2"/>
      <c r="J52" s="6">
        <f t="shared" si="13"/>
        <v>5.6804434222272777E-3</v>
      </c>
      <c r="K52" s="2"/>
      <c r="L52" s="7">
        <f t="shared" si="14"/>
        <v>-45.957692307689967</v>
      </c>
      <c r="M52" s="2"/>
      <c r="N52" s="6">
        <f t="shared" si="15"/>
        <v>-4.1787025703792335E-2</v>
      </c>
      <c r="O52" s="11"/>
      <c r="P52" s="7">
        <v>7268.63</v>
      </c>
      <c r="Q52" s="2"/>
      <c r="R52" s="6">
        <f t="shared" si="16"/>
        <v>5.1751099951967781E-3</v>
      </c>
      <c r="S52" s="2"/>
      <c r="T52" s="7">
        <v>7084.807692307686</v>
      </c>
      <c r="U52" s="2"/>
      <c r="V52" s="6">
        <f t="shared" si="17"/>
        <v>4.3769666410534694E-3</v>
      </c>
      <c r="W52" s="2"/>
      <c r="X52" s="7">
        <f t="shared" si="18"/>
        <v>183.8223076923141</v>
      </c>
      <c r="Y52" s="2"/>
      <c r="Z52" s="6">
        <f t="shared" si="19"/>
        <v>2.5945984093809455E-2</v>
      </c>
    </row>
    <row r="53" spans="1:26" s="24" customFormat="1" hidden="1" outlineLevel="2" x14ac:dyDescent="0.35">
      <c r="A53" s="29"/>
      <c r="B53" s="11" t="str">
        <f>CONCATENATE("          ", "6114", " - ", "STATE UNEMPLOYMENT INSURANCE")</f>
        <v xml:space="preserve">          6114 - STATE UNEMPLOYMENT INSURANCE</v>
      </c>
      <c r="C53" s="11"/>
      <c r="D53" s="7">
        <v>42.59</v>
      </c>
      <c r="E53" s="2"/>
      <c r="F53" s="6">
        <f t="shared" si="12"/>
        <v>3.2966486033441284E-4</v>
      </c>
      <c r="G53" s="2"/>
      <c r="H53" s="7">
        <v>38.894468600000003</v>
      </c>
      <c r="I53" s="2"/>
      <c r="J53" s="6">
        <f t="shared" si="13"/>
        <v>2.0088769142567907E-4</v>
      </c>
      <c r="K53" s="2"/>
      <c r="L53" s="7">
        <f t="shared" si="14"/>
        <v>3.6955314000000001</v>
      </c>
      <c r="M53" s="2"/>
      <c r="N53" s="6">
        <f t="shared" si="15"/>
        <v>9.5014317794278852E-2</v>
      </c>
      <c r="O53" s="11"/>
      <c r="P53" s="7">
        <v>159.28</v>
      </c>
      <c r="Q53" s="2"/>
      <c r="R53" s="6">
        <f t="shared" si="16"/>
        <v>1.1340397296807552E-4</v>
      </c>
      <c r="S53" s="2"/>
      <c r="T53" s="7">
        <v>206.2147386</v>
      </c>
      <c r="U53" s="2"/>
      <c r="V53" s="6">
        <f t="shared" si="17"/>
        <v>1.2739866358345221E-4</v>
      </c>
      <c r="W53" s="2"/>
      <c r="X53" s="7">
        <f t="shared" si="18"/>
        <v>-46.934738600000003</v>
      </c>
      <c r="Y53" s="2"/>
      <c r="Z53" s="6">
        <f t="shared" si="19"/>
        <v>-0.22760128067781088</v>
      </c>
    </row>
    <row r="54" spans="1:26" s="24" customFormat="1" hidden="1" outlineLevel="2" x14ac:dyDescent="0.35">
      <c r="A54" s="29"/>
      <c r="B54" s="11" t="str">
        <f>CONCATENATE("          ", "6115", " - ", "P.E.R.S.")</f>
        <v xml:space="preserve">          6115 - P.E.R.S.</v>
      </c>
      <c r="C54" s="11"/>
      <c r="D54" s="7">
        <v>264.63</v>
      </c>
      <c r="E54" s="2"/>
      <c r="F54" s="6">
        <f t="shared" si="12"/>
        <v>2.0483496593166391E-3</v>
      </c>
      <c r="G54" s="2"/>
      <c r="H54" s="7">
        <v>245.34725</v>
      </c>
      <c r="I54" s="2"/>
      <c r="J54" s="6">
        <f t="shared" si="13"/>
        <v>1.2672044232567028E-3</v>
      </c>
      <c r="K54" s="2"/>
      <c r="L54" s="7">
        <f t="shared" si="14"/>
        <v>19.282749999999993</v>
      </c>
      <c r="M54" s="2"/>
      <c r="N54" s="6">
        <f t="shared" si="15"/>
        <v>7.8593707490098183E-2</v>
      </c>
      <c r="O54" s="11"/>
      <c r="P54" s="7">
        <v>1411.36</v>
      </c>
      <c r="Q54" s="2"/>
      <c r="R54" s="6">
        <f t="shared" si="16"/>
        <v>1.0048583079371111E-3</v>
      </c>
      <c r="S54" s="2"/>
      <c r="T54" s="7">
        <v>1521.1529499999999</v>
      </c>
      <c r="U54" s="2"/>
      <c r="V54" s="6">
        <f t="shared" si="17"/>
        <v>9.3976237708174118E-4</v>
      </c>
      <c r="W54" s="2"/>
      <c r="X54" s="7">
        <f t="shared" si="18"/>
        <v>-109.79295000000002</v>
      </c>
      <c r="Y54" s="2"/>
      <c r="Z54" s="6">
        <f t="shared" si="19"/>
        <v>-7.2177455922496178E-2</v>
      </c>
    </row>
    <row r="55" spans="1:26" s="24" customFormat="1" hidden="1" outlineLevel="2" x14ac:dyDescent="0.35">
      <c r="A55" s="29"/>
      <c r="B55" s="11" t="str">
        <f>CONCATENATE("          ", "6116", " - ", "EDUCATIONAL BENEFITS")</f>
        <v xml:space="preserve">          6116 - EDUCATIONAL BENEFITS</v>
      </c>
      <c r="C55" s="11"/>
      <c r="D55" s="7"/>
      <c r="E55" s="2"/>
      <c r="F55" s="6">
        <f t="shared" si="12"/>
        <v>0</v>
      </c>
      <c r="G55" s="2"/>
      <c r="H55" s="7">
        <v>0</v>
      </c>
      <c r="I55" s="2"/>
      <c r="J55" s="6">
        <f t="shared" si="13"/>
        <v>0</v>
      </c>
      <c r="K55" s="2"/>
      <c r="L55" s="7">
        <f t="shared" si="14"/>
        <v>0</v>
      </c>
      <c r="M55" s="2"/>
      <c r="N55" s="6">
        <f t="shared" si="15"/>
        <v>0</v>
      </c>
      <c r="O55" s="11"/>
      <c r="P55" s="7"/>
      <c r="Q55" s="2"/>
      <c r="R55" s="6">
        <f t="shared" si="16"/>
        <v>0</v>
      </c>
      <c r="S55" s="2"/>
      <c r="T55" s="7">
        <v>0</v>
      </c>
      <c r="U55" s="2"/>
      <c r="V55" s="6">
        <f t="shared" si="17"/>
        <v>0</v>
      </c>
      <c r="W55" s="2"/>
      <c r="X55" s="7">
        <f t="shared" si="18"/>
        <v>0</v>
      </c>
      <c r="Y55" s="2"/>
      <c r="Z55" s="6">
        <f t="shared" si="19"/>
        <v>0</v>
      </c>
    </row>
    <row r="56" spans="1:26" s="24" customFormat="1" hidden="1" outlineLevel="2" x14ac:dyDescent="0.35">
      <c r="A56" s="29"/>
      <c r="B56" s="11" t="str">
        <f>CONCATENATE("          ", "6117", " - ", "RETIREMENT STAFF HOURLY")</f>
        <v xml:space="preserve">          6117 - RETIREMENT STAFF HOURLY</v>
      </c>
      <c r="C56" s="11"/>
      <c r="D56" s="7">
        <v>176</v>
      </c>
      <c r="E56" s="2"/>
      <c r="F56" s="6">
        <f t="shared" si="12"/>
        <v>1.3623154594706892E-3</v>
      </c>
      <c r="G56" s="2"/>
      <c r="H56" s="7"/>
      <c r="I56" s="2"/>
      <c r="J56" s="6">
        <f t="shared" si="13"/>
        <v>0</v>
      </c>
      <c r="K56" s="2"/>
      <c r="L56" s="7">
        <f t="shared" si="14"/>
        <v>176</v>
      </c>
      <c r="M56" s="2"/>
      <c r="N56" s="6">
        <f t="shared" si="15"/>
        <v>0</v>
      </c>
      <c r="O56" s="11"/>
      <c r="P56" s="7">
        <v>1281.04</v>
      </c>
      <c r="Q56" s="2"/>
      <c r="R56" s="6">
        <f t="shared" si="16"/>
        <v>9.1207323914504926E-4</v>
      </c>
      <c r="S56" s="2"/>
      <c r="T56" s="7"/>
      <c r="U56" s="2"/>
      <c r="V56" s="6">
        <f t="shared" si="17"/>
        <v>0</v>
      </c>
      <c r="W56" s="2"/>
      <c r="X56" s="7">
        <f t="shared" si="18"/>
        <v>1281.04</v>
      </c>
      <c r="Y56" s="2"/>
      <c r="Z56" s="6">
        <f t="shared" si="19"/>
        <v>0</v>
      </c>
    </row>
    <row r="57" spans="1:26" s="24" customFormat="1" hidden="1" outlineLevel="2" x14ac:dyDescent="0.35">
      <c r="A57" s="29"/>
      <c r="B57" s="11" t="str">
        <f>CONCATENATE("          ", "6118", " - ", "VACATION")</f>
        <v xml:space="preserve">          6118 - VACATION</v>
      </c>
      <c r="C57" s="11"/>
      <c r="D57" s="7">
        <v>267.04000000000002</v>
      </c>
      <c r="E57" s="2"/>
      <c r="F57" s="6">
        <f t="shared" si="12"/>
        <v>2.0670040925968914E-3</v>
      </c>
      <c r="G57" s="2"/>
      <c r="H57" s="7">
        <v>243.43625</v>
      </c>
      <c r="I57" s="2"/>
      <c r="J57" s="6">
        <f t="shared" si="13"/>
        <v>1.2573342182601375E-3</v>
      </c>
      <c r="K57" s="2"/>
      <c r="L57" s="7">
        <f t="shared" si="14"/>
        <v>23.603750000000019</v>
      </c>
      <c r="M57" s="2"/>
      <c r="N57" s="6">
        <f t="shared" si="15"/>
        <v>9.6960703264201697E-2</v>
      </c>
      <c r="O57" s="11"/>
      <c r="P57" s="7">
        <v>1956.58</v>
      </c>
      <c r="Q57" s="2"/>
      <c r="R57" s="6">
        <f t="shared" si="16"/>
        <v>1.3930433540298669E-3</v>
      </c>
      <c r="S57" s="2"/>
      <c r="T57" s="7">
        <v>1509.30475</v>
      </c>
      <c r="U57" s="2"/>
      <c r="V57" s="6">
        <f t="shared" si="17"/>
        <v>9.3244260519677736E-4</v>
      </c>
      <c r="W57" s="2"/>
      <c r="X57" s="7">
        <f t="shared" si="18"/>
        <v>447.27524999999991</v>
      </c>
      <c r="Y57" s="2"/>
      <c r="Z57" s="6">
        <f t="shared" si="19"/>
        <v>0.29634522120201368</v>
      </c>
    </row>
    <row r="58" spans="1:26" s="24" customFormat="1" hidden="1" outlineLevel="2" x14ac:dyDescent="0.35">
      <c r="A58" s="29"/>
      <c r="B58" s="11" t="str">
        <f>CONCATENATE("          ", "6119", " - ", "SICK LEAVE")</f>
        <v xml:space="preserve">          6119 - SICK LEAVE</v>
      </c>
      <c r="C58" s="11"/>
      <c r="D58" s="7">
        <v>267.63</v>
      </c>
      <c r="E58" s="2"/>
      <c r="F58" s="6">
        <f t="shared" si="12"/>
        <v>2.0715709455576166E-3</v>
      </c>
      <c r="G58" s="2"/>
      <c r="H58" s="7">
        <v>379.25358</v>
      </c>
      <c r="I58" s="2"/>
      <c r="J58" s="6">
        <f t="shared" si="13"/>
        <v>1.9588229096186723E-3</v>
      </c>
      <c r="K58" s="2"/>
      <c r="L58" s="7">
        <f t="shared" si="14"/>
        <v>-111.62358</v>
      </c>
      <c r="M58" s="2"/>
      <c r="N58" s="6">
        <f t="shared" si="15"/>
        <v>-0.29432439372095054</v>
      </c>
      <c r="O58" s="11"/>
      <c r="P58" s="7">
        <v>1951.92</v>
      </c>
      <c r="Q58" s="2"/>
      <c r="R58" s="6">
        <f t="shared" si="16"/>
        <v>1.3897255331230911E-3</v>
      </c>
      <c r="S58" s="2"/>
      <c r="T58" s="7">
        <v>1948.32258</v>
      </c>
      <c r="U58" s="2"/>
      <c r="V58" s="6">
        <f t="shared" si="17"/>
        <v>1.203666113327283E-3</v>
      </c>
      <c r="W58" s="2"/>
      <c r="X58" s="7">
        <f t="shared" si="18"/>
        <v>3.5974200000000565</v>
      </c>
      <c r="Y58" s="2"/>
      <c r="Z58" s="6">
        <f t="shared" si="19"/>
        <v>1.8464190873361723E-3</v>
      </c>
    </row>
    <row r="59" spans="1:26" s="24" customFormat="1" hidden="1" outlineLevel="2" x14ac:dyDescent="0.35">
      <c r="A59" s="29"/>
      <c r="B59" s="11" t="str">
        <f>CONCATENATE("          ", "6156", " - ", "EMPLOYEE MEALS")</f>
        <v xml:space="preserve">          6156 - EMPLOYEE MEALS</v>
      </c>
      <c r="C59" s="11"/>
      <c r="D59" s="7">
        <v>180.76</v>
      </c>
      <c r="E59" s="2"/>
      <c r="F59" s="6">
        <f t="shared" si="12"/>
        <v>1.3991599003063738E-3</v>
      </c>
      <c r="G59" s="2"/>
      <c r="H59" s="7">
        <v>175</v>
      </c>
      <c r="I59" s="2"/>
      <c r="J59" s="6">
        <f t="shared" si="13"/>
        <v>9.0386492642539494E-4</v>
      </c>
      <c r="K59" s="2"/>
      <c r="L59" s="7">
        <f t="shared" si="14"/>
        <v>5.7599999999999909</v>
      </c>
      <c r="M59" s="2"/>
      <c r="N59" s="6">
        <f t="shared" si="15"/>
        <v>3.291428571428566E-2</v>
      </c>
      <c r="O59" s="11"/>
      <c r="P59" s="7">
        <v>1669.68</v>
      </c>
      <c r="Q59" s="2"/>
      <c r="R59" s="6">
        <f t="shared" si="16"/>
        <v>1.1887766548552006E-3</v>
      </c>
      <c r="S59" s="2"/>
      <c r="T59" s="7">
        <v>1225</v>
      </c>
      <c r="U59" s="2"/>
      <c r="V59" s="6">
        <f t="shared" si="17"/>
        <v>7.5680023624523298E-4</v>
      </c>
      <c r="W59" s="2"/>
      <c r="X59" s="7">
        <f t="shared" si="18"/>
        <v>444.68000000000006</v>
      </c>
      <c r="Y59" s="2"/>
      <c r="Z59" s="6">
        <f t="shared" si="19"/>
        <v>0.36300408163265313</v>
      </c>
    </row>
    <row r="60" spans="1:26" s="28" customFormat="1" outlineLevel="1" collapsed="1" x14ac:dyDescent="0.35">
      <c r="A60" s="27"/>
      <c r="B60" s="14" t="str">
        <f>CONCATENATE("     ","*Payroll                                          ")</f>
        <v xml:space="preserve">     *Payroll                                          </v>
      </c>
      <c r="C60" s="14"/>
      <c r="D60" s="1">
        <f>SUM(OSRRefD22_1x_0)</f>
        <v>9963.16</v>
      </c>
      <c r="E60" s="1"/>
      <c r="F60" s="5">
        <f t="shared" ref="F60:F70" si="20">IF(D$12=0,0,D60/D$12)</f>
        <v>7.7119130074886313E-2</v>
      </c>
      <c r="G60" s="1"/>
      <c r="H60" s="1">
        <f>SUM(OSRRefH22_1x_0)</f>
        <v>14336.721170000001</v>
      </c>
      <c r="I60" s="1"/>
      <c r="J60" s="5">
        <f t="shared" ref="J60:J70" si="21">IF(H$12=0,0,H60/H$12)</f>
        <v>7.4048339574305441E-2</v>
      </c>
      <c r="K60" s="1"/>
      <c r="L60" s="1">
        <f t="shared" ref="L60:L70" si="22">+D60-H60</f>
        <v>-4373.5611700000009</v>
      </c>
      <c r="M60" s="1"/>
      <c r="N60" s="5">
        <f t="shared" ref="N60:N70" si="23">IF(H60=0,0,L60/H60)</f>
        <v>-0.30506007044008099</v>
      </c>
      <c r="O60" s="14"/>
      <c r="P60" s="1">
        <f>SUM(OSRRefP22_1x_0)</f>
        <v>57391.299999999996</v>
      </c>
      <c r="Q60" s="1"/>
      <c r="R60" s="5">
        <f t="shared" ref="R60:R70" si="24">IF(P$12=0,0,P60/P$12)</f>
        <v>4.0861385194642844E-2</v>
      </c>
      <c r="S60" s="1"/>
      <c r="T60" s="1">
        <f>SUM(OSRRefT22_1x_0)</f>
        <v>75855.733670000001</v>
      </c>
      <c r="U60" s="1"/>
      <c r="V60" s="5">
        <f t="shared" ref="V60:V70" si="25">IF(T$12=0,0,T60/T$12)</f>
        <v>4.6863377275111404E-2</v>
      </c>
      <c r="W60" s="1"/>
      <c r="X60" s="1">
        <f t="shared" ref="X60:X70" si="26">+P60-T60</f>
        <v>-18464.433670000006</v>
      </c>
      <c r="Y60" s="1"/>
      <c r="Z60" s="5">
        <f t="shared" ref="Z60:Z70" si="27">IF(T60=0,0,X60/T60)</f>
        <v>-0.24341513523983566</v>
      </c>
    </row>
    <row r="61" spans="1:26" s="24" customFormat="1" hidden="1" outlineLevel="2" x14ac:dyDescent="0.35">
      <c r="A61" s="29"/>
      <c r="B61" s="11" t="str">
        <f>CONCATENATE("          ", "6001", " - ", "ADMINISTRATIVE SALARIES")</f>
        <v xml:space="preserve">          6001 - ADMINISTRATIVE SALARIES</v>
      </c>
      <c r="C61" s="11"/>
      <c r="D61" s="7"/>
      <c r="E61" s="2"/>
      <c r="F61" s="6">
        <f t="shared" si="20"/>
        <v>0</v>
      </c>
      <c r="G61" s="2"/>
      <c r="H61" s="7">
        <v>0</v>
      </c>
      <c r="I61" s="2"/>
      <c r="J61" s="6">
        <f t="shared" si="21"/>
        <v>0</v>
      </c>
      <c r="K61" s="2"/>
      <c r="L61" s="7">
        <f t="shared" si="22"/>
        <v>0</v>
      </c>
      <c r="M61" s="2"/>
      <c r="N61" s="6">
        <f t="shared" si="23"/>
        <v>0</v>
      </c>
      <c r="O61" s="11"/>
      <c r="P61" s="7"/>
      <c r="Q61" s="2"/>
      <c r="R61" s="6">
        <f t="shared" si="24"/>
        <v>0</v>
      </c>
      <c r="S61" s="2"/>
      <c r="T61" s="7">
        <v>0</v>
      </c>
      <c r="U61" s="2"/>
      <c r="V61" s="6">
        <f t="shared" si="25"/>
        <v>0</v>
      </c>
      <c r="W61" s="2"/>
      <c r="X61" s="7">
        <f t="shared" si="26"/>
        <v>0</v>
      </c>
      <c r="Y61" s="2"/>
      <c r="Z61" s="6">
        <f t="shared" si="27"/>
        <v>0</v>
      </c>
    </row>
    <row r="62" spans="1:26" s="24" customFormat="1" hidden="1" outlineLevel="2" x14ac:dyDescent="0.35">
      <c r="A62" s="29"/>
      <c r="B62" s="11" t="str">
        <f>CONCATENATE("          ", "6002", " - ", "STAFF SALARIES")</f>
        <v xml:space="preserve">          6002 - STAFF SALARIES</v>
      </c>
      <c r="C62" s="11"/>
      <c r="D62" s="7">
        <v>2928.3</v>
      </c>
      <c r="E62" s="2"/>
      <c r="F62" s="6">
        <f t="shared" si="20"/>
        <v>2.2666297499818293E-2</v>
      </c>
      <c r="G62" s="2"/>
      <c r="H62" s="7">
        <v>2710.2312499999998</v>
      </c>
      <c r="I62" s="2"/>
      <c r="J62" s="6">
        <f t="shared" si="21"/>
        <v>1.3998188396440321E-2</v>
      </c>
      <c r="K62" s="2"/>
      <c r="L62" s="7">
        <f t="shared" si="22"/>
        <v>218.06875000000036</v>
      </c>
      <c r="M62" s="2"/>
      <c r="N62" s="6">
        <f t="shared" si="23"/>
        <v>8.0461307499129595E-2</v>
      </c>
      <c r="O62" s="11"/>
      <c r="P62" s="7">
        <v>16165.649999999998</v>
      </c>
      <c r="Q62" s="2"/>
      <c r="R62" s="6">
        <f t="shared" si="24"/>
        <v>1.1509599043265756E-2</v>
      </c>
      <c r="S62" s="2"/>
      <c r="T62" s="7">
        <v>16803.43375</v>
      </c>
      <c r="U62" s="2"/>
      <c r="V62" s="6">
        <f t="shared" si="25"/>
        <v>1.0381096025902956E-2</v>
      </c>
      <c r="W62" s="2"/>
      <c r="X62" s="7">
        <f t="shared" si="26"/>
        <v>-637.78375000000233</v>
      </c>
      <c r="Y62" s="2"/>
      <c r="Z62" s="6">
        <f t="shared" si="27"/>
        <v>-3.7955560719844079E-2</v>
      </c>
    </row>
    <row r="63" spans="1:26" s="24" customFormat="1" hidden="1" outlineLevel="2" x14ac:dyDescent="0.35">
      <c r="A63" s="29"/>
      <c r="B63" s="11" t="str">
        <f>CONCATENATE("          ", "6003", " - ", "STAFF HOURLY-9 MONTH")</f>
        <v xml:space="preserve">          6003 - STAFF HOURLY-9 MONTH</v>
      </c>
      <c r="C63" s="11"/>
      <c r="D63" s="7"/>
      <c r="E63" s="2"/>
      <c r="F63" s="6">
        <f t="shared" si="20"/>
        <v>0</v>
      </c>
      <c r="G63" s="2"/>
      <c r="H63" s="7">
        <v>0</v>
      </c>
      <c r="I63" s="2"/>
      <c r="J63" s="6">
        <f t="shared" si="21"/>
        <v>0</v>
      </c>
      <c r="K63" s="2"/>
      <c r="L63" s="7">
        <f t="shared" si="22"/>
        <v>0</v>
      </c>
      <c r="M63" s="2"/>
      <c r="N63" s="6">
        <f t="shared" si="23"/>
        <v>0</v>
      </c>
      <c r="O63" s="11"/>
      <c r="P63" s="7"/>
      <c r="Q63" s="2"/>
      <c r="R63" s="6">
        <f t="shared" si="24"/>
        <v>0</v>
      </c>
      <c r="S63" s="2"/>
      <c r="T63" s="7">
        <v>0</v>
      </c>
      <c r="U63" s="2"/>
      <c r="V63" s="6">
        <f t="shared" si="25"/>
        <v>0</v>
      </c>
      <c r="W63" s="2"/>
      <c r="X63" s="7">
        <f t="shared" si="26"/>
        <v>0</v>
      </c>
      <c r="Y63" s="2"/>
      <c r="Z63" s="6">
        <f t="shared" si="27"/>
        <v>0</v>
      </c>
    </row>
    <row r="64" spans="1:26" s="24" customFormat="1" hidden="1" outlineLevel="2" x14ac:dyDescent="0.35">
      <c r="A64" s="29"/>
      <c r="B64" s="11" t="str">
        <f>CONCATENATE("          ", "6004", " - ", "STAFF HOURLY")</f>
        <v xml:space="preserve">          6004 - STAFF HOURLY</v>
      </c>
      <c r="C64" s="11"/>
      <c r="D64" s="7">
        <v>3344</v>
      </c>
      <c r="E64" s="2"/>
      <c r="F64" s="6">
        <f t="shared" si="20"/>
        <v>2.5883993729943097E-2</v>
      </c>
      <c r="G64" s="2"/>
      <c r="H64" s="7">
        <v>3860.15</v>
      </c>
      <c r="I64" s="2"/>
      <c r="J64" s="6">
        <f t="shared" si="21"/>
        <v>1.9937452547091363E-2</v>
      </c>
      <c r="K64" s="2"/>
      <c r="L64" s="7">
        <f t="shared" si="22"/>
        <v>-516.15000000000009</v>
      </c>
      <c r="M64" s="2"/>
      <c r="N64" s="6">
        <f t="shared" si="23"/>
        <v>-0.13371242050179399</v>
      </c>
      <c r="O64" s="11"/>
      <c r="P64" s="7">
        <v>24680.16</v>
      </c>
      <c r="Q64" s="2"/>
      <c r="R64" s="6">
        <f t="shared" si="24"/>
        <v>1.7571749105272341E-2</v>
      </c>
      <c r="S64" s="2"/>
      <c r="T64" s="7">
        <v>23932.929999999997</v>
      </c>
      <c r="U64" s="2"/>
      <c r="V64" s="6">
        <f t="shared" si="25"/>
        <v>1.4785671084114792E-2</v>
      </c>
      <c r="W64" s="2"/>
      <c r="X64" s="7">
        <f t="shared" si="26"/>
        <v>747.2300000000032</v>
      </c>
      <c r="Y64" s="2"/>
      <c r="Z64" s="6">
        <f t="shared" si="27"/>
        <v>3.1221835354049977E-2</v>
      </c>
    </row>
    <row r="65" spans="1:26" s="24" customFormat="1" hidden="1" outlineLevel="2" x14ac:dyDescent="0.35">
      <c r="A65" s="29"/>
      <c r="B65" s="11" t="str">
        <f>CONCATENATE("          ", "6005", " - ", "TEMPORARY WAGES-HOURLY")</f>
        <v xml:space="preserve">          6005 - TEMPORARY WAGES-HOURLY</v>
      </c>
      <c r="C65" s="11"/>
      <c r="D65" s="7"/>
      <c r="E65" s="2"/>
      <c r="F65" s="6">
        <f t="shared" si="20"/>
        <v>0</v>
      </c>
      <c r="G65" s="2"/>
      <c r="H65" s="7">
        <v>0</v>
      </c>
      <c r="I65" s="2"/>
      <c r="J65" s="6">
        <f t="shared" si="21"/>
        <v>0</v>
      </c>
      <c r="K65" s="2"/>
      <c r="L65" s="7">
        <f t="shared" si="22"/>
        <v>0</v>
      </c>
      <c r="M65" s="2"/>
      <c r="N65" s="6">
        <f t="shared" si="23"/>
        <v>0</v>
      </c>
      <c r="O65" s="11"/>
      <c r="P65" s="7"/>
      <c r="Q65" s="2"/>
      <c r="R65" s="6">
        <f t="shared" si="24"/>
        <v>0</v>
      </c>
      <c r="S65" s="2"/>
      <c r="T65" s="7">
        <v>0</v>
      </c>
      <c r="U65" s="2"/>
      <c r="V65" s="6">
        <f t="shared" si="25"/>
        <v>0</v>
      </c>
      <c r="W65" s="2"/>
      <c r="X65" s="7">
        <f t="shared" si="26"/>
        <v>0</v>
      </c>
      <c r="Y65" s="2"/>
      <c r="Z65" s="6">
        <f t="shared" si="27"/>
        <v>0</v>
      </c>
    </row>
    <row r="66" spans="1:26" s="24" customFormat="1" hidden="1" outlineLevel="2" x14ac:dyDescent="0.35">
      <c r="A66" s="29"/>
      <c r="B66" s="11" t="str">
        <f>CONCATENATE("          ", "6006", " - ", "TEMPORARY PART TIME")</f>
        <v xml:space="preserve">          6006 - TEMPORARY PART TIME</v>
      </c>
      <c r="C66" s="11"/>
      <c r="D66" s="7"/>
      <c r="E66" s="2"/>
      <c r="F66" s="6">
        <f t="shared" si="20"/>
        <v>0</v>
      </c>
      <c r="G66" s="2"/>
      <c r="H66" s="7">
        <v>0</v>
      </c>
      <c r="I66" s="2"/>
      <c r="J66" s="6">
        <f t="shared" si="21"/>
        <v>0</v>
      </c>
      <c r="K66" s="2"/>
      <c r="L66" s="7">
        <f t="shared" si="22"/>
        <v>0</v>
      </c>
      <c r="M66" s="2"/>
      <c r="N66" s="6">
        <f t="shared" si="23"/>
        <v>0</v>
      </c>
      <c r="O66" s="11"/>
      <c r="P66" s="7"/>
      <c r="Q66" s="2"/>
      <c r="R66" s="6">
        <f t="shared" si="24"/>
        <v>0</v>
      </c>
      <c r="S66" s="2"/>
      <c r="T66" s="7">
        <v>0</v>
      </c>
      <c r="U66" s="2"/>
      <c r="V66" s="6">
        <f t="shared" si="25"/>
        <v>0</v>
      </c>
      <c r="W66" s="2"/>
      <c r="X66" s="7">
        <f t="shared" si="26"/>
        <v>0</v>
      </c>
      <c r="Y66" s="2"/>
      <c r="Z66" s="6">
        <f t="shared" si="27"/>
        <v>0</v>
      </c>
    </row>
    <row r="67" spans="1:26" s="24" customFormat="1" hidden="1" outlineLevel="2" x14ac:dyDescent="0.35">
      <c r="A67" s="29"/>
      <c r="B67" s="11" t="str">
        <f>CONCATENATE("          ", "6007", " - ", "STUDENT HOURLY")</f>
        <v xml:space="preserve">          6007 - STUDENT HOURLY</v>
      </c>
      <c r="C67" s="11"/>
      <c r="D67" s="7">
        <v>3690.86</v>
      </c>
      <c r="E67" s="2"/>
      <c r="F67" s="6">
        <f t="shared" si="20"/>
        <v>2.8568838845124934E-2</v>
      </c>
      <c r="G67" s="2"/>
      <c r="H67" s="7">
        <v>0</v>
      </c>
      <c r="I67" s="2"/>
      <c r="J67" s="6">
        <f t="shared" si="21"/>
        <v>0</v>
      </c>
      <c r="K67" s="2"/>
      <c r="L67" s="7">
        <f t="shared" si="22"/>
        <v>3690.86</v>
      </c>
      <c r="M67" s="2"/>
      <c r="N67" s="6">
        <f t="shared" si="23"/>
        <v>0</v>
      </c>
      <c r="O67" s="11"/>
      <c r="P67" s="7">
        <v>16545.489999999998</v>
      </c>
      <c r="Q67" s="2"/>
      <c r="R67" s="6">
        <f t="shared" si="24"/>
        <v>1.1780037046104743E-2</v>
      </c>
      <c r="S67" s="2"/>
      <c r="T67" s="7">
        <v>5416.48</v>
      </c>
      <c r="U67" s="2"/>
      <c r="V67" s="6">
        <f t="shared" si="25"/>
        <v>3.346280280504146E-3</v>
      </c>
      <c r="W67" s="2"/>
      <c r="X67" s="7">
        <f t="shared" si="26"/>
        <v>11129.009999999998</v>
      </c>
      <c r="Y67" s="2"/>
      <c r="Z67" s="6">
        <f t="shared" si="27"/>
        <v>2.0546572681889343</v>
      </c>
    </row>
    <row r="68" spans="1:26" s="24" customFormat="1" hidden="1" outlineLevel="2" x14ac:dyDescent="0.35">
      <c r="A68" s="29"/>
      <c r="B68" s="11" t="str">
        <f>CONCATENATE("          ", "6008", " - ", "STUDENT HOURLY-FICA EXEMPT")</f>
        <v xml:space="preserve">          6008 - STUDENT HOURLY-FICA EXEMPT</v>
      </c>
      <c r="C68" s="11"/>
      <c r="D68" s="7"/>
      <c r="E68" s="2"/>
      <c r="F68" s="6">
        <f t="shared" si="20"/>
        <v>0</v>
      </c>
      <c r="G68" s="2"/>
      <c r="H68" s="7">
        <v>7766.3399200000003</v>
      </c>
      <c r="I68" s="2"/>
      <c r="J68" s="6">
        <f t="shared" si="21"/>
        <v>4.0112698630773762E-2</v>
      </c>
      <c r="K68" s="2"/>
      <c r="L68" s="7">
        <f t="shared" si="22"/>
        <v>-7766.3399200000003</v>
      </c>
      <c r="M68" s="2"/>
      <c r="N68" s="6">
        <f t="shared" si="23"/>
        <v>-1</v>
      </c>
      <c r="O68" s="11"/>
      <c r="P68" s="7"/>
      <c r="Q68" s="2"/>
      <c r="R68" s="6">
        <f t="shared" si="24"/>
        <v>0</v>
      </c>
      <c r="S68" s="2"/>
      <c r="T68" s="7">
        <v>29702.889920000001</v>
      </c>
      <c r="U68" s="2"/>
      <c r="V68" s="6">
        <f t="shared" si="25"/>
        <v>1.8350329884589508E-2</v>
      </c>
      <c r="W68" s="2"/>
      <c r="X68" s="7">
        <f t="shared" si="26"/>
        <v>-29702.889920000001</v>
      </c>
      <c r="Y68" s="2"/>
      <c r="Z68" s="6">
        <f t="shared" si="27"/>
        <v>-1</v>
      </c>
    </row>
    <row r="69" spans="1:26" s="24" customFormat="1" hidden="1" outlineLevel="2" x14ac:dyDescent="0.35">
      <c r="A69" s="29"/>
      <c r="B69" s="11" t="str">
        <f>CONCATENATE("          ", "6009", " - ", "TEMPORARY-SEASONAL")</f>
        <v xml:space="preserve">          6009 - TEMPORARY-SEASONAL</v>
      </c>
      <c r="C69" s="11"/>
      <c r="D69" s="7"/>
      <c r="E69" s="2"/>
      <c r="F69" s="6">
        <f t="shared" si="20"/>
        <v>0</v>
      </c>
      <c r="G69" s="2"/>
      <c r="H69" s="7">
        <v>0</v>
      </c>
      <c r="I69" s="2"/>
      <c r="J69" s="6">
        <f t="shared" si="21"/>
        <v>0</v>
      </c>
      <c r="K69" s="2"/>
      <c r="L69" s="7">
        <f t="shared" si="22"/>
        <v>0</v>
      </c>
      <c r="M69" s="2"/>
      <c r="N69" s="6">
        <f t="shared" si="23"/>
        <v>0</v>
      </c>
      <c r="O69" s="11"/>
      <c r="P69" s="7"/>
      <c r="Q69" s="2"/>
      <c r="R69" s="6">
        <f t="shared" si="24"/>
        <v>0</v>
      </c>
      <c r="S69" s="2"/>
      <c r="T69" s="7">
        <v>0</v>
      </c>
      <c r="U69" s="2"/>
      <c r="V69" s="6">
        <f t="shared" si="25"/>
        <v>0</v>
      </c>
      <c r="W69" s="2"/>
      <c r="X69" s="7">
        <f t="shared" si="26"/>
        <v>0</v>
      </c>
      <c r="Y69" s="2"/>
      <c r="Z69" s="6">
        <f t="shared" si="27"/>
        <v>0</v>
      </c>
    </row>
    <row r="70" spans="1:26" s="24" customFormat="1" hidden="1" outlineLevel="2" x14ac:dyDescent="0.35">
      <c r="A70" s="29"/>
      <c r="B70" s="11" t="str">
        <f>CONCATENATE("          ", "6010", " - ", "GRATUITY")</f>
        <v xml:space="preserve">          6010 - GRATUITY</v>
      </c>
      <c r="C70" s="11"/>
      <c r="D70" s="7"/>
      <c r="E70" s="2"/>
      <c r="F70" s="6">
        <f t="shared" si="20"/>
        <v>0</v>
      </c>
      <c r="G70" s="2"/>
      <c r="H70" s="7">
        <v>0</v>
      </c>
      <c r="I70" s="2"/>
      <c r="J70" s="6">
        <f t="shared" si="21"/>
        <v>0</v>
      </c>
      <c r="K70" s="2"/>
      <c r="L70" s="7">
        <f t="shared" si="22"/>
        <v>0</v>
      </c>
      <c r="M70" s="2"/>
      <c r="N70" s="6">
        <f t="shared" si="23"/>
        <v>0</v>
      </c>
      <c r="O70" s="11"/>
      <c r="P70" s="7"/>
      <c r="Q70" s="2"/>
      <c r="R70" s="6">
        <f t="shared" si="24"/>
        <v>0</v>
      </c>
      <c r="S70" s="2"/>
      <c r="T70" s="7">
        <v>0</v>
      </c>
      <c r="U70" s="2"/>
      <c r="V70" s="6">
        <f t="shared" si="25"/>
        <v>0</v>
      </c>
      <c r="W70" s="2"/>
      <c r="X70" s="7">
        <f t="shared" si="26"/>
        <v>0</v>
      </c>
      <c r="Y70" s="2"/>
      <c r="Z70" s="6">
        <f t="shared" si="27"/>
        <v>0</v>
      </c>
    </row>
    <row r="71" spans="1:26" s="28" customFormat="1" outlineLevel="1" collapsed="1" x14ac:dyDescent="0.35">
      <c r="A71" s="27"/>
      <c r="B71" s="14" t="str">
        <f>CONCATENATE("     ","Advertising/Promo                                 ")</f>
        <v xml:space="preserve">     Advertising/Promo                                 </v>
      </c>
      <c r="C71" s="14"/>
      <c r="D71" s="1">
        <f>SUM(OSRRefD22_2x_0)</f>
        <v>350.05</v>
      </c>
      <c r="E71" s="1"/>
      <c r="F71" s="5">
        <f t="shared" ref="F71:F81" si="28">IF(D$12=0,0,D71/D$12)</f>
        <v>2.709537082884743E-3</v>
      </c>
      <c r="G71" s="1"/>
      <c r="H71" s="1">
        <f>SUM(OSRRefH22_2x_0)</f>
        <v>200</v>
      </c>
      <c r="I71" s="1"/>
      <c r="J71" s="5">
        <f t="shared" ref="J71:J81" si="29">IF(H$12=0,0,H71/H$12)</f>
        <v>1.0329884873433086E-3</v>
      </c>
      <c r="K71" s="1"/>
      <c r="L71" s="1">
        <f t="shared" ref="L71:L81" si="30">+D71-H71</f>
        <v>150.05000000000001</v>
      </c>
      <c r="M71" s="1"/>
      <c r="N71" s="5">
        <f t="shared" ref="N71:N81" si="31">IF(H71=0,0,L71/H71)</f>
        <v>0.75025000000000008</v>
      </c>
      <c r="O71" s="14"/>
      <c r="P71" s="1">
        <f>SUM(OSRRefP22_2x_0)</f>
        <v>598.92999999999995</v>
      </c>
      <c r="Q71" s="1"/>
      <c r="R71" s="5">
        <f t="shared" ref="R71:R81" si="32">IF(P$12=0,0,P71/P$12)</f>
        <v>4.264254239689193E-4</v>
      </c>
      <c r="S71" s="1"/>
      <c r="T71" s="1">
        <f>SUM(OSRRefT22_2x_0)</f>
        <v>1400</v>
      </c>
      <c r="U71" s="1"/>
      <c r="V71" s="5">
        <f t="shared" ref="V71:V81" si="33">IF(T$12=0,0,T71/T$12)</f>
        <v>8.6491455570883761E-4</v>
      </c>
      <c r="W71" s="1"/>
      <c r="X71" s="1">
        <f t="shared" ref="X71:X81" si="34">+P71-T71</f>
        <v>-801.07</v>
      </c>
      <c r="Y71" s="1"/>
      <c r="Z71" s="5">
        <f t="shared" ref="Z71:Z81" si="35">IF(T71=0,0,X71/T71)</f>
        <v>-0.57219285714285717</v>
      </c>
    </row>
    <row r="72" spans="1:26" s="24" customFormat="1" hidden="1" outlineLevel="2" x14ac:dyDescent="0.35">
      <c r="A72" s="29"/>
      <c r="B72" s="11" t="str">
        <f>CONCATENATE("          ", "6362", " - ", "ADVERTISING EXPENSE")</f>
        <v xml:space="preserve">          6362 - ADVERTISING EXPENSE</v>
      </c>
      <c r="C72" s="11"/>
      <c r="D72" s="7">
        <v>350.05</v>
      </c>
      <c r="E72" s="2"/>
      <c r="F72" s="6">
        <f t="shared" si="28"/>
        <v>2.709537082884743E-3</v>
      </c>
      <c r="G72" s="2"/>
      <c r="H72" s="7">
        <v>200</v>
      </c>
      <c r="I72" s="2"/>
      <c r="J72" s="6">
        <f t="shared" si="29"/>
        <v>1.0329884873433086E-3</v>
      </c>
      <c r="K72" s="2"/>
      <c r="L72" s="7">
        <f t="shared" si="30"/>
        <v>150.05000000000001</v>
      </c>
      <c r="M72" s="2"/>
      <c r="N72" s="6">
        <f t="shared" si="31"/>
        <v>0.75025000000000008</v>
      </c>
      <c r="O72" s="11"/>
      <c r="P72" s="7">
        <v>598.92999999999995</v>
      </c>
      <c r="Q72" s="2"/>
      <c r="R72" s="6">
        <f t="shared" si="32"/>
        <v>4.264254239689193E-4</v>
      </c>
      <c r="S72" s="2"/>
      <c r="T72" s="7">
        <v>1400</v>
      </c>
      <c r="U72" s="2"/>
      <c r="V72" s="6">
        <f t="shared" si="33"/>
        <v>8.6491455570883761E-4</v>
      </c>
      <c r="W72" s="2"/>
      <c r="X72" s="7">
        <f t="shared" si="34"/>
        <v>-801.07</v>
      </c>
      <c r="Y72" s="2"/>
      <c r="Z72" s="6">
        <f t="shared" si="35"/>
        <v>-0.57219285714285717</v>
      </c>
    </row>
    <row r="73" spans="1:26" s="28" customFormat="1" outlineLevel="1" collapsed="1" x14ac:dyDescent="0.35">
      <c r="A73" s="27"/>
      <c r="B73" s="14" t="str">
        <f>CONCATENATE("     ","Depreciation                                      ")</f>
        <v xml:space="preserve">     Depreciation                                      </v>
      </c>
      <c r="C73" s="14"/>
      <c r="D73" s="1">
        <f>SUM(OSRRefD22_3x_0)</f>
        <v>280.44</v>
      </c>
      <c r="E73" s="1"/>
      <c r="F73" s="5">
        <f t="shared" si="28"/>
        <v>2.1707258378065915E-3</v>
      </c>
      <c r="G73" s="1"/>
      <c r="H73" s="1">
        <f>SUM(OSRRefH22_3x_0)</f>
        <v>300</v>
      </c>
      <c r="I73" s="1"/>
      <c r="J73" s="5">
        <f t="shared" si="29"/>
        <v>1.5494827310149628E-3</v>
      </c>
      <c r="K73" s="1"/>
      <c r="L73" s="1">
        <f t="shared" si="30"/>
        <v>-19.560000000000002</v>
      </c>
      <c r="M73" s="1"/>
      <c r="N73" s="5">
        <f t="shared" si="31"/>
        <v>-6.5200000000000008E-2</v>
      </c>
      <c r="O73" s="14"/>
      <c r="P73" s="1">
        <f>SUM(OSRRefP22_3x_0)</f>
        <v>1963.08</v>
      </c>
      <c r="Q73" s="1"/>
      <c r="R73" s="5">
        <f t="shared" si="32"/>
        <v>1.3976712158097042E-3</v>
      </c>
      <c r="S73" s="1"/>
      <c r="T73" s="1">
        <f>SUM(OSRRefT22_3x_0)</f>
        <v>2100</v>
      </c>
      <c r="U73" s="1"/>
      <c r="V73" s="5">
        <f t="shared" si="33"/>
        <v>1.2973718335632565E-3</v>
      </c>
      <c r="W73" s="1"/>
      <c r="X73" s="1">
        <f t="shared" si="34"/>
        <v>-136.92000000000007</v>
      </c>
      <c r="Y73" s="1"/>
      <c r="Z73" s="5">
        <f t="shared" si="35"/>
        <v>-6.5200000000000036E-2</v>
      </c>
    </row>
    <row r="74" spans="1:26" s="24" customFormat="1" hidden="1" outlineLevel="2" x14ac:dyDescent="0.35">
      <c r="A74" s="29"/>
      <c r="B74" s="11" t="str">
        <f>CONCATENATE("          ", "6322", " - ", "EQUIPMENT DEPRECIATION EXPENSE")</f>
        <v xml:space="preserve">          6322 - EQUIPMENT DEPRECIATION EXPENSE</v>
      </c>
      <c r="C74" s="11"/>
      <c r="D74" s="7">
        <v>280.44</v>
      </c>
      <c r="E74" s="2"/>
      <c r="F74" s="6">
        <f t="shared" si="28"/>
        <v>2.1707258378065915E-3</v>
      </c>
      <c r="G74" s="2"/>
      <c r="H74" s="7">
        <v>300</v>
      </c>
      <c r="I74" s="2"/>
      <c r="J74" s="6">
        <f t="shared" si="29"/>
        <v>1.5494827310149628E-3</v>
      </c>
      <c r="K74" s="2"/>
      <c r="L74" s="7">
        <f t="shared" si="30"/>
        <v>-19.560000000000002</v>
      </c>
      <c r="M74" s="2"/>
      <c r="N74" s="6">
        <f t="shared" si="31"/>
        <v>-6.5200000000000008E-2</v>
      </c>
      <c r="O74" s="11"/>
      <c r="P74" s="7">
        <v>1963.08</v>
      </c>
      <c r="Q74" s="2"/>
      <c r="R74" s="6">
        <f t="shared" si="32"/>
        <v>1.3976712158097042E-3</v>
      </c>
      <c r="S74" s="2"/>
      <c r="T74" s="7">
        <v>2100</v>
      </c>
      <c r="U74" s="2"/>
      <c r="V74" s="6">
        <f t="shared" si="33"/>
        <v>1.2973718335632565E-3</v>
      </c>
      <c r="W74" s="2"/>
      <c r="X74" s="7">
        <f t="shared" si="34"/>
        <v>-136.92000000000007</v>
      </c>
      <c r="Y74" s="2"/>
      <c r="Z74" s="6">
        <f t="shared" si="35"/>
        <v>-6.5200000000000036E-2</v>
      </c>
    </row>
    <row r="75" spans="1:26" s="28" customFormat="1" outlineLevel="1" collapsed="1" x14ac:dyDescent="0.35">
      <c r="A75" s="27"/>
      <c r="B75" s="14" t="str">
        <f>CONCATENATE("     ","Discounts and Markdowns                           ")</f>
        <v xml:space="preserve">     Discounts and Markdowns                           </v>
      </c>
      <c r="C75" s="14"/>
      <c r="D75" s="1">
        <f>SUM(OSRRefD22_4x_0)</f>
        <v>0</v>
      </c>
      <c r="E75" s="1"/>
      <c r="F75" s="5">
        <f t="shared" si="28"/>
        <v>0</v>
      </c>
      <c r="G75" s="1"/>
      <c r="H75" s="1">
        <f>SUM(OSRRefH22_4x_0)</f>
        <v>3079</v>
      </c>
      <c r="I75" s="1"/>
      <c r="J75" s="5">
        <f t="shared" si="29"/>
        <v>1.5902857762650234E-2</v>
      </c>
      <c r="K75" s="1"/>
      <c r="L75" s="1">
        <f t="shared" si="30"/>
        <v>-3079</v>
      </c>
      <c r="M75" s="1"/>
      <c r="N75" s="5">
        <f t="shared" si="31"/>
        <v>-1</v>
      </c>
      <c r="O75" s="14"/>
      <c r="P75" s="1">
        <f>SUM(OSRRefP22_4x_0)</f>
        <v>0</v>
      </c>
      <c r="Q75" s="1"/>
      <c r="R75" s="5">
        <f t="shared" si="32"/>
        <v>0</v>
      </c>
      <c r="S75" s="1"/>
      <c r="T75" s="1">
        <f>SUM(OSRRefT22_4x_0)</f>
        <v>25745</v>
      </c>
      <c r="U75" s="1"/>
      <c r="V75" s="5">
        <f t="shared" si="33"/>
        <v>1.5905160883374302E-2</v>
      </c>
      <c r="W75" s="1"/>
      <c r="X75" s="1">
        <f t="shared" si="34"/>
        <v>-25745</v>
      </c>
      <c r="Y75" s="1"/>
      <c r="Z75" s="5">
        <f t="shared" si="35"/>
        <v>-1</v>
      </c>
    </row>
    <row r="76" spans="1:26" s="24" customFormat="1" hidden="1" outlineLevel="2" x14ac:dyDescent="0.35">
      <c r="A76" s="29"/>
      <c r="B76" s="11" t="str">
        <f>CONCATENATE("          ", "6382", " - ", "DISCOUNTS/MARK DOWNS")</f>
        <v xml:space="preserve">          6382 - DISCOUNTS/MARK DOWNS</v>
      </c>
      <c r="C76" s="11"/>
      <c r="D76" s="7"/>
      <c r="E76" s="2"/>
      <c r="F76" s="6">
        <f t="shared" si="28"/>
        <v>0</v>
      </c>
      <c r="G76" s="2"/>
      <c r="H76" s="7">
        <v>3079</v>
      </c>
      <c r="I76" s="2"/>
      <c r="J76" s="6">
        <f t="shared" si="29"/>
        <v>1.5902857762650234E-2</v>
      </c>
      <c r="K76" s="2"/>
      <c r="L76" s="7">
        <f t="shared" si="30"/>
        <v>-3079</v>
      </c>
      <c r="M76" s="2"/>
      <c r="N76" s="6">
        <f t="shared" si="31"/>
        <v>-1</v>
      </c>
      <c r="O76" s="11"/>
      <c r="P76" s="7"/>
      <c r="Q76" s="2"/>
      <c r="R76" s="6">
        <f t="shared" si="32"/>
        <v>0</v>
      </c>
      <c r="S76" s="2"/>
      <c r="T76" s="7">
        <v>25745</v>
      </c>
      <c r="U76" s="2"/>
      <c r="V76" s="6">
        <f t="shared" si="33"/>
        <v>1.5905160883374302E-2</v>
      </c>
      <c r="W76" s="2"/>
      <c r="X76" s="7">
        <f t="shared" si="34"/>
        <v>-25745</v>
      </c>
      <c r="Y76" s="2"/>
      <c r="Z76" s="6">
        <f t="shared" si="35"/>
        <v>-1</v>
      </c>
    </row>
    <row r="77" spans="1:26" s="28" customFormat="1" outlineLevel="1" collapsed="1" x14ac:dyDescent="0.35">
      <c r="A77" s="27"/>
      <c r="B77" s="14" t="str">
        <f>CONCATENATE("     ","Employees' Appreciation                           ")</f>
        <v xml:space="preserve">     Employees' Appreciation                           </v>
      </c>
      <c r="C77" s="14"/>
      <c r="D77" s="1">
        <f>SUM(OSRRefD22_5x_0)</f>
        <v>0</v>
      </c>
      <c r="E77" s="1"/>
      <c r="F77" s="5">
        <f t="shared" si="28"/>
        <v>0</v>
      </c>
      <c r="G77" s="1"/>
      <c r="H77" s="1">
        <f>SUM(OSRRefH22_5x_0)</f>
        <v>20</v>
      </c>
      <c r="I77" s="1"/>
      <c r="J77" s="5">
        <f t="shared" si="29"/>
        <v>1.0329884873433086E-4</v>
      </c>
      <c r="K77" s="1"/>
      <c r="L77" s="1">
        <f t="shared" si="30"/>
        <v>-20</v>
      </c>
      <c r="M77" s="1"/>
      <c r="N77" s="5">
        <f t="shared" si="31"/>
        <v>-1</v>
      </c>
      <c r="O77" s="14"/>
      <c r="P77" s="1">
        <f>SUM(OSRRefP22_5x_0)</f>
        <v>0</v>
      </c>
      <c r="Q77" s="1"/>
      <c r="R77" s="5">
        <f t="shared" si="32"/>
        <v>0</v>
      </c>
      <c r="S77" s="1"/>
      <c r="T77" s="1">
        <f>SUM(OSRRefT22_5x_0)</f>
        <v>140</v>
      </c>
      <c r="U77" s="1"/>
      <c r="V77" s="5">
        <f t="shared" si="33"/>
        <v>8.6491455570883761E-5</v>
      </c>
      <c r="W77" s="1"/>
      <c r="X77" s="1">
        <f t="shared" si="34"/>
        <v>-140</v>
      </c>
      <c r="Y77" s="1"/>
      <c r="Z77" s="5">
        <f t="shared" si="35"/>
        <v>-1</v>
      </c>
    </row>
    <row r="78" spans="1:26" s="24" customFormat="1" hidden="1" outlineLevel="2" x14ac:dyDescent="0.35">
      <c r="A78" s="29"/>
      <c r="B78" s="11" t="str">
        <f>CONCATENATE("          ", "6277", " - ", "EMPLOYEE APPRECIATION")</f>
        <v xml:space="preserve">          6277 - EMPLOYEE APPRECIATION</v>
      </c>
      <c r="C78" s="11"/>
      <c r="D78" s="7"/>
      <c r="E78" s="2"/>
      <c r="F78" s="6">
        <f t="shared" si="28"/>
        <v>0</v>
      </c>
      <c r="G78" s="2"/>
      <c r="H78" s="7">
        <v>20</v>
      </c>
      <c r="I78" s="2"/>
      <c r="J78" s="6">
        <f t="shared" si="29"/>
        <v>1.0329884873433086E-4</v>
      </c>
      <c r="K78" s="2"/>
      <c r="L78" s="7">
        <f t="shared" si="30"/>
        <v>-20</v>
      </c>
      <c r="M78" s="2"/>
      <c r="N78" s="6">
        <f t="shared" si="31"/>
        <v>-1</v>
      </c>
      <c r="O78" s="11"/>
      <c r="P78" s="7"/>
      <c r="Q78" s="2"/>
      <c r="R78" s="6">
        <f t="shared" si="32"/>
        <v>0</v>
      </c>
      <c r="S78" s="2"/>
      <c r="T78" s="7">
        <v>140</v>
      </c>
      <c r="U78" s="2"/>
      <c r="V78" s="6">
        <f t="shared" si="33"/>
        <v>8.6491455570883761E-5</v>
      </c>
      <c r="W78" s="2"/>
      <c r="X78" s="7">
        <f t="shared" si="34"/>
        <v>-140</v>
      </c>
      <c r="Y78" s="2"/>
      <c r="Z78" s="6">
        <f t="shared" si="35"/>
        <v>-1</v>
      </c>
    </row>
    <row r="79" spans="1:26" s="28" customFormat="1" outlineLevel="1" collapsed="1" x14ac:dyDescent="0.35">
      <c r="A79" s="27"/>
      <c r="B79" s="14" t="str">
        <f>CONCATENATE("     ","Freight out/Postage                               ")</f>
        <v xml:space="preserve">     Freight out/Postage                               </v>
      </c>
      <c r="C79" s="14"/>
      <c r="D79" s="1">
        <f>SUM(OSRRefD22_6x_0)</f>
        <v>122.94</v>
      </c>
      <c r="E79" s="1"/>
      <c r="F79" s="5">
        <f t="shared" si="28"/>
        <v>9.5160831015526437E-4</v>
      </c>
      <c r="G79" s="1"/>
      <c r="H79" s="1">
        <f>SUM(OSRRefH22_6x_0)</f>
        <v>15</v>
      </c>
      <c r="I79" s="1"/>
      <c r="J79" s="5">
        <f t="shared" si="29"/>
        <v>7.7474136550748137E-5</v>
      </c>
      <c r="K79" s="1"/>
      <c r="L79" s="1">
        <f t="shared" si="30"/>
        <v>107.94</v>
      </c>
      <c r="M79" s="1"/>
      <c r="N79" s="5">
        <f t="shared" si="31"/>
        <v>7.1959999999999997</v>
      </c>
      <c r="O79" s="14"/>
      <c r="P79" s="1">
        <f>SUM(OSRRefP22_6x_0)</f>
        <v>994.11</v>
      </c>
      <c r="Q79" s="1"/>
      <c r="R79" s="5">
        <f t="shared" si="32"/>
        <v>7.0778518060832219E-4</v>
      </c>
      <c r="S79" s="1"/>
      <c r="T79" s="1">
        <f>SUM(OSRRefT22_6x_0)</f>
        <v>105</v>
      </c>
      <c r="U79" s="1"/>
      <c r="V79" s="5">
        <f t="shared" si="33"/>
        <v>6.4868591678162821E-5</v>
      </c>
      <c r="W79" s="1"/>
      <c r="X79" s="1">
        <f t="shared" si="34"/>
        <v>889.11</v>
      </c>
      <c r="Y79" s="1"/>
      <c r="Z79" s="5">
        <f t="shared" si="35"/>
        <v>8.4677142857142851</v>
      </c>
    </row>
    <row r="80" spans="1:26" s="24" customFormat="1" hidden="1" outlineLevel="2" x14ac:dyDescent="0.35">
      <c r="A80" s="29"/>
      <c r="B80" s="11" t="str">
        <f>CONCATENATE("          ", "6305", " - ", "FREIGHT OUT")</f>
        <v xml:space="preserve">          6305 - FREIGHT OUT</v>
      </c>
      <c r="C80" s="11"/>
      <c r="D80" s="7">
        <v>122.94</v>
      </c>
      <c r="E80" s="2"/>
      <c r="F80" s="6">
        <f t="shared" si="28"/>
        <v>9.5160831015526437E-4</v>
      </c>
      <c r="G80" s="2"/>
      <c r="H80" s="7">
        <v>15</v>
      </c>
      <c r="I80" s="2"/>
      <c r="J80" s="6">
        <f t="shared" si="29"/>
        <v>7.7474136550748137E-5</v>
      </c>
      <c r="K80" s="2"/>
      <c r="L80" s="7">
        <f t="shared" si="30"/>
        <v>107.94</v>
      </c>
      <c r="M80" s="2"/>
      <c r="N80" s="6">
        <f t="shared" si="31"/>
        <v>7.1959999999999997</v>
      </c>
      <c r="O80" s="11"/>
      <c r="P80" s="7">
        <v>981.51</v>
      </c>
      <c r="Q80" s="2"/>
      <c r="R80" s="6">
        <f t="shared" si="32"/>
        <v>6.9881424854279135E-4</v>
      </c>
      <c r="S80" s="2"/>
      <c r="T80" s="7">
        <v>105</v>
      </c>
      <c r="U80" s="2"/>
      <c r="V80" s="6">
        <f t="shared" si="33"/>
        <v>6.4868591678162821E-5</v>
      </c>
      <c r="W80" s="2"/>
      <c r="X80" s="7">
        <f t="shared" si="34"/>
        <v>876.51</v>
      </c>
      <c r="Y80" s="2"/>
      <c r="Z80" s="6">
        <f t="shared" si="35"/>
        <v>8.3477142857142859</v>
      </c>
    </row>
    <row r="81" spans="1:26" s="24" customFormat="1" hidden="1" outlineLevel="2" x14ac:dyDescent="0.35">
      <c r="A81" s="29"/>
      <c r="B81" s="11" t="str">
        <f>CONCATENATE("          ", "6307", " - ", "POSTAGE")</f>
        <v xml:space="preserve">          6307 - POSTAGE</v>
      </c>
      <c r="C81" s="11"/>
      <c r="D81" s="7"/>
      <c r="E81" s="2"/>
      <c r="F81" s="6">
        <f t="shared" si="28"/>
        <v>0</v>
      </c>
      <c r="G81" s="2"/>
      <c r="H81" s="7"/>
      <c r="I81" s="2"/>
      <c r="J81" s="6">
        <f t="shared" si="29"/>
        <v>0</v>
      </c>
      <c r="K81" s="2"/>
      <c r="L81" s="7">
        <f t="shared" si="30"/>
        <v>0</v>
      </c>
      <c r="M81" s="2"/>
      <c r="N81" s="6">
        <f t="shared" si="31"/>
        <v>0</v>
      </c>
      <c r="O81" s="11"/>
      <c r="P81" s="7">
        <v>12.6</v>
      </c>
      <c r="Q81" s="2"/>
      <c r="R81" s="6">
        <f t="shared" si="32"/>
        <v>8.9709320655308361E-6</v>
      </c>
      <c r="S81" s="2"/>
      <c r="T81" s="7"/>
      <c r="U81" s="2"/>
      <c r="V81" s="6">
        <f t="shared" si="33"/>
        <v>0</v>
      </c>
      <c r="W81" s="2"/>
      <c r="X81" s="7">
        <f t="shared" si="34"/>
        <v>12.6</v>
      </c>
      <c r="Y81" s="2"/>
      <c r="Z81" s="6">
        <f t="shared" si="35"/>
        <v>0</v>
      </c>
    </row>
    <row r="82" spans="1:26" s="28" customFormat="1" outlineLevel="1" collapsed="1" x14ac:dyDescent="0.35">
      <c r="A82" s="27"/>
      <c r="B82" s="14" t="str">
        <f>CONCATENATE("     ","General                                           ")</f>
        <v xml:space="preserve">     General                                           </v>
      </c>
      <c r="C82" s="14"/>
      <c r="D82" s="1">
        <f>SUM(OSRRefD22_7x_0)</f>
        <v>0</v>
      </c>
      <c r="E82" s="1"/>
      <c r="F82" s="5">
        <f t="shared" ref="F82:F91" si="36">IF(D$12=0,0,D82/D$12)</f>
        <v>0</v>
      </c>
      <c r="G82" s="1"/>
      <c r="H82" s="1">
        <f>SUM(OSRRefH22_7x_0)</f>
        <v>30</v>
      </c>
      <c r="I82" s="1"/>
      <c r="J82" s="5">
        <f t="shared" ref="J82:J91" si="37">IF(H$12=0,0,H82/H$12)</f>
        <v>1.5494827310149627E-4</v>
      </c>
      <c r="K82" s="1"/>
      <c r="L82" s="1">
        <f t="shared" ref="L82:L91" si="38">+D82-H82</f>
        <v>-30</v>
      </c>
      <c r="M82" s="1"/>
      <c r="N82" s="5">
        <f t="shared" ref="N82:N91" si="39">IF(H82=0,0,L82/H82)</f>
        <v>-1</v>
      </c>
      <c r="O82" s="14"/>
      <c r="P82" s="1">
        <f>SUM(OSRRefP22_7x_0)</f>
        <v>-30.15</v>
      </c>
      <c r="Q82" s="1"/>
      <c r="R82" s="5">
        <f t="shared" ref="R82:R91" si="40">IF(P$12=0,0,P82/P$12)</f>
        <v>-2.146615887109164E-5</v>
      </c>
      <c r="S82" s="1"/>
      <c r="T82" s="1">
        <f>SUM(OSRRefT22_7x_0)</f>
        <v>210</v>
      </c>
      <c r="U82" s="1"/>
      <c r="V82" s="5">
        <f t="shared" ref="V82:V91" si="41">IF(T$12=0,0,T82/T$12)</f>
        <v>1.2973718335632564E-4</v>
      </c>
      <c r="W82" s="1"/>
      <c r="X82" s="1">
        <f t="shared" ref="X82:X91" si="42">+P82-T82</f>
        <v>-240.15</v>
      </c>
      <c r="Y82" s="1"/>
      <c r="Z82" s="5">
        <f t="shared" ref="Z82:Z91" si="43">IF(T82=0,0,X82/T82)</f>
        <v>-1.1435714285714287</v>
      </c>
    </row>
    <row r="83" spans="1:26" s="24" customFormat="1" hidden="1" outlineLevel="2" x14ac:dyDescent="0.35">
      <c r="A83" s="29"/>
      <c r="B83" s="11" t="str">
        <f>CONCATENATE("          ", "6279", " - ", "GENERAL EXPENSE")</f>
        <v xml:space="preserve">          6279 - GENERAL EXPENSE</v>
      </c>
      <c r="C83" s="11"/>
      <c r="D83" s="7"/>
      <c r="E83" s="2"/>
      <c r="F83" s="6">
        <f t="shared" si="36"/>
        <v>0</v>
      </c>
      <c r="G83" s="2"/>
      <c r="H83" s="7">
        <v>30</v>
      </c>
      <c r="I83" s="2"/>
      <c r="J83" s="6">
        <f t="shared" si="37"/>
        <v>1.5494827310149627E-4</v>
      </c>
      <c r="K83" s="2"/>
      <c r="L83" s="7">
        <f t="shared" si="38"/>
        <v>-30</v>
      </c>
      <c r="M83" s="2"/>
      <c r="N83" s="6">
        <f t="shared" si="39"/>
        <v>-1</v>
      </c>
      <c r="O83" s="11"/>
      <c r="P83" s="7">
        <v>-30.15</v>
      </c>
      <c r="Q83" s="2"/>
      <c r="R83" s="6">
        <f t="shared" si="40"/>
        <v>-2.146615887109164E-5</v>
      </c>
      <c r="S83" s="2"/>
      <c r="T83" s="7">
        <v>210</v>
      </c>
      <c r="U83" s="2"/>
      <c r="V83" s="6">
        <f t="shared" si="41"/>
        <v>1.2973718335632564E-4</v>
      </c>
      <c r="W83" s="2"/>
      <c r="X83" s="7">
        <f t="shared" si="42"/>
        <v>-240.15</v>
      </c>
      <c r="Y83" s="2"/>
      <c r="Z83" s="6">
        <f t="shared" si="43"/>
        <v>-1.1435714285714287</v>
      </c>
    </row>
    <row r="84" spans="1:26" s="28" customFormat="1" outlineLevel="1" collapsed="1" x14ac:dyDescent="0.35">
      <c r="A84" s="27"/>
      <c r="B84" s="14" t="str">
        <f>CONCATENATE("     ","Inventory Adjustment                              ")</f>
        <v xml:space="preserve">     Inventory Adjustment                              </v>
      </c>
      <c r="C84" s="14"/>
      <c r="D84" s="1">
        <f>SUM(OSRRefD22_8x_0)</f>
        <v>1250</v>
      </c>
      <c r="E84" s="1"/>
      <c r="F84" s="5">
        <f t="shared" si="36"/>
        <v>9.6755359337406914E-3</v>
      </c>
      <c r="G84" s="1"/>
      <c r="H84" s="1">
        <f>SUM(OSRRefH22_8x_0)</f>
        <v>1250</v>
      </c>
      <c r="I84" s="1"/>
      <c r="J84" s="5">
        <f t="shared" si="37"/>
        <v>6.4561780458956787E-3</v>
      </c>
      <c r="K84" s="1"/>
      <c r="L84" s="1">
        <f t="shared" si="38"/>
        <v>0</v>
      </c>
      <c r="M84" s="1"/>
      <c r="N84" s="5">
        <f t="shared" si="39"/>
        <v>0</v>
      </c>
      <c r="O84" s="14"/>
      <c r="P84" s="1">
        <f>SUM(OSRRefP22_8x_0)</f>
        <v>8750</v>
      </c>
      <c r="Q84" s="1"/>
      <c r="R84" s="5">
        <f t="shared" si="40"/>
        <v>6.2298139343964134E-3</v>
      </c>
      <c r="S84" s="1"/>
      <c r="T84" s="1">
        <f>SUM(OSRRefT22_8x_0)</f>
        <v>8750</v>
      </c>
      <c r="U84" s="1"/>
      <c r="V84" s="5">
        <f t="shared" si="41"/>
        <v>5.4057159731802354E-3</v>
      </c>
      <c r="W84" s="1"/>
      <c r="X84" s="1">
        <f t="shared" si="42"/>
        <v>0</v>
      </c>
      <c r="Y84" s="1"/>
      <c r="Z84" s="5">
        <f t="shared" si="43"/>
        <v>0</v>
      </c>
    </row>
    <row r="85" spans="1:26" s="24" customFormat="1" hidden="1" outlineLevel="2" x14ac:dyDescent="0.35">
      <c r="A85" s="29"/>
      <c r="B85" s="11" t="str">
        <f>CONCATENATE("          ", "6408", " - ", "INVENTORY ADJUSTMENT")</f>
        <v xml:space="preserve">          6408 - INVENTORY ADJUSTMENT</v>
      </c>
      <c r="C85" s="11"/>
      <c r="D85" s="7">
        <v>1250</v>
      </c>
      <c r="E85" s="2"/>
      <c r="F85" s="6">
        <f t="shared" si="36"/>
        <v>9.6755359337406914E-3</v>
      </c>
      <c r="G85" s="2"/>
      <c r="H85" s="7">
        <v>1250</v>
      </c>
      <c r="I85" s="2"/>
      <c r="J85" s="6">
        <f t="shared" si="37"/>
        <v>6.4561780458956787E-3</v>
      </c>
      <c r="K85" s="2"/>
      <c r="L85" s="7">
        <f t="shared" si="38"/>
        <v>0</v>
      </c>
      <c r="M85" s="2"/>
      <c r="N85" s="6">
        <f t="shared" si="39"/>
        <v>0</v>
      </c>
      <c r="O85" s="11"/>
      <c r="P85" s="7">
        <v>8750</v>
      </c>
      <c r="Q85" s="2"/>
      <c r="R85" s="6">
        <f t="shared" si="40"/>
        <v>6.2298139343964134E-3</v>
      </c>
      <c r="S85" s="2"/>
      <c r="T85" s="7">
        <v>8750</v>
      </c>
      <c r="U85" s="2"/>
      <c r="V85" s="6">
        <f t="shared" si="41"/>
        <v>5.4057159731802354E-3</v>
      </c>
      <c r="W85" s="2"/>
      <c r="X85" s="7">
        <f t="shared" si="42"/>
        <v>0</v>
      </c>
      <c r="Y85" s="2"/>
      <c r="Z85" s="6">
        <f t="shared" si="43"/>
        <v>0</v>
      </c>
    </row>
    <row r="86" spans="1:26" s="28" customFormat="1" outlineLevel="1" collapsed="1" x14ac:dyDescent="0.35">
      <c r="A86" s="27"/>
      <c r="B86" s="14" t="str">
        <f>CONCATENATE("     ","Repair and Maintenance                            ")</f>
        <v xml:space="preserve">     Repair and Maintenance                            </v>
      </c>
      <c r="C86" s="14"/>
      <c r="D86" s="1">
        <f>SUM(OSRRefD22_9x_0)</f>
        <v>0</v>
      </c>
      <c r="E86" s="1"/>
      <c r="F86" s="5">
        <f t="shared" si="36"/>
        <v>0</v>
      </c>
      <c r="G86" s="1"/>
      <c r="H86" s="1">
        <f>SUM(OSRRefH22_9x_0)</f>
        <v>20</v>
      </c>
      <c r="I86" s="1"/>
      <c r="J86" s="5">
        <f t="shared" si="37"/>
        <v>1.0329884873433086E-4</v>
      </c>
      <c r="K86" s="1"/>
      <c r="L86" s="1">
        <f t="shared" si="38"/>
        <v>-20</v>
      </c>
      <c r="M86" s="1"/>
      <c r="N86" s="5">
        <f t="shared" si="39"/>
        <v>-1</v>
      </c>
      <c r="O86" s="14"/>
      <c r="P86" s="1">
        <f>SUM(OSRRefP22_9x_0)</f>
        <v>0</v>
      </c>
      <c r="Q86" s="1"/>
      <c r="R86" s="5">
        <f t="shared" si="40"/>
        <v>0</v>
      </c>
      <c r="S86" s="1"/>
      <c r="T86" s="1">
        <f>SUM(OSRRefT22_9x_0)</f>
        <v>145</v>
      </c>
      <c r="U86" s="1"/>
      <c r="V86" s="5">
        <f t="shared" si="41"/>
        <v>8.9580436126986758E-5</v>
      </c>
      <c r="W86" s="1"/>
      <c r="X86" s="1">
        <f t="shared" si="42"/>
        <v>-145</v>
      </c>
      <c r="Y86" s="1"/>
      <c r="Z86" s="5">
        <f t="shared" si="43"/>
        <v>-1</v>
      </c>
    </row>
    <row r="87" spans="1:26" s="24" customFormat="1" hidden="1" outlineLevel="2" x14ac:dyDescent="0.35">
      <c r="A87" s="29"/>
      <c r="B87" s="11" t="str">
        <f>CONCATENATE("          ", "6375", " - ", "OUTSIDE REPAIRS &amp; MAINTENANCE")</f>
        <v xml:space="preserve">          6375 - OUTSIDE REPAIRS &amp; MAINTENANCE</v>
      </c>
      <c r="C87" s="11"/>
      <c r="D87" s="7"/>
      <c r="E87" s="2"/>
      <c r="F87" s="6">
        <f t="shared" si="36"/>
        <v>0</v>
      </c>
      <c r="G87" s="2"/>
      <c r="H87" s="7">
        <v>20</v>
      </c>
      <c r="I87" s="2"/>
      <c r="J87" s="6">
        <f t="shared" si="37"/>
        <v>1.0329884873433086E-4</v>
      </c>
      <c r="K87" s="2"/>
      <c r="L87" s="7">
        <f t="shared" si="38"/>
        <v>-20</v>
      </c>
      <c r="M87" s="2"/>
      <c r="N87" s="6">
        <f t="shared" si="39"/>
        <v>-1</v>
      </c>
      <c r="O87" s="11"/>
      <c r="P87" s="7"/>
      <c r="Q87" s="2"/>
      <c r="R87" s="6">
        <f t="shared" si="40"/>
        <v>0</v>
      </c>
      <c r="S87" s="2"/>
      <c r="T87" s="7">
        <v>145</v>
      </c>
      <c r="U87" s="2"/>
      <c r="V87" s="6">
        <f t="shared" si="41"/>
        <v>8.9580436126986758E-5</v>
      </c>
      <c r="W87" s="2"/>
      <c r="X87" s="7">
        <f t="shared" si="42"/>
        <v>-145</v>
      </c>
      <c r="Y87" s="2"/>
      <c r="Z87" s="6">
        <f t="shared" si="43"/>
        <v>-1</v>
      </c>
    </row>
    <row r="88" spans="1:26" s="28" customFormat="1" outlineLevel="1" collapsed="1" x14ac:dyDescent="0.35">
      <c r="A88" s="27"/>
      <c r="B88" s="14" t="str">
        <f>CONCATENATE("     ","Supplies                                          ")</f>
        <v xml:space="preserve">     Supplies                                          </v>
      </c>
      <c r="C88" s="14"/>
      <c r="D88" s="1">
        <f>SUM(OSRRefD22_10x_0)</f>
        <v>-683.71</v>
      </c>
      <c r="E88" s="1"/>
      <c r="F88" s="5">
        <f t="shared" si="36"/>
        <v>-5.2922085386062781E-3</v>
      </c>
      <c r="G88" s="1"/>
      <c r="H88" s="1">
        <f>SUM(OSRRefH22_10x_0)</f>
        <v>310</v>
      </c>
      <c r="I88" s="1"/>
      <c r="J88" s="5">
        <f t="shared" si="37"/>
        <v>1.6011321553821283E-3</v>
      </c>
      <c r="K88" s="1"/>
      <c r="L88" s="1">
        <f t="shared" si="38"/>
        <v>-993.71</v>
      </c>
      <c r="M88" s="1"/>
      <c r="N88" s="5">
        <f t="shared" si="39"/>
        <v>-3.205516129032258</v>
      </c>
      <c r="O88" s="14"/>
      <c r="P88" s="1">
        <f>SUM(OSRRefP22_10x_0)</f>
        <v>2069.86</v>
      </c>
      <c r="Q88" s="1"/>
      <c r="R88" s="5">
        <f t="shared" si="40"/>
        <v>1.4736963051714012E-3</v>
      </c>
      <c r="S88" s="1"/>
      <c r="T88" s="1">
        <f>SUM(OSRRefT22_10x_0)</f>
        <v>2170</v>
      </c>
      <c r="U88" s="1"/>
      <c r="V88" s="5">
        <f t="shared" si="41"/>
        <v>1.3406175613486983E-3</v>
      </c>
      <c r="W88" s="1"/>
      <c r="X88" s="1">
        <f t="shared" si="42"/>
        <v>-100.13999999999987</v>
      </c>
      <c r="Y88" s="1"/>
      <c r="Z88" s="5">
        <f t="shared" si="43"/>
        <v>-4.6147465437787957E-2</v>
      </c>
    </row>
    <row r="89" spans="1:26" s="24" customFormat="1" hidden="1" outlineLevel="2" x14ac:dyDescent="0.35">
      <c r="A89" s="29"/>
      <c r="B89" s="11" t="str">
        <f>CONCATENATE("          ", "6235", " - ", "COVID-19 EXPENSES")</f>
        <v xml:space="preserve">          6235 - COVID-19 EXPENSES</v>
      </c>
      <c r="C89" s="11"/>
      <c r="D89" s="7"/>
      <c r="E89" s="2"/>
      <c r="F89" s="6">
        <f t="shared" si="36"/>
        <v>0</v>
      </c>
      <c r="G89" s="2"/>
      <c r="H89" s="7"/>
      <c r="I89" s="2"/>
      <c r="J89" s="6">
        <f t="shared" si="37"/>
        <v>0</v>
      </c>
      <c r="K89" s="2"/>
      <c r="L89" s="7">
        <f t="shared" si="38"/>
        <v>0</v>
      </c>
      <c r="M89" s="2"/>
      <c r="N89" s="6">
        <f t="shared" si="39"/>
        <v>0</v>
      </c>
      <c r="O89" s="11"/>
      <c r="P89" s="7">
        <v>668.12</v>
      </c>
      <c r="Q89" s="2"/>
      <c r="R89" s="6">
        <f t="shared" si="40"/>
        <v>4.7568723266844937E-4</v>
      </c>
      <c r="S89" s="2"/>
      <c r="T89" s="7"/>
      <c r="U89" s="2"/>
      <c r="V89" s="6">
        <f t="shared" si="41"/>
        <v>0</v>
      </c>
      <c r="W89" s="2"/>
      <c r="X89" s="7">
        <f t="shared" si="42"/>
        <v>668.12</v>
      </c>
      <c r="Y89" s="2"/>
      <c r="Z89" s="6">
        <f t="shared" si="43"/>
        <v>0</v>
      </c>
    </row>
    <row r="90" spans="1:26" s="24" customFormat="1" hidden="1" outlineLevel="2" x14ac:dyDescent="0.35">
      <c r="A90" s="29"/>
      <c r="B90" s="11" t="str">
        <f>CONCATENATE("          ", "6241", " - ", "OFFICE EXPENSE")</f>
        <v xml:space="preserve">          6241 - OFFICE EXPENSE</v>
      </c>
      <c r="C90" s="11"/>
      <c r="D90" s="7">
        <v>-683.71</v>
      </c>
      <c r="E90" s="2"/>
      <c r="F90" s="6">
        <f t="shared" si="36"/>
        <v>-5.2922085386062781E-3</v>
      </c>
      <c r="G90" s="2"/>
      <c r="H90" s="7">
        <v>110</v>
      </c>
      <c r="I90" s="2"/>
      <c r="J90" s="6">
        <f t="shared" si="37"/>
        <v>5.6814366803881969E-4</v>
      </c>
      <c r="K90" s="2"/>
      <c r="L90" s="7">
        <f t="shared" si="38"/>
        <v>-793.71</v>
      </c>
      <c r="M90" s="2"/>
      <c r="N90" s="6">
        <f t="shared" si="39"/>
        <v>-7.2155454545454552</v>
      </c>
      <c r="O90" s="11"/>
      <c r="P90" s="7">
        <v>1401.74</v>
      </c>
      <c r="Q90" s="2"/>
      <c r="R90" s="6">
        <f t="shared" si="40"/>
        <v>9.9800907250295178E-4</v>
      </c>
      <c r="S90" s="2"/>
      <c r="T90" s="7">
        <v>770</v>
      </c>
      <c r="U90" s="2"/>
      <c r="V90" s="6">
        <f t="shared" si="41"/>
        <v>4.7570300563986071E-4</v>
      </c>
      <c r="W90" s="2"/>
      <c r="X90" s="7">
        <f t="shared" si="42"/>
        <v>631.74</v>
      </c>
      <c r="Y90" s="2"/>
      <c r="Z90" s="6">
        <f t="shared" si="43"/>
        <v>0.82044155844155842</v>
      </c>
    </row>
    <row r="91" spans="1:26" s="24" customFormat="1" hidden="1" outlineLevel="2" x14ac:dyDescent="0.35">
      <c r="A91" s="29"/>
      <c r="B91" s="11" t="str">
        <f>CONCATENATE("          ", "6247", " - ", "STORE SUPPLIES")</f>
        <v xml:space="preserve">          6247 - STORE SUPPLIES</v>
      </c>
      <c r="C91" s="11"/>
      <c r="D91" s="7"/>
      <c r="E91" s="2"/>
      <c r="F91" s="6">
        <f t="shared" si="36"/>
        <v>0</v>
      </c>
      <c r="G91" s="2"/>
      <c r="H91" s="7">
        <v>200</v>
      </c>
      <c r="I91" s="2"/>
      <c r="J91" s="6">
        <f t="shared" si="37"/>
        <v>1.0329884873433086E-3</v>
      </c>
      <c r="K91" s="2"/>
      <c r="L91" s="7">
        <f t="shared" si="38"/>
        <v>-200</v>
      </c>
      <c r="M91" s="2"/>
      <c r="N91" s="6">
        <f t="shared" si="39"/>
        <v>-1</v>
      </c>
      <c r="O91" s="11"/>
      <c r="P91" s="7"/>
      <c r="Q91" s="2"/>
      <c r="R91" s="6">
        <f t="shared" si="40"/>
        <v>0</v>
      </c>
      <c r="S91" s="2"/>
      <c r="T91" s="7">
        <v>1400</v>
      </c>
      <c r="U91" s="2"/>
      <c r="V91" s="6">
        <f t="shared" si="41"/>
        <v>8.6491455570883761E-4</v>
      </c>
      <c r="W91" s="2"/>
      <c r="X91" s="7">
        <f t="shared" si="42"/>
        <v>-1400</v>
      </c>
      <c r="Y91" s="2"/>
      <c r="Z91" s="6">
        <f t="shared" si="43"/>
        <v>-1</v>
      </c>
    </row>
    <row r="92" spans="1:26" s="28" customFormat="1" outlineLevel="1" collapsed="1" x14ac:dyDescent="0.35">
      <c r="A92" s="27"/>
      <c r="B92" s="14" t="str">
        <f>CONCATENATE("     ","Telephone/Data Lines                              ")</f>
        <v xml:space="preserve">     Telephone/Data Lines                              </v>
      </c>
      <c r="C92" s="14"/>
      <c r="D92" s="1">
        <f>SUM(OSRRefD22_11x_0)</f>
        <v>227.45</v>
      </c>
      <c r="E92" s="1"/>
      <c r="F92" s="5">
        <f t="shared" ref="F92:F95" si="44">IF(D$12=0,0,D92/D$12)</f>
        <v>1.7605605185034559E-3</v>
      </c>
      <c r="G92" s="1"/>
      <c r="H92" s="1">
        <f>SUM(OSRRefH22_11x_0)</f>
        <v>250</v>
      </c>
      <c r="I92" s="1"/>
      <c r="J92" s="5">
        <f t="shared" ref="J92:J95" si="45">IF(H$12=0,0,H92/H$12)</f>
        <v>1.2912356091791357E-3</v>
      </c>
      <c r="K92" s="1"/>
      <c r="L92" s="1">
        <f t="shared" ref="L92:L95" si="46">+D92-H92</f>
        <v>-22.550000000000011</v>
      </c>
      <c r="M92" s="1"/>
      <c r="N92" s="5">
        <f t="shared" ref="N92:N95" si="47">IF(H92=0,0,L92/H92)</f>
        <v>-9.0200000000000044E-2</v>
      </c>
      <c r="O92" s="14"/>
      <c r="P92" s="1">
        <f>SUM(OSRRefP22_11x_0)</f>
        <v>2080.75</v>
      </c>
      <c r="Q92" s="1"/>
      <c r="R92" s="5">
        <f t="shared" ref="R92:R95" si="48">IF(P$12=0,0,P92/P$12)</f>
        <v>1.4814497535994673E-3</v>
      </c>
      <c r="S92" s="1"/>
      <c r="T92" s="1">
        <f>SUM(OSRRefT22_11x_0)</f>
        <v>1760</v>
      </c>
      <c r="U92" s="1"/>
      <c r="V92" s="5">
        <f t="shared" ref="V92:V95" si="49">IF(T$12=0,0,T92/T$12)</f>
        <v>1.0873211557482531E-3</v>
      </c>
      <c r="W92" s="1"/>
      <c r="X92" s="1">
        <f t="shared" ref="X92:X95" si="50">+P92-T92</f>
        <v>320.75</v>
      </c>
      <c r="Y92" s="1"/>
      <c r="Z92" s="5">
        <f t="shared" ref="Z92:Z95" si="51">IF(T92=0,0,X92/T92)</f>
        <v>0.18224431818181819</v>
      </c>
    </row>
    <row r="93" spans="1:26" s="24" customFormat="1" hidden="1" outlineLevel="2" x14ac:dyDescent="0.35">
      <c r="A93" s="29"/>
      <c r="B93" s="11" t="str">
        <f>CONCATENATE("          ", "6309", " - ", "TELEPHONE")</f>
        <v xml:space="preserve">          6309 - TELEPHONE</v>
      </c>
      <c r="C93" s="11"/>
      <c r="D93" s="7">
        <v>227.45</v>
      </c>
      <c r="E93" s="2"/>
      <c r="F93" s="6">
        <f t="shared" si="44"/>
        <v>1.7605605185034559E-3</v>
      </c>
      <c r="G93" s="2"/>
      <c r="H93" s="7">
        <v>250</v>
      </c>
      <c r="I93" s="2"/>
      <c r="J93" s="6">
        <f t="shared" si="45"/>
        <v>1.2912356091791357E-3</v>
      </c>
      <c r="K93" s="2"/>
      <c r="L93" s="7">
        <f t="shared" si="46"/>
        <v>-22.550000000000011</v>
      </c>
      <c r="M93" s="2"/>
      <c r="N93" s="6">
        <f t="shared" si="47"/>
        <v>-9.0200000000000044E-2</v>
      </c>
      <c r="O93" s="11"/>
      <c r="P93" s="7">
        <v>2080.75</v>
      </c>
      <c r="Q93" s="2"/>
      <c r="R93" s="6">
        <f t="shared" si="48"/>
        <v>1.4814497535994673E-3</v>
      </c>
      <c r="S93" s="2"/>
      <c r="T93" s="7">
        <v>1760</v>
      </c>
      <c r="U93" s="2"/>
      <c r="V93" s="6">
        <f t="shared" si="49"/>
        <v>1.0873211557482531E-3</v>
      </c>
      <c r="W93" s="2"/>
      <c r="X93" s="7">
        <f t="shared" si="50"/>
        <v>320.75</v>
      </c>
      <c r="Y93" s="2"/>
      <c r="Z93" s="6">
        <f t="shared" si="51"/>
        <v>0.18224431818181819</v>
      </c>
    </row>
    <row r="94" spans="1:26" s="28" customFormat="1" outlineLevel="1" collapsed="1" x14ac:dyDescent="0.35">
      <c r="A94" s="27"/>
      <c r="B94" s="14" t="str">
        <f>CONCATENATE("     ","Training                                          ")</f>
        <v xml:space="preserve">     Training                                          </v>
      </c>
      <c r="C94" s="14"/>
      <c r="D94" s="1">
        <f>SUM(OSRRefD22_12x_0)</f>
        <v>0</v>
      </c>
      <c r="E94" s="1"/>
      <c r="F94" s="5">
        <f t="shared" si="44"/>
        <v>0</v>
      </c>
      <c r="G94" s="1"/>
      <c r="H94" s="1">
        <f>SUM(OSRRefH22_12x_0)</f>
        <v>1500</v>
      </c>
      <c r="I94" s="1"/>
      <c r="J94" s="5">
        <f t="shared" si="45"/>
        <v>7.7474136550748146E-3</v>
      </c>
      <c r="K94" s="1"/>
      <c r="L94" s="1">
        <f t="shared" si="46"/>
        <v>-1500</v>
      </c>
      <c r="M94" s="1"/>
      <c r="N94" s="5">
        <f t="shared" si="47"/>
        <v>-1</v>
      </c>
      <c r="O94" s="14"/>
      <c r="P94" s="1">
        <f>SUM(OSRRefP22_12x_0)</f>
        <v>100</v>
      </c>
      <c r="Q94" s="1"/>
      <c r="R94" s="5">
        <f t="shared" si="48"/>
        <v>7.1197873535959011E-5</v>
      </c>
      <c r="S94" s="1"/>
      <c r="T94" s="1">
        <f>SUM(OSRRefT22_12x_0)</f>
        <v>1500</v>
      </c>
      <c r="U94" s="1"/>
      <c r="V94" s="5">
        <f t="shared" si="49"/>
        <v>9.2669416683089745E-4</v>
      </c>
      <c r="W94" s="1"/>
      <c r="X94" s="1">
        <f t="shared" si="50"/>
        <v>-1400</v>
      </c>
      <c r="Y94" s="1"/>
      <c r="Z94" s="5">
        <f t="shared" si="51"/>
        <v>-0.93333333333333335</v>
      </c>
    </row>
    <row r="95" spans="1:26" s="24" customFormat="1" hidden="1" outlineLevel="2" x14ac:dyDescent="0.35">
      <c r="A95" s="29"/>
      <c r="B95" s="11" t="str">
        <f>CONCATENATE("          ", "6376", " - ", "TRAINING")</f>
        <v xml:space="preserve">          6376 - TRAINING</v>
      </c>
      <c r="C95" s="11"/>
      <c r="D95" s="7"/>
      <c r="E95" s="2"/>
      <c r="F95" s="6">
        <f t="shared" si="44"/>
        <v>0</v>
      </c>
      <c r="G95" s="2"/>
      <c r="H95" s="7">
        <v>1500</v>
      </c>
      <c r="I95" s="2"/>
      <c r="J95" s="6">
        <f t="shared" si="45"/>
        <v>7.7474136550748146E-3</v>
      </c>
      <c r="K95" s="2"/>
      <c r="L95" s="7">
        <f t="shared" si="46"/>
        <v>-1500</v>
      </c>
      <c r="M95" s="2"/>
      <c r="N95" s="6">
        <f t="shared" si="47"/>
        <v>-1</v>
      </c>
      <c r="O95" s="11"/>
      <c r="P95" s="7">
        <v>100</v>
      </c>
      <c r="Q95" s="2"/>
      <c r="R95" s="6">
        <f t="shared" si="48"/>
        <v>7.1197873535959011E-5</v>
      </c>
      <c r="S95" s="2"/>
      <c r="T95" s="7">
        <v>1500</v>
      </c>
      <c r="U95" s="2"/>
      <c r="V95" s="6">
        <f t="shared" si="49"/>
        <v>9.2669416683089745E-4</v>
      </c>
      <c r="W95" s="2"/>
      <c r="X95" s="7">
        <f t="shared" si="50"/>
        <v>-1400</v>
      </c>
      <c r="Y95" s="2"/>
      <c r="Z95" s="6">
        <f t="shared" si="51"/>
        <v>-0.93333333333333335</v>
      </c>
    </row>
    <row r="96" spans="1:26" s="55" customFormat="1" x14ac:dyDescent="0.3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35">
      <c r="A97" s="10"/>
      <c r="B97" s="25" t="s">
        <v>0</v>
      </c>
      <c r="C97" s="10"/>
      <c r="D97" s="4">
        <f>SUM(OSRRefD25x_0)</f>
        <v>285.94</v>
      </c>
      <c r="E97" s="4"/>
      <c r="F97" s="12">
        <f t="shared" ref="F97:F99" si="52">IF(D$12=0,0,D97/D$12)</f>
        <v>2.2132981959150505E-3</v>
      </c>
      <c r="G97" s="4"/>
      <c r="H97" s="4">
        <f>SUM(OSRRefH25x_0)</f>
        <v>1540</v>
      </c>
      <c r="I97" s="4"/>
      <c r="J97" s="12">
        <f t="shared" ref="J97:J99" si="53">IF(H$12=0,0,H97/H$12)</f>
        <v>7.9540113525434757E-3</v>
      </c>
      <c r="K97" s="4"/>
      <c r="L97" s="4">
        <f t="shared" ref="L97:L99" si="54">+D97-H97</f>
        <v>-1254.06</v>
      </c>
      <c r="M97" s="4"/>
      <c r="N97" s="12">
        <f t="shared" ref="N97:N99" si="55">IF(H97=0,0,L97/H97)</f>
        <v>-0.81432467532467534</v>
      </c>
      <c r="O97" s="10"/>
      <c r="P97" s="4">
        <f>SUM(OSRRefP25x_0)</f>
        <v>629.04</v>
      </c>
      <c r="Q97" s="4"/>
      <c r="R97" s="12">
        <f t="shared" ref="R97:R99" si="56">IF(P$12=0,0,P97/P$12)</f>
        <v>4.4786310369059653E-4</v>
      </c>
      <c r="S97" s="4"/>
      <c r="T97" s="4">
        <f>SUM(OSRRefT25x_0)</f>
        <v>12874</v>
      </c>
      <c r="U97" s="4"/>
      <c r="V97" s="12">
        <f t="shared" ref="V97:V99" si="57">IF(T$12=0,0,T97/T$12)</f>
        <v>7.9535071358539829E-3</v>
      </c>
      <c r="W97" s="4"/>
      <c r="X97" s="4">
        <f t="shared" ref="X97:X99" si="58">+P97-T97</f>
        <v>-12244.96</v>
      </c>
      <c r="Y97" s="4"/>
      <c r="Z97" s="12">
        <f t="shared" ref="Z97:Z99" si="59">IF(T97=0,0,X97/T97)</f>
        <v>-0.95113872922168707</v>
      </c>
    </row>
    <row r="98" spans="1:26" s="24" customFormat="1" hidden="1" outlineLevel="1" x14ac:dyDescent="0.35">
      <c r="A98" s="51"/>
      <c r="B98" s="11" t="str">
        <f>CONCATENATE("          ", "4187", " - ", "NON-TAXABLE SALES-COMPUTER REP")</f>
        <v xml:space="preserve">          4187 - NON-TAXABLE SALES-COMPUTER REP</v>
      </c>
      <c r="C98" s="11"/>
      <c r="D98" s="2">
        <f>--651.37</f>
        <v>651.37</v>
      </c>
      <c r="E98" s="2"/>
      <c r="F98" s="22">
        <f t="shared" si="52"/>
        <v>5.0418830729285387E-3</v>
      </c>
      <c r="G98" s="2"/>
      <c r="H98" s="2"/>
      <c r="I98" s="2"/>
      <c r="J98" s="22">
        <f t="shared" si="53"/>
        <v>0</v>
      </c>
      <c r="K98" s="2"/>
      <c r="L98" s="2">
        <f t="shared" si="54"/>
        <v>651.37</v>
      </c>
      <c r="M98" s="2"/>
      <c r="N98" s="22">
        <f t="shared" si="55"/>
        <v>0</v>
      </c>
      <c r="O98" s="11"/>
      <c r="P98" s="2">
        <f>--1685.87</f>
        <v>1685.87</v>
      </c>
      <c r="Q98" s="2"/>
      <c r="R98" s="22">
        <f t="shared" si="56"/>
        <v>1.200303590580672E-3</v>
      </c>
      <c r="S98" s="2"/>
      <c r="T98" s="2"/>
      <c r="U98" s="2"/>
      <c r="V98" s="22">
        <f t="shared" si="57"/>
        <v>0</v>
      </c>
      <c r="W98" s="2"/>
      <c r="X98" s="2">
        <f t="shared" si="58"/>
        <v>1685.87</v>
      </c>
      <c r="Y98" s="2"/>
      <c r="Z98" s="22">
        <f t="shared" si="59"/>
        <v>0</v>
      </c>
    </row>
    <row r="99" spans="1:26" s="24" customFormat="1" hidden="1" outlineLevel="1" x14ac:dyDescent="0.35">
      <c r="A99" s="51"/>
      <c r="B99" s="11" t="str">
        <f>CONCATENATE("          ", "9150", " - ", "MISC. INCOME")</f>
        <v xml:space="preserve">          9150 - MISC. INCOME</v>
      </c>
      <c r="C99" s="11"/>
      <c r="D99" s="2">
        <f>-365.43</f>
        <v>-365.43</v>
      </c>
      <c r="E99" s="2"/>
      <c r="F99" s="22">
        <f t="shared" si="52"/>
        <v>-2.8285848770134886E-3</v>
      </c>
      <c r="G99" s="2"/>
      <c r="H99" s="2">
        <v>1540</v>
      </c>
      <c r="I99" s="2"/>
      <c r="J99" s="22">
        <f t="shared" si="53"/>
        <v>7.9540113525434757E-3</v>
      </c>
      <c r="K99" s="2"/>
      <c r="L99" s="2">
        <f t="shared" si="54"/>
        <v>-1905.43</v>
      </c>
      <c r="M99" s="2"/>
      <c r="N99" s="22">
        <f t="shared" si="55"/>
        <v>-1.2372922077922079</v>
      </c>
      <c r="O99" s="11"/>
      <c r="P99" s="2">
        <f>-1056.83</f>
        <v>-1056.83</v>
      </c>
      <c r="Q99" s="2"/>
      <c r="R99" s="22">
        <f t="shared" si="56"/>
        <v>-7.5244048689007562E-4</v>
      </c>
      <c r="S99" s="2"/>
      <c r="T99" s="2">
        <v>12874</v>
      </c>
      <c r="U99" s="2"/>
      <c r="V99" s="22">
        <f t="shared" si="57"/>
        <v>7.9535071358539829E-3</v>
      </c>
      <c r="W99" s="2"/>
      <c r="X99" s="2">
        <f t="shared" si="58"/>
        <v>-13930.83</v>
      </c>
      <c r="Y99" s="2"/>
      <c r="Z99" s="22">
        <f t="shared" si="59"/>
        <v>-1.0820902594376263</v>
      </c>
    </row>
    <row r="100" spans="1:26" x14ac:dyDescent="0.3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35">
      <c r="A101" s="10"/>
      <c r="B101" s="26" t="s">
        <v>3</v>
      </c>
      <c r="C101" s="26"/>
      <c r="D101" s="19">
        <f>+D46-D48+D97</f>
        <v>4650.4900000000098</v>
      </c>
      <c r="E101" s="13"/>
      <c r="F101" s="21">
        <f>IF(D$12=0,0,D101/D$12)</f>
        <v>3.5996786483601474E-2</v>
      </c>
      <c r="G101" s="13"/>
      <c r="H101" s="19">
        <f>+H46-H48+H97</f>
        <v>19646.686961842308</v>
      </c>
      <c r="I101" s="13"/>
      <c r="J101" s="21">
        <f>IF(H$12=0,0,H101/H$12)</f>
        <v>0.10147400723010494</v>
      </c>
      <c r="K101" s="16"/>
      <c r="L101" s="19">
        <f>+D101-H101</f>
        <v>-14996.196961842299</v>
      </c>
      <c r="M101" s="16"/>
      <c r="N101" s="21">
        <f>IF(H101=0,0,L101/H101)</f>
        <v>-0.76329393301617898</v>
      </c>
      <c r="O101" s="25"/>
      <c r="P101" s="19">
        <f>+P46-P48+P97</f>
        <v>-15855.159999999996</v>
      </c>
      <c r="Q101" s="13"/>
      <c r="R101" s="21">
        <f>IF(P$12=0,0,P101/P$12)</f>
        <v>-1.1288536765723957E-2</v>
      </c>
      <c r="S101" s="13"/>
      <c r="T101" s="19">
        <f>+T46-T48+T97</f>
        <v>228850.78107334231</v>
      </c>
      <c r="U101" s="13"/>
      <c r="V101" s="21">
        <f>IF(T$12=0,0,T101/T$12)</f>
        <v>0.14138312259690738</v>
      </c>
      <c r="W101" s="16"/>
      <c r="X101" s="19">
        <f>+P101-T101</f>
        <v>-244705.94107334231</v>
      </c>
      <c r="Y101" s="16"/>
      <c r="Z101" s="21">
        <f>IF(T101=0,0,X101/T101)</f>
        <v>-1.0692816512385803</v>
      </c>
    </row>
    <row r="102" spans="1:26" x14ac:dyDescent="0.3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35">
      <c r="A103" s="52"/>
      <c r="B103" s="10" t="s">
        <v>14</v>
      </c>
      <c r="C103" s="10"/>
      <c r="D103" s="4">
        <v>18994.759999999998</v>
      </c>
      <c r="E103" s="4"/>
      <c r="F103" s="12">
        <f>IF(D$12=0,0,D103/D$12)</f>
        <v>0.14702758634622423</v>
      </c>
      <c r="G103" s="4"/>
      <c r="H103" s="4">
        <v>10587</v>
      </c>
      <c r="I103" s="4"/>
      <c r="J103" s="12">
        <f>IF(H$12=0,0,H103/H$12)</f>
        <v>5.4681245577518037E-2</v>
      </c>
      <c r="K103" s="4"/>
      <c r="L103" s="4">
        <f>+D103-H103</f>
        <v>8407.7599999999984</v>
      </c>
      <c r="M103" s="4"/>
      <c r="N103" s="12">
        <f>IF(H103=0,0,L103/H103)</f>
        <v>0.79415887409086605</v>
      </c>
      <c r="O103" s="10"/>
      <c r="P103" s="4">
        <v>254960.5</v>
      </c>
      <c r="Q103" s="4"/>
      <c r="R103" s="12">
        <f>IF(P$12=0,0,P103/P$12)</f>
        <v>0.18152645435664877</v>
      </c>
      <c r="S103" s="4"/>
      <c r="T103" s="4">
        <v>280905</v>
      </c>
      <c r="U103" s="4"/>
      <c r="V103" s="12">
        <f>IF(T$12=0,0,T103/T$12)</f>
        <v>0.17354201662242216</v>
      </c>
      <c r="W103" s="4"/>
      <c r="X103" s="4">
        <f>+P103-T103</f>
        <v>-25944.5</v>
      </c>
      <c r="Y103" s="4"/>
      <c r="Z103" s="12">
        <f>IF(T103=0,0,X103/T103)</f>
        <v>-9.2360406543137361E-2</v>
      </c>
    </row>
    <row r="104" spans="1:26" x14ac:dyDescent="0.3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" thickBot="1" x14ac:dyDescent="0.4">
      <c r="A105" s="10"/>
      <c r="B105" s="26" t="s">
        <v>4</v>
      </c>
      <c r="C105" s="26"/>
      <c r="D105" s="33">
        <f>+D101-D103</f>
        <v>-14344.26999999999</v>
      </c>
      <c r="E105" s="13"/>
      <c r="F105" s="31">
        <f>IF(D$12=0,0,D105/D$12)</f>
        <v>-0.11103079986262278</v>
      </c>
      <c r="G105" s="13"/>
      <c r="H105" s="33">
        <f>+H101-H103</f>
        <v>9059.6869618423079</v>
      </c>
      <c r="I105" s="13"/>
      <c r="J105" s="31">
        <f>IF(H$12=0,0,H105/H$12)</f>
        <v>4.6792761652586903E-2</v>
      </c>
      <c r="K105" s="16"/>
      <c r="L105" s="33">
        <f>D105-H105</f>
        <v>-23403.956961842297</v>
      </c>
      <c r="M105" s="16"/>
      <c r="N105" s="31">
        <f>IF(H105=0,0,L105/H105)</f>
        <v>-2.5833074653037515</v>
      </c>
      <c r="O105" s="25"/>
      <c r="P105" s="33">
        <f>+P101-P103</f>
        <v>-270815.65999999997</v>
      </c>
      <c r="Q105" s="13"/>
      <c r="R105" s="31">
        <f>IF(P$12=0,0,P105/P$12)</f>
        <v>-0.19281499112237271</v>
      </c>
      <c r="S105" s="13"/>
      <c r="T105" s="33">
        <f>+T101-T103</f>
        <v>-52054.21892665769</v>
      </c>
      <c r="U105" s="13"/>
      <c r="V105" s="31">
        <f>IF(T$12=0,0,T105/T$12)</f>
        <v>-3.2158894025514785E-2</v>
      </c>
      <c r="W105" s="16"/>
      <c r="X105" s="33">
        <f>P105-T105</f>
        <v>-218761.44107334228</v>
      </c>
      <c r="Y105" s="16"/>
      <c r="Z105" s="31">
        <f>IF(T105=0,0,X105/T105)</f>
        <v>4.2025688903634961</v>
      </c>
    </row>
    <row r="106" spans="1:26" ht="15" thickTop="1" x14ac:dyDescent="0.3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3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" thickBot="1" x14ac:dyDescent="0.4">
      <c r="A108" s="10"/>
      <c r="B108" s="26" t="s">
        <v>5</v>
      </c>
      <c r="C108" s="26"/>
      <c r="D108" s="34">
        <f>SUM(D105:D107)</f>
        <v>-14344.26999999999</v>
      </c>
      <c r="E108" s="13"/>
      <c r="F108" s="32">
        <f>IF(D$12=0,0,D108/D$12)</f>
        <v>-0.11103079986262278</v>
      </c>
      <c r="G108" s="13"/>
      <c r="H108" s="34">
        <f>SUM(H105:H107)</f>
        <v>9059.6869618423079</v>
      </c>
      <c r="I108" s="13"/>
      <c r="J108" s="32">
        <f>IF(H$12=0,0,H108/H$12)</f>
        <v>4.6792761652586903E-2</v>
      </c>
      <c r="K108" s="16"/>
      <c r="L108" s="34">
        <f>+D108-H108</f>
        <v>-23403.956961842297</v>
      </c>
      <c r="M108" s="16"/>
      <c r="N108" s="32">
        <f>IF(H108=0,0,L108/H108)</f>
        <v>-2.5833074653037515</v>
      </c>
      <c r="O108" s="25"/>
      <c r="P108" s="34">
        <f>SUM(P105:P107)</f>
        <v>-270815.65999999997</v>
      </c>
      <c r="Q108" s="13"/>
      <c r="R108" s="32">
        <f>IF(P$12=0,0,P108/P$12)</f>
        <v>-0.19281499112237271</v>
      </c>
      <c r="S108" s="13"/>
      <c r="T108" s="34">
        <f>SUM(T105:T107)</f>
        <v>-52054.21892665769</v>
      </c>
      <c r="U108" s="13"/>
      <c r="V108" s="32">
        <f>IF(T$12=0,0,T108/T$12)</f>
        <v>-3.2158894025514785E-2</v>
      </c>
      <c r="W108" s="16"/>
      <c r="X108" s="34">
        <f>+P108-T108</f>
        <v>-218761.44107334228</v>
      </c>
      <c r="Y108" s="16"/>
      <c r="Z108" s="32">
        <f>IF(T108=0,0,X108/T108)</f>
        <v>4.2025688903634961</v>
      </c>
    </row>
    <row r="109" spans="1:26" ht="15" thickTop="1" x14ac:dyDescent="0.35">
      <c r="A109" s="9"/>
      <c r="C109" s="9"/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35">
      <c r="A110" s="9"/>
      <c r="B110" s="60">
        <v>44238.490237418984</v>
      </c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35">
      <c r="A111" s="9"/>
      <c r="B111" s="59" t="s">
        <v>314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35">
      <c r="A112" s="9"/>
      <c r="B112" s="58"/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4:24" x14ac:dyDescent="0.35"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","317", " - ", "Computer Store")</f>
        <v>Department 317 - Computer Store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129191.81000000001</v>
      </c>
      <c r="E12" s="4"/>
      <c r="F12" s="12"/>
      <c r="G12" s="4"/>
      <c r="H12" s="4">
        <f>SUM(OSRRefH13x_0)</f>
        <v>193613</v>
      </c>
      <c r="I12" s="4"/>
      <c r="J12" s="12"/>
      <c r="K12" s="4"/>
      <c r="L12" s="4">
        <f t="shared" ref="L12:L30" si="0">+D12-H12</f>
        <v>-64421.189999999988</v>
      </c>
      <c r="M12" s="4"/>
      <c r="N12" s="12">
        <f t="shared" ref="N12:N30" si="1">IF(H12=0,0,L12/H12)</f>
        <v>-0.33273173805477929</v>
      </c>
      <c r="O12" s="10"/>
      <c r="P12" s="4">
        <f>SUM(OSRRefP13x_0)</f>
        <v>1404536.33</v>
      </c>
      <c r="Q12" s="4"/>
      <c r="R12" s="12"/>
      <c r="S12" s="4"/>
      <c r="T12" s="4">
        <f>SUM(OSRRefT13x_0)</f>
        <v>1618657</v>
      </c>
      <c r="U12" s="4"/>
      <c r="V12" s="12"/>
      <c r="W12" s="4"/>
      <c r="X12" s="4">
        <f t="shared" ref="X12:X30" si="2">+P12-T12</f>
        <v>-214120.66999999993</v>
      </c>
      <c r="Y12" s="4"/>
      <c r="Z12" s="12">
        <f t="shared" ref="Z12:Z30" si="3">IF(T12=0,0,X12/T12)</f>
        <v>-0.132282917257949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>-339.19</f>
        <v>-339.19</v>
      </c>
      <c r="E13" s="2"/>
      <c r="F13" s="22"/>
      <c r="G13" s="2"/>
      <c r="H13" s="2">
        <v>176061</v>
      </c>
      <c r="I13" s="2"/>
      <c r="J13" s="22"/>
      <c r="K13" s="2"/>
      <c r="L13" s="2">
        <f t="shared" si="0"/>
        <v>-176400.19</v>
      </c>
      <c r="M13" s="2"/>
      <c r="N13" s="22">
        <f t="shared" si="1"/>
        <v>-1.0019265481850042</v>
      </c>
      <c r="O13" s="11"/>
      <c r="P13" s="2">
        <f>-2647.96</f>
        <v>-2647.96</v>
      </c>
      <c r="Q13" s="2"/>
      <c r="R13" s="22"/>
      <c r="S13" s="2"/>
      <c r="T13" s="2">
        <v>1521502</v>
      </c>
      <c r="U13" s="2"/>
      <c r="V13" s="22"/>
      <c r="W13" s="2"/>
      <c r="X13" s="2">
        <f t="shared" si="2"/>
        <v>-1524149.96</v>
      </c>
      <c r="Y13" s="2"/>
      <c r="Z13" s="22">
        <f t="shared" si="3"/>
        <v>-1.0017403591976874</v>
      </c>
    </row>
    <row r="14" spans="1:26" s="24" customFormat="1" hidden="1" outlineLevel="1" x14ac:dyDescent="0.35">
      <c r="A14" s="51"/>
      <c r="B14" s="11" t="str">
        <f>CONCATENATE("          ", "4081", " - ", "TAXABLE SALES-ELECTRONICS")</f>
        <v xml:space="preserve">          4081 - TAXABLE SALES-ELECTRONICS</v>
      </c>
      <c r="C14" s="11"/>
      <c r="D14" s="2">
        <f>--2318.54</f>
        <v>2318.54</v>
      </c>
      <c r="E14" s="2"/>
      <c r="F14" s="22"/>
      <c r="G14" s="2"/>
      <c r="H14" s="2"/>
      <c r="I14" s="2"/>
      <c r="J14" s="22"/>
      <c r="K14" s="2"/>
      <c r="L14" s="2">
        <f t="shared" si="0"/>
        <v>2318.54</v>
      </c>
      <c r="M14" s="2"/>
      <c r="N14" s="22">
        <f t="shared" si="1"/>
        <v>0</v>
      </c>
      <c r="O14" s="11"/>
      <c r="P14" s="2">
        <f>--59198.06</f>
        <v>59198.06</v>
      </c>
      <c r="Q14" s="2"/>
      <c r="R14" s="22"/>
      <c r="S14" s="2"/>
      <c r="T14" s="2"/>
      <c r="U14" s="2"/>
      <c r="V14" s="22"/>
      <c r="W14" s="2"/>
      <c r="X14" s="2">
        <f t="shared" si="2"/>
        <v>59198.06</v>
      </c>
      <c r="Y14" s="2"/>
      <c r="Z14" s="22">
        <f t="shared" si="3"/>
        <v>0</v>
      </c>
    </row>
    <row r="15" spans="1:26" s="24" customFormat="1" hidden="1" outlineLevel="1" x14ac:dyDescent="0.35">
      <c r="A15" s="51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--91766.28</f>
        <v>91766.28</v>
      </c>
      <c r="E15" s="2"/>
      <c r="F15" s="22"/>
      <c r="G15" s="2"/>
      <c r="H15" s="2"/>
      <c r="I15" s="2"/>
      <c r="J15" s="22"/>
      <c r="K15" s="2"/>
      <c r="L15" s="2">
        <f t="shared" si="0"/>
        <v>91766.28</v>
      </c>
      <c r="M15" s="2"/>
      <c r="N15" s="22">
        <f t="shared" si="1"/>
        <v>0</v>
      </c>
      <c r="O15" s="11"/>
      <c r="P15" s="2">
        <f>--1085023.17</f>
        <v>1085023.17</v>
      </c>
      <c r="Q15" s="2"/>
      <c r="R15" s="22"/>
      <c r="S15" s="2"/>
      <c r="T15" s="2"/>
      <c r="U15" s="2"/>
      <c r="V15" s="22"/>
      <c r="W15" s="2"/>
      <c r="X15" s="2">
        <f t="shared" si="2"/>
        <v>1085023.17</v>
      </c>
      <c r="Y15" s="2"/>
      <c r="Z15" s="22">
        <f t="shared" si="3"/>
        <v>0</v>
      </c>
    </row>
    <row r="16" spans="1:26" s="24" customFormat="1" hidden="1" outlineLevel="1" x14ac:dyDescent="0.35">
      <c r="A16" s="51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--8639.61</f>
        <v>8639.61</v>
      </c>
      <c r="E16" s="2"/>
      <c r="F16" s="22"/>
      <c r="G16" s="2"/>
      <c r="H16" s="2"/>
      <c r="I16" s="2"/>
      <c r="J16" s="22"/>
      <c r="K16" s="2"/>
      <c r="L16" s="2">
        <f t="shared" si="0"/>
        <v>8639.61</v>
      </c>
      <c r="M16" s="2"/>
      <c r="N16" s="22">
        <f t="shared" si="1"/>
        <v>0</v>
      </c>
      <c r="O16" s="11"/>
      <c r="P16" s="2">
        <f>--93277.59</f>
        <v>93277.59</v>
      </c>
      <c r="Q16" s="2"/>
      <c r="R16" s="22"/>
      <c r="S16" s="2"/>
      <c r="T16" s="2"/>
      <c r="U16" s="2"/>
      <c r="V16" s="22"/>
      <c r="W16" s="2"/>
      <c r="X16" s="2">
        <f t="shared" si="2"/>
        <v>93277.59</v>
      </c>
      <c r="Y16" s="2"/>
      <c r="Z16" s="22">
        <f t="shared" si="3"/>
        <v>0</v>
      </c>
    </row>
    <row r="17" spans="1:26" s="24" customFormat="1" hidden="1" outlineLevel="1" x14ac:dyDescent="0.35">
      <c r="A17" s="51"/>
      <c r="B17" s="11" t="str">
        <f>CONCATENATE("          ", "4085", " - ", "TAXABLE SALES-SOFTWARE")</f>
        <v xml:space="preserve">          4085 - TAXABLE SALES-SOFTWARE</v>
      </c>
      <c r="C17" s="11"/>
      <c r="D17" s="2">
        <f>--149.99</f>
        <v>149.99</v>
      </c>
      <c r="E17" s="2"/>
      <c r="F17" s="22"/>
      <c r="G17" s="2"/>
      <c r="H17" s="2"/>
      <c r="I17" s="2"/>
      <c r="J17" s="22"/>
      <c r="K17" s="2"/>
      <c r="L17" s="2">
        <f t="shared" si="0"/>
        <v>149.99</v>
      </c>
      <c r="M17" s="2"/>
      <c r="N17" s="22">
        <f t="shared" si="1"/>
        <v>0</v>
      </c>
      <c r="O17" s="11"/>
      <c r="P17" s="2">
        <f>--2878.93</f>
        <v>2878.93</v>
      </c>
      <c r="Q17" s="2"/>
      <c r="R17" s="22"/>
      <c r="S17" s="2"/>
      <c r="T17" s="2"/>
      <c r="U17" s="2"/>
      <c r="V17" s="22"/>
      <c r="W17" s="2"/>
      <c r="X17" s="2">
        <f t="shared" si="2"/>
        <v>2878.93</v>
      </c>
      <c r="Y17" s="2"/>
      <c r="Z17" s="22">
        <f t="shared" si="3"/>
        <v>0</v>
      </c>
    </row>
    <row r="18" spans="1:26" s="24" customFormat="1" hidden="1" outlineLevel="1" x14ac:dyDescent="0.35">
      <c r="A18" s="51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--734.26</f>
        <v>734.26</v>
      </c>
      <c r="E18" s="2"/>
      <c r="F18" s="22"/>
      <c r="G18" s="2"/>
      <c r="H18" s="2"/>
      <c r="I18" s="2"/>
      <c r="J18" s="22"/>
      <c r="K18" s="2"/>
      <c r="L18" s="2">
        <f t="shared" si="0"/>
        <v>734.26</v>
      </c>
      <c r="M18" s="2"/>
      <c r="N18" s="22">
        <f t="shared" si="1"/>
        <v>0</v>
      </c>
      <c r="O18" s="11"/>
      <c r="P18" s="2">
        <f>--57869.84</f>
        <v>57869.84</v>
      </c>
      <c r="Q18" s="2"/>
      <c r="R18" s="22"/>
      <c r="S18" s="2"/>
      <c r="T18" s="2"/>
      <c r="U18" s="2"/>
      <c r="V18" s="22"/>
      <c r="W18" s="2"/>
      <c r="X18" s="2">
        <f t="shared" si="2"/>
        <v>57869.84</v>
      </c>
      <c r="Y18" s="2"/>
      <c r="Z18" s="22">
        <f t="shared" si="3"/>
        <v>0</v>
      </c>
    </row>
    <row r="19" spans="1:26" s="24" customFormat="1" hidden="1" outlineLevel="1" x14ac:dyDescent="0.35">
      <c r="A19" s="51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22"/>
      <c r="G19" s="2"/>
      <c r="H19" s="2">
        <v>17552</v>
      </c>
      <c r="I19" s="2"/>
      <c r="J19" s="22"/>
      <c r="K19" s="2"/>
      <c r="L19" s="2">
        <f t="shared" si="0"/>
        <v>-17552</v>
      </c>
      <c r="M19" s="2"/>
      <c r="N19" s="22">
        <f t="shared" si="1"/>
        <v>-1</v>
      </c>
      <c r="O19" s="11"/>
      <c r="P19" s="2">
        <f>0</f>
        <v>0</v>
      </c>
      <c r="Q19" s="2"/>
      <c r="R19" s="22"/>
      <c r="S19" s="2"/>
      <c r="T19" s="2">
        <v>97155</v>
      </c>
      <c r="U19" s="2"/>
      <c r="V19" s="22"/>
      <c r="W19" s="2"/>
      <c r="X19" s="2">
        <f t="shared" si="2"/>
        <v>-97155</v>
      </c>
      <c r="Y19" s="2"/>
      <c r="Z19" s="22">
        <f t="shared" si="3"/>
        <v>-1</v>
      </c>
    </row>
    <row r="20" spans="1:26" s="24" customFormat="1" hidden="1" outlineLevel="1" x14ac:dyDescent="0.35">
      <c r="A20" s="51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--2038.6</f>
        <v>2038.6</v>
      </c>
      <c r="E20" s="2"/>
      <c r="F20" s="22"/>
      <c r="G20" s="2"/>
      <c r="H20" s="2"/>
      <c r="I20" s="2"/>
      <c r="J20" s="22"/>
      <c r="K20" s="2"/>
      <c r="L20" s="2">
        <f t="shared" si="0"/>
        <v>2038.6</v>
      </c>
      <c r="M20" s="2"/>
      <c r="N20" s="22">
        <f t="shared" si="1"/>
        <v>0</v>
      </c>
      <c r="O20" s="11"/>
      <c r="P20" s="2">
        <f>--5572.72</f>
        <v>5572.72</v>
      </c>
      <c r="Q20" s="2"/>
      <c r="R20" s="22"/>
      <c r="S20" s="2"/>
      <c r="T20" s="2"/>
      <c r="U20" s="2"/>
      <c r="V20" s="22"/>
      <c r="W20" s="2"/>
      <c r="X20" s="2">
        <f t="shared" si="2"/>
        <v>5572.72</v>
      </c>
      <c r="Y20" s="2"/>
      <c r="Z20" s="22">
        <f t="shared" si="3"/>
        <v>0</v>
      </c>
    </row>
    <row r="21" spans="1:26" s="24" customFormat="1" hidden="1" outlineLevel="1" x14ac:dyDescent="0.35">
      <c r="A21" s="51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--22090.89</f>
        <v>22090.89</v>
      </c>
      <c r="E21" s="2"/>
      <c r="F21" s="22"/>
      <c r="G21" s="2"/>
      <c r="H21" s="2"/>
      <c r="I21" s="2"/>
      <c r="J21" s="22"/>
      <c r="K21" s="2"/>
      <c r="L21" s="2">
        <f t="shared" si="0"/>
        <v>22090.89</v>
      </c>
      <c r="M21" s="2"/>
      <c r="N21" s="22">
        <f t="shared" si="1"/>
        <v>0</v>
      </c>
      <c r="O21" s="11"/>
      <c r="P21" s="2">
        <f>--186399.2</f>
        <v>186399.2</v>
      </c>
      <c r="Q21" s="2"/>
      <c r="R21" s="22"/>
      <c r="S21" s="2"/>
      <c r="T21" s="2"/>
      <c r="U21" s="2"/>
      <c r="V21" s="22"/>
      <c r="W21" s="2"/>
      <c r="X21" s="2">
        <f t="shared" si="2"/>
        <v>186399.2</v>
      </c>
      <c r="Y21" s="2"/>
      <c r="Z21" s="22">
        <f t="shared" si="3"/>
        <v>0</v>
      </c>
    </row>
    <row r="22" spans="1:26" s="24" customFormat="1" hidden="1" outlineLevel="1" x14ac:dyDescent="0.35">
      <c r="A22" s="51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--2888.95</f>
        <v>2888.95</v>
      </c>
      <c r="E22" s="2"/>
      <c r="F22" s="22"/>
      <c r="G22" s="2"/>
      <c r="H22" s="2"/>
      <c r="I22" s="2"/>
      <c r="J22" s="22"/>
      <c r="K22" s="2"/>
      <c r="L22" s="2">
        <f t="shared" si="0"/>
        <v>2888.95</v>
      </c>
      <c r="M22" s="2"/>
      <c r="N22" s="22">
        <f t="shared" si="1"/>
        <v>0</v>
      </c>
      <c r="O22" s="11"/>
      <c r="P22" s="2">
        <f>--10518.14</f>
        <v>10518.14</v>
      </c>
      <c r="Q22" s="2"/>
      <c r="R22" s="22"/>
      <c r="S22" s="2"/>
      <c r="T22" s="2"/>
      <c r="U22" s="2"/>
      <c r="V22" s="22"/>
      <c r="W22" s="2"/>
      <c r="X22" s="2">
        <f t="shared" si="2"/>
        <v>10518.14</v>
      </c>
      <c r="Y22" s="2"/>
      <c r="Z22" s="22">
        <f t="shared" si="3"/>
        <v>0</v>
      </c>
    </row>
    <row r="23" spans="1:26" s="24" customFormat="1" hidden="1" outlineLevel="1" x14ac:dyDescent="0.35">
      <c r="A23" s="51"/>
      <c r="B23" s="11" t="str">
        <f>CONCATENATE("          ", "4185", " - ", "NON-TAXABLE SALES-SOFTWARE")</f>
        <v xml:space="preserve">          4185 - NON-TAXABLE SALES-SOFTWARE</v>
      </c>
      <c r="C23" s="11"/>
      <c r="D23" s="2">
        <f>--3149.85</f>
        <v>3149.85</v>
      </c>
      <c r="E23" s="2"/>
      <c r="F23" s="22"/>
      <c r="G23" s="2"/>
      <c r="H23" s="2"/>
      <c r="I23" s="2"/>
      <c r="J23" s="22"/>
      <c r="K23" s="2"/>
      <c r="L23" s="2">
        <f t="shared" si="0"/>
        <v>3149.85</v>
      </c>
      <c r="M23" s="2"/>
      <c r="N23" s="22">
        <f t="shared" si="1"/>
        <v>0</v>
      </c>
      <c r="O23" s="11"/>
      <c r="P23" s="2">
        <f>--29830.52</f>
        <v>29830.52</v>
      </c>
      <c r="Q23" s="2"/>
      <c r="R23" s="22"/>
      <c r="S23" s="2"/>
      <c r="T23" s="2"/>
      <c r="U23" s="2"/>
      <c r="V23" s="22"/>
      <c r="W23" s="2"/>
      <c r="X23" s="2">
        <f t="shared" si="2"/>
        <v>29830.52</v>
      </c>
      <c r="Y23" s="2"/>
      <c r="Z23" s="22">
        <f t="shared" si="3"/>
        <v>0</v>
      </c>
    </row>
    <row r="24" spans="1:26" s="24" customFormat="1" hidden="1" outlineLevel="1" x14ac:dyDescent="0.35">
      <c r="A24" s="51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--535.04</f>
        <v>535.04</v>
      </c>
      <c r="E24" s="2"/>
      <c r="F24" s="22"/>
      <c r="G24" s="2"/>
      <c r="H24" s="2"/>
      <c r="I24" s="2"/>
      <c r="J24" s="22"/>
      <c r="K24" s="2"/>
      <c r="L24" s="2">
        <f t="shared" si="0"/>
        <v>535.04</v>
      </c>
      <c r="M24" s="2"/>
      <c r="N24" s="22">
        <f t="shared" si="1"/>
        <v>0</v>
      </c>
      <c r="O24" s="11"/>
      <c r="P24" s="2">
        <f>--2485.03</f>
        <v>2485.0300000000002</v>
      </c>
      <c r="Q24" s="2"/>
      <c r="R24" s="22"/>
      <c r="S24" s="2"/>
      <c r="T24" s="2"/>
      <c r="U24" s="2"/>
      <c r="V24" s="22"/>
      <c r="W24" s="2"/>
      <c r="X24" s="2">
        <f t="shared" si="2"/>
        <v>2485.0300000000002</v>
      </c>
      <c r="Y24" s="2"/>
      <c r="Z24" s="22">
        <f t="shared" si="3"/>
        <v>0</v>
      </c>
    </row>
    <row r="25" spans="1:26" s="24" customFormat="1" hidden="1" outlineLevel="1" x14ac:dyDescent="0.35">
      <c r="A25" s="51"/>
      <c r="B25" s="11" t="str">
        <f>CONCATENATE("          ", "4281", " - ", "SALES RETURN TAXABLE-ELECTRONI")</f>
        <v xml:space="preserve">          4281 - SALES RETURN TAXABLE-ELECTRONI</v>
      </c>
      <c r="C25" s="11"/>
      <c r="D25" s="2">
        <f>-129.99</f>
        <v>-129.99</v>
      </c>
      <c r="E25" s="2"/>
      <c r="F25" s="22"/>
      <c r="G25" s="2"/>
      <c r="H25" s="2"/>
      <c r="I25" s="2"/>
      <c r="J25" s="22"/>
      <c r="K25" s="2"/>
      <c r="L25" s="2">
        <f t="shared" si="0"/>
        <v>-129.99</v>
      </c>
      <c r="M25" s="2"/>
      <c r="N25" s="22">
        <f t="shared" si="1"/>
        <v>0</v>
      </c>
      <c r="O25" s="11"/>
      <c r="P25" s="2">
        <f>-14762.14</f>
        <v>-14762.14</v>
      </c>
      <c r="Q25" s="2"/>
      <c r="R25" s="22"/>
      <c r="S25" s="2"/>
      <c r="T25" s="2"/>
      <c r="U25" s="2"/>
      <c r="V25" s="22"/>
      <c r="W25" s="2"/>
      <c r="X25" s="2">
        <f t="shared" si="2"/>
        <v>-14762.14</v>
      </c>
      <c r="Y25" s="2"/>
      <c r="Z25" s="22">
        <f t="shared" si="3"/>
        <v>0</v>
      </c>
    </row>
    <row r="26" spans="1:26" s="24" customFormat="1" hidden="1" outlineLevel="1" x14ac:dyDescent="0.35">
      <c r="A26" s="51"/>
      <c r="B26" s="11" t="str">
        <f>CONCATENATE("          ", "4282", " - ", "SALES RETURN TAXABLE-COMPUTER")</f>
        <v xml:space="preserve">          4282 - SALES RETURN TAXABLE-COMPUTER</v>
      </c>
      <c r="C26" s="11"/>
      <c r="D26" s="2">
        <f>-4897</f>
        <v>-4897</v>
      </c>
      <c r="E26" s="2"/>
      <c r="F26" s="22"/>
      <c r="G26" s="2"/>
      <c r="H26" s="2"/>
      <c r="I26" s="2"/>
      <c r="J26" s="22"/>
      <c r="K26" s="2"/>
      <c r="L26" s="2">
        <f t="shared" si="0"/>
        <v>-4897</v>
      </c>
      <c r="M26" s="2"/>
      <c r="N26" s="22">
        <f t="shared" si="1"/>
        <v>0</v>
      </c>
      <c r="O26" s="11"/>
      <c r="P26" s="2">
        <f>-96917.01</f>
        <v>-96917.01</v>
      </c>
      <c r="Q26" s="2"/>
      <c r="R26" s="22"/>
      <c r="S26" s="2"/>
      <c r="T26" s="2"/>
      <c r="U26" s="2"/>
      <c r="V26" s="22"/>
      <c r="W26" s="2"/>
      <c r="X26" s="2">
        <f t="shared" si="2"/>
        <v>-96917.01</v>
      </c>
      <c r="Y26" s="2"/>
      <c r="Z26" s="22">
        <f t="shared" si="3"/>
        <v>0</v>
      </c>
    </row>
    <row r="27" spans="1:26" s="24" customFormat="1" hidden="1" outlineLevel="1" x14ac:dyDescent="0.35">
      <c r="A27" s="51"/>
      <c r="B27" s="11" t="str">
        <f>CONCATENATE("          ", "4283", " - ", "SALES RETURN TAXABLE-COMPUTER")</f>
        <v xml:space="preserve">          4283 - SALES RETURN TAXABLE-COMPUTER</v>
      </c>
      <c r="C27" s="11"/>
      <c r="D27" s="2">
        <f>--264.97</f>
        <v>264.97000000000003</v>
      </c>
      <c r="E27" s="2"/>
      <c r="F27" s="22"/>
      <c r="G27" s="2"/>
      <c r="H27" s="2"/>
      <c r="I27" s="2"/>
      <c r="J27" s="22"/>
      <c r="K27" s="2"/>
      <c r="L27" s="2">
        <f t="shared" si="0"/>
        <v>264.97000000000003</v>
      </c>
      <c r="M27" s="2"/>
      <c r="N27" s="22">
        <f t="shared" si="1"/>
        <v>0</v>
      </c>
      <c r="O27" s="11"/>
      <c r="P27" s="2">
        <f>-3146.29</f>
        <v>-3146.29</v>
      </c>
      <c r="Q27" s="2"/>
      <c r="R27" s="22"/>
      <c r="S27" s="2"/>
      <c r="T27" s="2"/>
      <c r="U27" s="2"/>
      <c r="V27" s="22"/>
      <c r="W27" s="2"/>
      <c r="X27" s="2">
        <f t="shared" si="2"/>
        <v>-3146.29</v>
      </c>
      <c r="Y27" s="2"/>
      <c r="Z27" s="22">
        <f t="shared" si="3"/>
        <v>0</v>
      </c>
    </row>
    <row r="28" spans="1:26" s="24" customFormat="1" hidden="1" outlineLevel="1" x14ac:dyDescent="0.35">
      <c r="A28" s="51"/>
      <c r="B28" s="11" t="str">
        <f>CONCATENATE("          ", "4285", " - ", "SALES RETURN TAXABLE-SOFTWARE")</f>
        <v xml:space="preserve">          4285 - SALES RETURN TAXABLE-SOFTWARE</v>
      </c>
      <c r="C28" s="11"/>
      <c r="D28" s="2">
        <f>0</f>
        <v>0</v>
      </c>
      <c r="E28" s="2"/>
      <c r="F28" s="22"/>
      <c r="G28" s="2"/>
      <c r="H28" s="2"/>
      <c r="I28" s="2"/>
      <c r="J28" s="22"/>
      <c r="K28" s="2"/>
      <c r="L28" s="2">
        <f t="shared" si="0"/>
        <v>0</v>
      </c>
      <c r="M28" s="2"/>
      <c r="N28" s="22">
        <f t="shared" si="1"/>
        <v>0</v>
      </c>
      <c r="O28" s="11"/>
      <c r="P28" s="2">
        <f>-691.98</f>
        <v>-691.98</v>
      </c>
      <c r="Q28" s="2"/>
      <c r="R28" s="22"/>
      <c r="S28" s="2"/>
      <c r="T28" s="2"/>
      <c r="U28" s="2"/>
      <c r="V28" s="22"/>
      <c r="W28" s="2"/>
      <c r="X28" s="2">
        <f t="shared" si="2"/>
        <v>-691.98</v>
      </c>
      <c r="Y28" s="2"/>
      <c r="Z28" s="22">
        <f t="shared" si="3"/>
        <v>0</v>
      </c>
    </row>
    <row r="29" spans="1:26" s="24" customFormat="1" hidden="1" outlineLevel="1" x14ac:dyDescent="0.35">
      <c r="A29" s="51"/>
      <c r="B29" s="11" t="str">
        <f>CONCATENATE("          ", "4286", " - ", "SALES RETURN TAXABLE-COMPUTER")</f>
        <v xml:space="preserve">          4286 - SALES RETURN TAXABLE-COMPUTER</v>
      </c>
      <c r="C29" s="11"/>
      <c r="D29" s="2">
        <f>-18.99</f>
        <v>-18.989999999999998</v>
      </c>
      <c r="E29" s="2"/>
      <c r="F29" s="22"/>
      <c r="G29" s="2"/>
      <c r="H29" s="2"/>
      <c r="I29" s="2"/>
      <c r="J29" s="22"/>
      <c r="K29" s="2"/>
      <c r="L29" s="2">
        <f t="shared" si="0"/>
        <v>-18.989999999999998</v>
      </c>
      <c r="M29" s="2"/>
      <c r="N29" s="22">
        <f t="shared" si="1"/>
        <v>0</v>
      </c>
      <c r="O29" s="11"/>
      <c r="P29" s="2">
        <f>-4727.34</f>
        <v>-4727.34</v>
      </c>
      <c r="Q29" s="2"/>
      <c r="R29" s="22"/>
      <c r="S29" s="2"/>
      <c r="T29" s="2"/>
      <c r="U29" s="2"/>
      <c r="V29" s="22"/>
      <c r="W29" s="2"/>
      <c r="X29" s="2">
        <f t="shared" si="2"/>
        <v>-4727.34</v>
      </c>
      <c r="Y29" s="2"/>
      <c r="Z29" s="22">
        <f t="shared" si="3"/>
        <v>0</v>
      </c>
    </row>
    <row r="30" spans="1:26" s="24" customFormat="1" hidden="1" outlineLevel="1" x14ac:dyDescent="0.35">
      <c r="A30" s="51"/>
      <c r="B30" s="11" t="str">
        <f>CONCATENATE("          ", "4381", " - ", "SALES RETURN NON TAXABLE-ELECT")</f>
        <v xml:space="preserve">          4381 - SALES RETURN NON TAXABLE-ELECT</v>
      </c>
      <c r="C30" s="11"/>
      <c r="D30" s="2">
        <f>0</f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-5624.15</f>
        <v>-5624.15</v>
      </c>
      <c r="Q30" s="2"/>
      <c r="R30" s="22"/>
      <c r="S30" s="2"/>
      <c r="T30" s="2"/>
      <c r="U30" s="2"/>
      <c r="V30" s="22"/>
      <c r="W30" s="2"/>
      <c r="X30" s="2">
        <f t="shared" si="2"/>
        <v>-5624.15</v>
      </c>
      <c r="Y30" s="2"/>
      <c r="Z30" s="22">
        <f t="shared" si="3"/>
        <v>0</v>
      </c>
    </row>
    <row r="31" spans="1:26" x14ac:dyDescent="0.3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35">
      <c r="A32" s="10"/>
      <c r="B32" s="25" t="s">
        <v>8</v>
      </c>
      <c r="C32" s="10"/>
      <c r="D32" s="4">
        <f>SUM(OSRRefD16x_0)</f>
        <v>110569</v>
      </c>
      <c r="E32" s="4"/>
      <c r="F32" s="12">
        <f t="shared" ref="F32:F44" si="4">IF(D$12=0,0,D32/D$12)</f>
        <v>0.85585146612621954</v>
      </c>
      <c r="G32" s="4"/>
      <c r="H32" s="4">
        <f>SUM(OSRRefH16x_0)</f>
        <v>151205</v>
      </c>
      <c r="I32" s="4"/>
      <c r="J32" s="12">
        <f t="shared" ref="J32:J44" si="5">IF(H$12=0,0,H32/H$12)</f>
        <v>0.78096512114372485</v>
      </c>
      <c r="K32" s="4"/>
      <c r="L32" s="4">
        <f t="shared" ref="L32:L44" si="6">+D32-H32</f>
        <v>-40636</v>
      </c>
      <c r="M32" s="4"/>
      <c r="N32" s="12">
        <f t="shared" ref="N32:N44" si="7">IF(H32=0,0,L32/H32)</f>
        <v>-0.26874772659634272</v>
      </c>
      <c r="O32" s="10"/>
      <c r="P32" s="4">
        <f>SUM(OSRRefP16x_0)</f>
        <v>1326535.8400000001</v>
      </c>
      <c r="Q32" s="4"/>
      <c r="R32" s="12">
        <f t="shared" ref="R32:R44" si="8">IF(P$12=0,0,P32/P$12)</f>
        <v>0.94446530977237164</v>
      </c>
      <c r="S32" s="4"/>
      <c r="T32" s="4">
        <f>SUM(OSRRefT16x_0)</f>
        <v>1264111</v>
      </c>
      <c r="U32" s="4"/>
      <c r="V32" s="12">
        <f t="shared" ref="V32:V44" si="9">IF(T$12=0,0,T32/T$12)</f>
        <v>0.78096285995118175</v>
      </c>
      <c r="W32" s="4"/>
      <c r="X32" s="4">
        <f t="shared" ref="X32:X44" si="10">+P32-T32</f>
        <v>62424.840000000084</v>
      </c>
      <c r="Y32" s="4"/>
      <c r="Z32" s="12">
        <f t="shared" ref="Z32:Z44" si="11">IF(T32=0,0,X32/T32)</f>
        <v>4.9382403918643285E-2</v>
      </c>
    </row>
    <row r="33" spans="1:26" s="24" customFormat="1" hidden="1" outlineLevel="1" x14ac:dyDescent="0.35">
      <c r="A33" s="51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22">
        <f t="shared" si="4"/>
        <v>0</v>
      </c>
      <c r="G33" s="2"/>
      <c r="H33" s="2">
        <v>151205</v>
      </c>
      <c r="I33" s="2"/>
      <c r="J33" s="22">
        <f t="shared" si="5"/>
        <v>0.78096512114372485</v>
      </c>
      <c r="K33" s="2"/>
      <c r="L33" s="2">
        <f t="shared" si="6"/>
        <v>-151205</v>
      </c>
      <c r="M33" s="2"/>
      <c r="N33" s="22">
        <f t="shared" si="7"/>
        <v>-1</v>
      </c>
      <c r="O33" s="11"/>
      <c r="P33" s="2"/>
      <c r="Q33" s="2"/>
      <c r="R33" s="22">
        <f t="shared" si="8"/>
        <v>0</v>
      </c>
      <c r="S33" s="2"/>
      <c r="T33" s="2">
        <v>1264111</v>
      </c>
      <c r="U33" s="2"/>
      <c r="V33" s="22">
        <f t="shared" si="9"/>
        <v>0.78096285995118175</v>
      </c>
      <c r="W33" s="2"/>
      <c r="X33" s="2">
        <f t="shared" si="10"/>
        <v>-1264111</v>
      </c>
      <c r="Y33" s="2"/>
      <c r="Z33" s="22">
        <f t="shared" si="11"/>
        <v>-1</v>
      </c>
    </row>
    <row r="34" spans="1:26" s="24" customFormat="1" hidden="1" outlineLevel="1" x14ac:dyDescent="0.35">
      <c r="A34" s="51"/>
      <c r="B34" s="11" t="str">
        <f>CONCATENATE("          ", "5081", " - ", "PURCHASES @ COST-ELECTRONICS")</f>
        <v xml:space="preserve">          5081 - PURCHASES @ COST-ELECTRONICS</v>
      </c>
      <c r="C34" s="11"/>
      <c r="D34" s="2">
        <v>313.26</v>
      </c>
      <c r="E34" s="2"/>
      <c r="F34" s="22">
        <f t="shared" si="4"/>
        <v>2.4247667092828868E-3</v>
      </c>
      <c r="G34" s="2"/>
      <c r="H34" s="2"/>
      <c r="I34" s="2"/>
      <c r="J34" s="22">
        <f t="shared" si="5"/>
        <v>0</v>
      </c>
      <c r="K34" s="2"/>
      <c r="L34" s="2">
        <f t="shared" si="6"/>
        <v>313.26</v>
      </c>
      <c r="M34" s="2"/>
      <c r="N34" s="22">
        <f t="shared" si="7"/>
        <v>0</v>
      </c>
      <c r="O34" s="11"/>
      <c r="P34" s="2">
        <v>25573.769999999997</v>
      </c>
      <c r="Q34" s="2"/>
      <c r="R34" s="22">
        <f t="shared" si="8"/>
        <v>1.8207980422977024E-2</v>
      </c>
      <c r="S34" s="2"/>
      <c r="T34" s="2"/>
      <c r="U34" s="2"/>
      <c r="V34" s="22">
        <f t="shared" si="9"/>
        <v>0</v>
      </c>
      <c r="W34" s="2"/>
      <c r="X34" s="2">
        <f t="shared" si="10"/>
        <v>25573.769999999997</v>
      </c>
      <c r="Y34" s="2"/>
      <c r="Z34" s="22">
        <f t="shared" si="11"/>
        <v>0</v>
      </c>
    </row>
    <row r="35" spans="1:26" s="24" customFormat="1" hidden="1" outlineLevel="1" x14ac:dyDescent="0.35">
      <c r="A35" s="51"/>
      <c r="B35" s="11" t="str">
        <f>CONCATENATE("          ", "5082", " - ", "PURCHASES @ COST-COMPUTER HARD")</f>
        <v xml:space="preserve">          5082 - PURCHASES @ COST-COMPUTER HARD</v>
      </c>
      <c r="C35" s="11"/>
      <c r="D35" s="2">
        <v>98264.71</v>
      </c>
      <c r="E35" s="2"/>
      <c r="F35" s="22">
        <f t="shared" si="4"/>
        <v>0.76061098609888655</v>
      </c>
      <c r="G35" s="2"/>
      <c r="H35" s="2"/>
      <c r="I35" s="2"/>
      <c r="J35" s="22">
        <f t="shared" si="5"/>
        <v>0</v>
      </c>
      <c r="K35" s="2"/>
      <c r="L35" s="2">
        <f t="shared" si="6"/>
        <v>98264.71</v>
      </c>
      <c r="M35" s="2"/>
      <c r="N35" s="22">
        <f t="shared" si="7"/>
        <v>0</v>
      </c>
      <c r="O35" s="11"/>
      <c r="P35" s="2">
        <v>1079201.53</v>
      </c>
      <c r="Q35" s="2"/>
      <c r="R35" s="22">
        <f t="shared" si="8"/>
        <v>0.76836854052753478</v>
      </c>
      <c r="S35" s="2"/>
      <c r="T35" s="2"/>
      <c r="U35" s="2"/>
      <c r="V35" s="22">
        <f t="shared" si="9"/>
        <v>0</v>
      </c>
      <c r="W35" s="2"/>
      <c r="X35" s="2">
        <f t="shared" si="10"/>
        <v>1079201.53</v>
      </c>
      <c r="Y35" s="2"/>
      <c r="Z35" s="22">
        <f t="shared" si="11"/>
        <v>0</v>
      </c>
    </row>
    <row r="36" spans="1:26" s="24" customFormat="1" hidden="1" outlineLevel="1" x14ac:dyDescent="0.35">
      <c r="A36" s="51"/>
      <c r="B36" s="11" t="str">
        <f>CONCATENATE("          ", "5083", " - ", "PURCHASES @ COST-COMPUTER EQUI")</f>
        <v xml:space="preserve">          5083 - PURCHASES @ COST-COMPUTER EQUI</v>
      </c>
      <c r="C36" s="11"/>
      <c r="D36" s="2">
        <v>8829.83</v>
      </c>
      <c r="E36" s="2"/>
      <c r="F36" s="22">
        <f t="shared" si="4"/>
        <v>6.8346669963057244E-2</v>
      </c>
      <c r="G36" s="2"/>
      <c r="H36" s="2"/>
      <c r="I36" s="2"/>
      <c r="J36" s="22">
        <f t="shared" si="5"/>
        <v>0</v>
      </c>
      <c r="K36" s="2"/>
      <c r="L36" s="2">
        <f t="shared" si="6"/>
        <v>8829.83</v>
      </c>
      <c r="M36" s="2"/>
      <c r="N36" s="22">
        <f t="shared" si="7"/>
        <v>0</v>
      </c>
      <c r="O36" s="11"/>
      <c r="P36" s="2">
        <v>90556.67</v>
      </c>
      <c r="Q36" s="2"/>
      <c r="R36" s="22">
        <f t="shared" si="8"/>
        <v>6.4474423384975735E-2</v>
      </c>
      <c r="S36" s="2"/>
      <c r="T36" s="2"/>
      <c r="U36" s="2"/>
      <c r="V36" s="22">
        <f t="shared" si="9"/>
        <v>0</v>
      </c>
      <c r="W36" s="2"/>
      <c r="X36" s="2">
        <f t="shared" si="10"/>
        <v>90556.67</v>
      </c>
      <c r="Y36" s="2"/>
      <c r="Z36" s="22">
        <f t="shared" si="11"/>
        <v>0</v>
      </c>
    </row>
    <row r="37" spans="1:26" s="24" customFormat="1" hidden="1" outlineLevel="1" x14ac:dyDescent="0.35">
      <c r="A37" s="51"/>
      <c r="B37" s="11" t="str">
        <f>CONCATENATE("          ", "5085", " - ", "PURCHASES @ COST-SOFTWARE")</f>
        <v xml:space="preserve">          5085 - PURCHASES @ COST-SOFTWARE</v>
      </c>
      <c r="C37" s="11"/>
      <c r="D37" s="2">
        <v>4174.1400000000003</v>
      </c>
      <c r="E37" s="2"/>
      <c r="F37" s="22">
        <f t="shared" si="4"/>
        <v>3.2309633249971492E-2</v>
      </c>
      <c r="G37" s="2"/>
      <c r="H37" s="2"/>
      <c r="I37" s="2"/>
      <c r="J37" s="22">
        <f t="shared" si="5"/>
        <v>0</v>
      </c>
      <c r="K37" s="2"/>
      <c r="L37" s="2">
        <f t="shared" si="6"/>
        <v>4174.1400000000003</v>
      </c>
      <c r="M37" s="2"/>
      <c r="N37" s="22">
        <f t="shared" si="7"/>
        <v>0</v>
      </c>
      <c r="O37" s="11"/>
      <c r="P37" s="2">
        <v>28746.22</v>
      </c>
      <c r="Q37" s="2"/>
      <c r="R37" s="22">
        <f t="shared" si="8"/>
        <v>2.0466697361968558E-2</v>
      </c>
      <c r="S37" s="2"/>
      <c r="T37" s="2"/>
      <c r="U37" s="2"/>
      <c r="V37" s="22">
        <f t="shared" si="9"/>
        <v>0</v>
      </c>
      <c r="W37" s="2"/>
      <c r="X37" s="2">
        <f t="shared" si="10"/>
        <v>28746.22</v>
      </c>
      <c r="Y37" s="2"/>
      <c r="Z37" s="22">
        <f t="shared" si="11"/>
        <v>0</v>
      </c>
    </row>
    <row r="38" spans="1:26" s="24" customFormat="1" hidden="1" outlineLevel="1" x14ac:dyDescent="0.35">
      <c r="A38" s="51"/>
      <c r="B38" s="11" t="str">
        <f>CONCATENATE("          ", "5086", " - ", "PURCHASES @ COST-COMPUTER SUPP")</f>
        <v xml:space="preserve">          5086 - PURCHASES @ COST-COMPUTER SUPP</v>
      </c>
      <c r="C38" s="11"/>
      <c r="D38" s="2">
        <v>21.24</v>
      </c>
      <c r="E38" s="2"/>
      <c r="F38" s="22">
        <f t="shared" si="4"/>
        <v>1.644067065861218E-4</v>
      </c>
      <c r="G38" s="2"/>
      <c r="H38" s="2"/>
      <c r="I38" s="2"/>
      <c r="J38" s="22">
        <f t="shared" si="5"/>
        <v>0</v>
      </c>
      <c r="K38" s="2"/>
      <c r="L38" s="2">
        <f t="shared" si="6"/>
        <v>21.24</v>
      </c>
      <c r="M38" s="2"/>
      <c r="N38" s="22">
        <f t="shared" si="7"/>
        <v>0</v>
      </c>
      <c r="O38" s="11"/>
      <c r="P38" s="2">
        <v>22739.85</v>
      </c>
      <c r="Q38" s="2"/>
      <c r="R38" s="22">
        <f t="shared" si="8"/>
        <v>1.6190289645266774E-2</v>
      </c>
      <c r="S38" s="2"/>
      <c r="T38" s="2"/>
      <c r="U38" s="2"/>
      <c r="V38" s="22">
        <f t="shared" si="9"/>
        <v>0</v>
      </c>
      <c r="W38" s="2"/>
      <c r="X38" s="2">
        <f t="shared" si="10"/>
        <v>22739.85</v>
      </c>
      <c r="Y38" s="2"/>
      <c r="Z38" s="22">
        <f t="shared" si="11"/>
        <v>0</v>
      </c>
    </row>
    <row r="39" spans="1:26" s="24" customFormat="1" hidden="1" outlineLevel="1" x14ac:dyDescent="0.35">
      <c r="A39" s="51"/>
      <c r="B39" s="11" t="str">
        <f>CONCATENATE("          ", "5200", " - ", "PURCHASES OFFSET")</f>
        <v xml:space="preserve">          5200 - PURCHASES OFFSET</v>
      </c>
      <c r="C39" s="11"/>
      <c r="D39" s="2">
        <v>-111613.24</v>
      </c>
      <c r="E39" s="2"/>
      <c r="F39" s="22">
        <f t="shared" si="4"/>
        <v>-0.86393433144097909</v>
      </c>
      <c r="G39" s="2"/>
      <c r="H39" s="2"/>
      <c r="I39" s="2"/>
      <c r="J39" s="22">
        <f t="shared" si="5"/>
        <v>0</v>
      </c>
      <c r="K39" s="2"/>
      <c r="L39" s="2">
        <f t="shared" si="6"/>
        <v>-111613.24</v>
      </c>
      <c r="M39" s="2"/>
      <c r="N39" s="22">
        <f t="shared" si="7"/>
        <v>0</v>
      </c>
      <c r="O39" s="11"/>
      <c r="P39" s="2">
        <v>-1243263.78</v>
      </c>
      <c r="Q39" s="2"/>
      <c r="R39" s="22">
        <f t="shared" si="8"/>
        <v>-0.88517737380278372</v>
      </c>
      <c r="S39" s="2"/>
      <c r="T39" s="2"/>
      <c r="U39" s="2"/>
      <c r="V39" s="22">
        <f t="shared" si="9"/>
        <v>0</v>
      </c>
      <c r="W39" s="2"/>
      <c r="X39" s="2">
        <f t="shared" si="10"/>
        <v>-1243263.78</v>
      </c>
      <c r="Y39" s="2"/>
      <c r="Z39" s="22">
        <f t="shared" si="11"/>
        <v>0</v>
      </c>
    </row>
    <row r="40" spans="1:26" s="24" customFormat="1" hidden="1" outlineLevel="1" x14ac:dyDescent="0.35">
      <c r="A40" s="51"/>
      <c r="B40" s="11" t="str">
        <f>CONCATENATE("          ", "5300", " - ", "COG$ OFFSET")</f>
        <v xml:space="preserve">          5300 - COG$ OFFSET</v>
      </c>
      <c r="C40" s="11"/>
      <c r="D40" s="2">
        <v>110569</v>
      </c>
      <c r="E40" s="2"/>
      <c r="F40" s="22">
        <f t="shared" si="4"/>
        <v>0.85585146612621954</v>
      </c>
      <c r="G40" s="2"/>
      <c r="H40" s="2"/>
      <c r="I40" s="2"/>
      <c r="J40" s="22">
        <f t="shared" si="5"/>
        <v>0</v>
      </c>
      <c r="K40" s="2"/>
      <c r="L40" s="2">
        <f t="shared" si="6"/>
        <v>110569</v>
      </c>
      <c r="M40" s="2"/>
      <c r="N40" s="22">
        <f t="shared" si="7"/>
        <v>0</v>
      </c>
      <c r="O40" s="11"/>
      <c r="P40" s="2">
        <v>1322590</v>
      </c>
      <c r="Q40" s="2"/>
      <c r="R40" s="22">
        <f t="shared" si="8"/>
        <v>0.94165595559924031</v>
      </c>
      <c r="S40" s="2"/>
      <c r="T40" s="2"/>
      <c r="U40" s="2"/>
      <c r="V40" s="22">
        <f t="shared" si="9"/>
        <v>0</v>
      </c>
      <c r="W40" s="2"/>
      <c r="X40" s="2">
        <f t="shared" si="10"/>
        <v>1322590</v>
      </c>
      <c r="Y40" s="2"/>
      <c r="Z40" s="22">
        <f t="shared" si="11"/>
        <v>0</v>
      </c>
    </row>
    <row r="41" spans="1:26" s="24" customFormat="1" hidden="1" outlineLevel="1" x14ac:dyDescent="0.35">
      <c r="A41" s="51"/>
      <c r="B41" s="11" t="str">
        <f>CONCATENATE("          ", "5581", " - ", "FREIGHT-IN-ELECTRONICS")</f>
        <v xml:space="preserve">          5581 - FREIGHT-IN-ELECTRONICS</v>
      </c>
      <c r="C41" s="11"/>
      <c r="D41" s="2"/>
      <c r="E41" s="2"/>
      <c r="F41" s="22">
        <f t="shared" si="4"/>
        <v>0</v>
      </c>
      <c r="G41" s="2"/>
      <c r="H41" s="2"/>
      <c r="I41" s="2"/>
      <c r="J41" s="22">
        <f t="shared" si="5"/>
        <v>0</v>
      </c>
      <c r="K41" s="2"/>
      <c r="L41" s="2">
        <f t="shared" si="6"/>
        <v>0</v>
      </c>
      <c r="M41" s="2"/>
      <c r="N41" s="22">
        <f t="shared" si="7"/>
        <v>0</v>
      </c>
      <c r="O41" s="11"/>
      <c r="P41" s="2">
        <v>31</v>
      </c>
      <c r="Q41" s="2"/>
      <c r="R41" s="22">
        <f t="shared" si="8"/>
        <v>2.2071340796147293E-5</v>
      </c>
      <c r="S41" s="2"/>
      <c r="T41" s="2"/>
      <c r="U41" s="2"/>
      <c r="V41" s="22">
        <f t="shared" si="9"/>
        <v>0</v>
      </c>
      <c r="W41" s="2"/>
      <c r="X41" s="2">
        <f t="shared" si="10"/>
        <v>31</v>
      </c>
      <c r="Y41" s="2"/>
      <c r="Z41" s="22">
        <f t="shared" si="11"/>
        <v>0</v>
      </c>
    </row>
    <row r="42" spans="1:26" s="24" customFormat="1" hidden="1" outlineLevel="1" x14ac:dyDescent="0.35">
      <c r="A42" s="51"/>
      <c r="B42" s="11" t="str">
        <f>CONCATENATE("          ", "5582", " - ", "FREIGHT-IN-COMPUTER HARDWARE")</f>
        <v xml:space="preserve">          5582 - FREIGHT-IN-COMPUTER HARDWARE</v>
      </c>
      <c r="C42" s="11"/>
      <c r="D42" s="2"/>
      <c r="E42" s="2"/>
      <c r="F42" s="22">
        <f t="shared" si="4"/>
        <v>0</v>
      </c>
      <c r="G42" s="2"/>
      <c r="H42" s="2"/>
      <c r="I42" s="2"/>
      <c r="J42" s="22">
        <f t="shared" si="5"/>
        <v>0</v>
      </c>
      <c r="K42" s="2"/>
      <c r="L42" s="2">
        <f t="shared" si="6"/>
        <v>0</v>
      </c>
      <c r="M42" s="2"/>
      <c r="N42" s="22">
        <f t="shared" si="7"/>
        <v>0</v>
      </c>
      <c r="O42" s="11"/>
      <c r="P42" s="2">
        <v>94</v>
      </c>
      <c r="Q42" s="2"/>
      <c r="R42" s="22">
        <f t="shared" si="8"/>
        <v>6.6926001123801467E-5</v>
      </c>
      <c r="S42" s="2"/>
      <c r="T42" s="2"/>
      <c r="U42" s="2"/>
      <c r="V42" s="22">
        <f t="shared" si="9"/>
        <v>0</v>
      </c>
      <c r="W42" s="2"/>
      <c r="X42" s="2">
        <f t="shared" si="10"/>
        <v>94</v>
      </c>
      <c r="Y42" s="2"/>
      <c r="Z42" s="22">
        <f t="shared" si="11"/>
        <v>0</v>
      </c>
    </row>
    <row r="43" spans="1:26" s="24" customFormat="1" hidden="1" outlineLevel="1" x14ac:dyDescent="0.35">
      <c r="A43" s="51"/>
      <c r="B43" s="11" t="str">
        <f>CONCATENATE("          ", "5583", " - ", "FREIGHT-IN-COMPUTER EQUIPMENT")</f>
        <v xml:space="preserve">          5583 - FREIGHT-IN-COMPUTER EQUIPMENT</v>
      </c>
      <c r="C43" s="11"/>
      <c r="D43" s="2">
        <v>10.06</v>
      </c>
      <c r="E43" s="2"/>
      <c r="F43" s="22">
        <f t="shared" si="4"/>
        <v>7.7868713194745076E-5</v>
      </c>
      <c r="G43" s="2"/>
      <c r="H43" s="2"/>
      <c r="I43" s="2"/>
      <c r="J43" s="22">
        <f t="shared" si="5"/>
        <v>0</v>
      </c>
      <c r="K43" s="2"/>
      <c r="L43" s="2">
        <f t="shared" si="6"/>
        <v>10.06</v>
      </c>
      <c r="M43" s="2"/>
      <c r="N43" s="22">
        <f t="shared" si="7"/>
        <v>0</v>
      </c>
      <c r="O43" s="11"/>
      <c r="P43" s="2">
        <v>242.46</v>
      </c>
      <c r="Q43" s="2"/>
      <c r="R43" s="22">
        <f t="shared" si="8"/>
        <v>1.7262636417528622E-4</v>
      </c>
      <c r="S43" s="2"/>
      <c r="T43" s="2"/>
      <c r="U43" s="2"/>
      <c r="V43" s="22">
        <f t="shared" si="9"/>
        <v>0</v>
      </c>
      <c r="W43" s="2"/>
      <c r="X43" s="2">
        <f t="shared" si="10"/>
        <v>242.46</v>
      </c>
      <c r="Y43" s="2"/>
      <c r="Z43" s="22">
        <f t="shared" si="11"/>
        <v>0</v>
      </c>
    </row>
    <row r="44" spans="1:26" s="24" customFormat="1" hidden="1" outlineLevel="1" x14ac:dyDescent="0.35">
      <c r="A44" s="51"/>
      <c r="B44" s="11" t="str">
        <f>CONCATENATE("          ", "5586", " - ", "FREIGHT-IN-COMPUTER SUPPLIES")</f>
        <v xml:space="preserve">          5586 - FREIGHT-IN-COMPUTER SUPPLIES</v>
      </c>
      <c r="C44" s="11"/>
      <c r="D44" s="2"/>
      <c r="E44" s="2"/>
      <c r="F44" s="22">
        <f t="shared" si="4"/>
        <v>0</v>
      </c>
      <c r="G44" s="2"/>
      <c r="H44" s="2"/>
      <c r="I44" s="2"/>
      <c r="J44" s="22">
        <f t="shared" si="5"/>
        <v>0</v>
      </c>
      <c r="K44" s="2"/>
      <c r="L44" s="2">
        <f t="shared" si="6"/>
        <v>0</v>
      </c>
      <c r="M44" s="2"/>
      <c r="N44" s="22">
        <f t="shared" si="7"/>
        <v>0</v>
      </c>
      <c r="O44" s="11"/>
      <c r="P44" s="2">
        <v>24.12</v>
      </c>
      <c r="Q44" s="2"/>
      <c r="R44" s="22">
        <f t="shared" si="8"/>
        <v>1.7172927096873315E-5</v>
      </c>
      <c r="S44" s="2"/>
      <c r="T44" s="2"/>
      <c r="U44" s="2"/>
      <c r="V44" s="22">
        <f t="shared" si="9"/>
        <v>0</v>
      </c>
      <c r="W44" s="2"/>
      <c r="X44" s="2">
        <f t="shared" si="10"/>
        <v>24.12</v>
      </c>
      <c r="Y44" s="2"/>
      <c r="Z44" s="22">
        <f t="shared" si="11"/>
        <v>0</v>
      </c>
    </row>
    <row r="45" spans="1:26" x14ac:dyDescent="0.3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35">
      <c r="A46" s="10"/>
      <c r="B46" s="26" t="s">
        <v>6</v>
      </c>
      <c r="C46" s="26"/>
      <c r="D46" s="19">
        <f>D12-D32</f>
        <v>18622.810000000012</v>
      </c>
      <c r="E46" s="13"/>
      <c r="F46" s="21">
        <f>IF(D$12=0,0,D46/D$12)</f>
        <v>0.14414853387378046</v>
      </c>
      <c r="G46" s="13"/>
      <c r="H46" s="19">
        <f>H12-H32</f>
        <v>42408</v>
      </c>
      <c r="I46" s="13"/>
      <c r="J46" s="21">
        <f>IF(H$12=0,0,H46/H$12)</f>
        <v>0.21903487885627515</v>
      </c>
      <c r="K46" s="16"/>
      <c r="L46" s="19">
        <f>+D46-H46</f>
        <v>-23785.189999999988</v>
      </c>
      <c r="M46" s="16"/>
      <c r="N46" s="21">
        <f>IF(H46=0,0,L46/H46)</f>
        <v>-0.56086563855876226</v>
      </c>
      <c r="O46" s="25"/>
      <c r="P46" s="19">
        <f>P12-P32</f>
        <v>78000.489999999991</v>
      </c>
      <c r="Q46" s="13"/>
      <c r="R46" s="21">
        <f>IF(P$12=0,0,P46/P$12)</f>
        <v>5.5534690227628351E-2</v>
      </c>
      <c r="S46" s="13"/>
      <c r="T46" s="19">
        <f>T12-T32</f>
        <v>354546</v>
      </c>
      <c r="U46" s="13"/>
      <c r="V46" s="21">
        <f>IF(T$12=0,0,T46/T$12)</f>
        <v>0.21903714004881825</v>
      </c>
      <c r="W46" s="16"/>
      <c r="X46" s="19">
        <f>+P46-T46</f>
        <v>-276545.51</v>
      </c>
      <c r="Y46" s="16"/>
      <c r="Z46" s="21">
        <f>IF(T46=0,0,X46/T46)</f>
        <v>-0.77999895641186201</v>
      </c>
    </row>
    <row r="47" spans="1:26" x14ac:dyDescent="0.35">
      <c r="A47" s="9"/>
      <c r="B47" s="10"/>
      <c r="C47" s="9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6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35">
      <c r="A48" s="10"/>
      <c r="B48" s="25" t="s">
        <v>9</v>
      </c>
      <c r="C48" s="10"/>
      <c r="D48" s="20">
        <f>SUM(OSRRefD22x_0)</f>
        <v>14258.260000000002</v>
      </c>
      <c r="E48" s="20"/>
      <c r="F48" s="30">
        <f t="shared" ref="F48:F59" si="12">IF(D$12=0,0,D48/D$12)</f>
        <v>0.11036504558609404</v>
      </c>
      <c r="G48" s="20"/>
      <c r="H48" s="20">
        <f>SUM(OSRRefH22x_0)</f>
        <v>24301.313038157692</v>
      </c>
      <c r="I48" s="20"/>
      <c r="J48" s="30">
        <f t="shared" ref="J48:J59" si="13">IF(H$12=0,0,H48/H$12)</f>
        <v>0.12551488297871369</v>
      </c>
      <c r="K48" s="4"/>
      <c r="L48" s="20">
        <f t="shared" ref="L48:L59" si="14">+D48-H48</f>
        <v>-10043.05303815769</v>
      </c>
      <c r="M48" s="4"/>
      <c r="N48" s="30">
        <f t="shared" ref="N48:N59" si="15">IF(H48=0,0,L48/H48)</f>
        <v>-0.41327203276580909</v>
      </c>
      <c r="O48" s="10"/>
      <c r="P48" s="20">
        <f>SUM(OSRRefP22x_0)</f>
        <v>94484.689999999988</v>
      </c>
      <c r="Q48" s="20"/>
      <c r="R48" s="30">
        <f t="shared" ref="R48:R59" si="16">IF(P$12=0,0,P48/P$12)</f>
        <v>6.7271090097042907E-2</v>
      </c>
      <c r="S48" s="20"/>
      <c r="T48" s="20">
        <f>SUM(OSRRefT22x_0)</f>
        <v>138569.21892665769</v>
      </c>
      <c r="U48" s="20"/>
      <c r="V48" s="30">
        <f t="shared" ref="V48:V59" si="17">IF(T$12=0,0,T48/T$12)</f>
        <v>8.5607524587764855E-2</v>
      </c>
      <c r="W48" s="4"/>
      <c r="X48" s="20">
        <f t="shared" ref="X48:X59" si="18">+P48-T48</f>
        <v>-44084.528926657702</v>
      </c>
      <c r="Y48" s="4"/>
      <c r="Z48" s="30">
        <f t="shared" ref="Z48:Z59" si="19">IF(T48=0,0,X48/T48)</f>
        <v>-0.31814084879839649</v>
      </c>
    </row>
    <row r="49" spans="1:26" s="28" customFormat="1" outlineLevel="1" collapsed="1" x14ac:dyDescent="0.35">
      <c r="A49" s="27"/>
      <c r="B49" s="14" t="str">
        <f>CONCATENATE("     ","*Benefits                                         ")</f>
        <v xml:space="preserve">     *Benefits                                         </v>
      </c>
      <c r="C49" s="14"/>
      <c r="D49" s="1">
        <f>SUM(OSRRefD22_0x_0)</f>
        <v>2747.9300000000003</v>
      </c>
      <c r="E49" s="1"/>
      <c r="F49" s="5">
        <f t="shared" si="12"/>
        <v>2.1270156366723247E-2</v>
      </c>
      <c r="G49" s="1"/>
      <c r="H49" s="1">
        <f>SUM(OSRRefH22_0x_0)</f>
        <v>2990.59186815769</v>
      </c>
      <c r="I49" s="1"/>
      <c r="J49" s="5">
        <f t="shared" si="13"/>
        <v>1.5446234850747058E-2</v>
      </c>
      <c r="K49" s="1"/>
      <c r="L49" s="1">
        <f t="shared" si="14"/>
        <v>-242.6618681576897</v>
      </c>
      <c r="M49" s="1"/>
      <c r="N49" s="5">
        <f t="shared" si="15"/>
        <v>-8.1141753490815843E-2</v>
      </c>
      <c r="O49" s="14"/>
      <c r="P49" s="1">
        <f>SUM(OSRRefP22_0x_0)</f>
        <v>20566.809999999998</v>
      </c>
      <c r="Q49" s="1"/>
      <c r="R49" s="5">
        <f t="shared" si="16"/>
        <v>1.4643131374180969E-2</v>
      </c>
      <c r="S49" s="1"/>
      <c r="T49" s="1">
        <f>SUM(OSRRefT22_0x_0)</f>
        <v>18688.485256657685</v>
      </c>
      <c r="U49" s="1"/>
      <c r="V49" s="5">
        <f t="shared" si="17"/>
        <v>1.1545673516166602E-2</v>
      </c>
      <c r="W49" s="1"/>
      <c r="X49" s="1">
        <f t="shared" si="18"/>
        <v>1878.324743342313</v>
      </c>
      <c r="Y49" s="1"/>
      <c r="Z49" s="5">
        <f t="shared" si="19"/>
        <v>0.10050706183761836</v>
      </c>
    </row>
    <row r="50" spans="1:26" s="24" customFormat="1" hidden="1" outlineLevel="2" x14ac:dyDescent="0.35">
      <c r="A50" s="29"/>
      <c r="B50" s="11" t="str">
        <f>CONCATENATE("          ", "6111", " - ", "F.I.C.A.")</f>
        <v xml:space="preserve">          6111 - F.I.C.A.</v>
      </c>
      <c r="C50" s="11"/>
      <c r="D50" s="7">
        <v>449.24</v>
      </c>
      <c r="E50" s="2"/>
      <c r="F50" s="6">
        <f t="shared" si="12"/>
        <v>3.4773102102989345E-3</v>
      </c>
      <c r="G50" s="2"/>
      <c r="H50" s="7">
        <v>532.10352375000002</v>
      </c>
      <c r="I50" s="2"/>
      <c r="J50" s="6">
        <f t="shared" si="13"/>
        <v>2.748284070542784E-3</v>
      </c>
      <c r="K50" s="2"/>
      <c r="L50" s="7">
        <f t="shared" si="14"/>
        <v>-82.863523750000013</v>
      </c>
      <c r="M50" s="2"/>
      <c r="N50" s="6">
        <f t="shared" si="15"/>
        <v>-0.15572819959172468</v>
      </c>
      <c r="O50" s="11"/>
      <c r="P50" s="7">
        <v>3839.6</v>
      </c>
      <c r="Q50" s="2"/>
      <c r="R50" s="6">
        <f t="shared" si="16"/>
        <v>2.7337135522866821E-3</v>
      </c>
      <c r="S50" s="2"/>
      <c r="T50" s="7">
        <v>3726.3853672500004</v>
      </c>
      <c r="U50" s="2"/>
      <c r="V50" s="6">
        <f t="shared" si="17"/>
        <v>2.3021463887963915E-3</v>
      </c>
      <c r="W50" s="2"/>
      <c r="X50" s="7">
        <f t="shared" si="18"/>
        <v>113.21463274999951</v>
      </c>
      <c r="Y50" s="2"/>
      <c r="Z50" s="6">
        <f t="shared" si="19"/>
        <v>3.038189065065745E-2</v>
      </c>
    </row>
    <row r="51" spans="1:26" s="24" customFormat="1" hidden="1" outlineLevel="2" x14ac:dyDescent="0.35">
      <c r="A51" s="29"/>
      <c r="B51" s="11" t="str">
        <f>CONCATENATE("          ", "6112", " - ", "COMPENSATION INSURANCE")</f>
        <v xml:space="preserve">          6112 - COMPENSATION INSURANCE</v>
      </c>
      <c r="C51" s="11"/>
      <c r="D51" s="7">
        <v>46.19</v>
      </c>
      <c r="E51" s="2"/>
      <c r="F51" s="6">
        <f t="shared" si="12"/>
        <v>3.5753040382358595E-4</v>
      </c>
      <c r="G51" s="2"/>
      <c r="H51" s="7">
        <v>276.74910349999999</v>
      </c>
      <c r="I51" s="2"/>
      <c r="J51" s="6">
        <f t="shared" si="13"/>
        <v>1.4293931889904085E-3</v>
      </c>
      <c r="K51" s="2"/>
      <c r="L51" s="7">
        <f t="shared" si="14"/>
        <v>-230.55910349999999</v>
      </c>
      <c r="M51" s="2"/>
      <c r="N51" s="6">
        <f t="shared" si="15"/>
        <v>-0.83309792365777258</v>
      </c>
      <c r="O51" s="11"/>
      <c r="P51" s="7">
        <v>1028.72</v>
      </c>
      <c r="Q51" s="2"/>
      <c r="R51" s="6">
        <f t="shared" si="16"/>
        <v>7.3242676463911754E-4</v>
      </c>
      <c r="S51" s="2"/>
      <c r="T51" s="7">
        <v>1467.2971785</v>
      </c>
      <c r="U51" s="2"/>
      <c r="V51" s="6">
        <f t="shared" si="17"/>
        <v>9.064904908822561E-4</v>
      </c>
      <c r="W51" s="2"/>
      <c r="X51" s="7">
        <f t="shared" si="18"/>
        <v>-438.57717849999995</v>
      </c>
      <c r="Y51" s="2"/>
      <c r="Z51" s="6">
        <f t="shared" si="19"/>
        <v>-0.2989013983849898</v>
      </c>
    </row>
    <row r="52" spans="1:26" s="24" customFormat="1" hidden="1" outlineLevel="2" x14ac:dyDescent="0.35">
      <c r="A52" s="29"/>
      <c r="B52" s="11" t="str">
        <f>CONCATENATE("          ", "6113", " - ", "GROUP INSURANCE")</f>
        <v xml:space="preserve">          6113 - GROUP INSURANCE</v>
      </c>
      <c r="C52" s="11"/>
      <c r="D52" s="7">
        <v>1053.8499999999999</v>
      </c>
      <c r="E52" s="2"/>
      <c r="F52" s="6">
        <f t="shared" si="12"/>
        <v>8.1572508350181011E-3</v>
      </c>
      <c r="G52" s="2"/>
      <c r="H52" s="7">
        <v>1099.8076923076899</v>
      </c>
      <c r="I52" s="2"/>
      <c r="J52" s="6">
        <f t="shared" si="13"/>
        <v>5.6804434222272777E-3</v>
      </c>
      <c r="K52" s="2"/>
      <c r="L52" s="7">
        <f t="shared" si="14"/>
        <v>-45.957692307689967</v>
      </c>
      <c r="M52" s="2"/>
      <c r="N52" s="6">
        <f t="shared" si="15"/>
        <v>-4.1787025703792335E-2</v>
      </c>
      <c r="O52" s="11"/>
      <c r="P52" s="7">
        <v>7268.63</v>
      </c>
      <c r="Q52" s="2"/>
      <c r="R52" s="6">
        <f t="shared" si="16"/>
        <v>5.1751099951967781E-3</v>
      </c>
      <c r="S52" s="2"/>
      <c r="T52" s="7">
        <v>7084.807692307686</v>
      </c>
      <c r="U52" s="2"/>
      <c r="V52" s="6">
        <f t="shared" si="17"/>
        <v>4.3769666410534694E-3</v>
      </c>
      <c r="W52" s="2"/>
      <c r="X52" s="7">
        <f t="shared" si="18"/>
        <v>183.8223076923141</v>
      </c>
      <c r="Y52" s="2"/>
      <c r="Z52" s="6">
        <f t="shared" si="19"/>
        <v>2.5945984093809455E-2</v>
      </c>
    </row>
    <row r="53" spans="1:26" s="24" customFormat="1" hidden="1" outlineLevel="2" x14ac:dyDescent="0.35">
      <c r="A53" s="29"/>
      <c r="B53" s="11" t="str">
        <f>CONCATENATE("          ", "6114", " - ", "STATE UNEMPLOYMENT INSURANCE")</f>
        <v xml:space="preserve">          6114 - STATE UNEMPLOYMENT INSURANCE</v>
      </c>
      <c r="C53" s="11"/>
      <c r="D53" s="7">
        <v>42.59</v>
      </c>
      <c r="E53" s="2"/>
      <c r="F53" s="6">
        <f t="shared" si="12"/>
        <v>3.2966486033441284E-4</v>
      </c>
      <c r="G53" s="2"/>
      <c r="H53" s="7">
        <v>38.894468600000003</v>
      </c>
      <c r="I53" s="2"/>
      <c r="J53" s="6">
        <f t="shared" si="13"/>
        <v>2.0088769142567907E-4</v>
      </c>
      <c r="K53" s="2"/>
      <c r="L53" s="7">
        <f t="shared" si="14"/>
        <v>3.6955314000000001</v>
      </c>
      <c r="M53" s="2"/>
      <c r="N53" s="6">
        <f t="shared" si="15"/>
        <v>9.5014317794278852E-2</v>
      </c>
      <c r="O53" s="11"/>
      <c r="P53" s="7">
        <v>159.28</v>
      </c>
      <c r="Q53" s="2"/>
      <c r="R53" s="6">
        <f t="shared" si="16"/>
        <v>1.1340397296807552E-4</v>
      </c>
      <c r="S53" s="2"/>
      <c r="T53" s="7">
        <v>206.2147386</v>
      </c>
      <c r="U53" s="2"/>
      <c r="V53" s="6">
        <f t="shared" si="17"/>
        <v>1.2739866358345221E-4</v>
      </c>
      <c r="W53" s="2"/>
      <c r="X53" s="7">
        <f t="shared" si="18"/>
        <v>-46.934738600000003</v>
      </c>
      <c r="Y53" s="2"/>
      <c r="Z53" s="6">
        <f t="shared" si="19"/>
        <v>-0.22760128067781088</v>
      </c>
    </row>
    <row r="54" spans="1:26" s="24" customFormat="1" hidden="1" outlineLevel="2" x14ac:dyDescent="0.35">
      <c r="A54" s="29"/>
      <c r="B54" s="11" t="str">
        <f>CONCATENATE("          ", "6115", " - ", "P.E.R.S.")</f>
        <v xml:space="preserve">          6115 - P.E.R.S.</v>
      </c>
      <c r="C54" s="11"/>
      <c r="D54" s="7">
        <v>264.63</v>
      </c>
      <c r="E54" s="2"/>
      <c r="F54" s="6">
        <f t="shared" si="12"/>
        <v>2.0483496593166391E-3</v>
      </c>
      <c r="G54" s="2"/>
      <c r="H54" s="7">
        <v>245.34725</v>
      </c>
      <c r="I54" s="2"/>
      <c r="J54" s="6">
        <f t="shared" si="13"/>
        <v>1.2672044232567028E-3</v>
      </c>
      <c r="K54" s="2"/>
      <c r="L54" s="7">
        <f t="shared" si="14"/>
        <v>19.282749999999993</v>
      </c>
      <c r="M54" s="2"/>
      <c r="N54" s="6">
        <f t="shared" si="15"/>
        <v>7.8593707490098183E-2</v>
      </c>
      <c r="O54" s="11"/>
      <c r="P54" s="7">
        <v>1411.36</v>
      </c>
      <c r="Q54" s="2"/>
      <c r="R54" s="6">
        <f t="shared" si="16"/>
        <v>1.0048583079371111E-3</v>
      </c>
      <c r="S54" s="2"/>
      <c r="T54" s="7">
        <v>1521.1529499999999</v>
      </c>
      <c r="U54" s="2"/>
      <c r="V54" s="6">
        <f t="shared" si="17"/>
        <v>9.3976237708174118E-4</v>
      </c>
      <c r="W54" s="2"/>
      <c r="X54" s="7">
        <f t="shared" si="18"/>
        <v>-109.79295000000002</v>
      </c>
      <c r="Y54" s="2"/>
      <c r="Z54" s="6">
        <f t="shared" si="19"/>
        <v>-7.2177455922496178E-2</v>
      </c>
    </row>
    <row r="55" spans="1:26" s="24" customFormat="1" hidden="1" outlineLevel="2" x14ac:dyDescent="0.35">
      <c r="A55" s="29"/>
      <c r="B55" s="11" t="str">
        <f>CONCATENATE("          ", "6116", " - ", "EDUCATIONAL BENEFITS")</f>
        <v xml:space="preserve">          6116 - EDUCATIONAL BENEFITS</v>
      </c>
      <c r="C55" s="11"/>
      <c r="D55" s="7"/>
      <c r="E55" s="2"/>
      <c r="F55" s="6">
        <f t="shared" si="12"/>
        <v>0</v>
      </c>
      <c r="G55" s="2"/>
      <c r="H55" s="7">
        <v>0</v>
      </c>
      <c r="I55" s="2"/>
      <c r="J55" s="6">
        <f t="shared" si="13"/>
        <v>0</v>
      </c>
      <c r="K55" s="2"/>
      <c r="L55" s="7">
        <f t="shared" si="14"/>
        <v>0</v>
      </c>
      <c r="M55" s="2"/>
      <c r="N55" s="6">
        <f t="shared" si="15"/>
        <v>0</v>
      </c>
      <c r="O55" s="11"/>
      <c r="P55" s="7"/>
      <c r="Q55" s="2"/>
      <c r="R55" s="6">
        <f t="shared" si="16"/>
        <v>0</v>
      </c>
      <c r="S55" s="2"/>
      <c r="T55" s="7">
        <v>0</v>
      </c>
      <c r="U55" s="2"/>
      <c r="V55" s="6">
        <f t="shared" si="17"/>
        <v>0</v>
      </c>
      <c r="W55" s="2"/>
      <c r="X55" s="7">
        <f t="shared" si="18"/>
        <v>0</v>
      </c>
      <c r="Y55" s="2"/>
      <c r="Z55" s="6">
        <f t="shared" si="19"/>
        <v>0</v>
      </c>
    </row>
    <row r="56" spans="1:26" s="24" customFormat="1" hidden="1" outlineLevel="2" x14ac:dyDescent="0.35">
      <c r="A56" s="29"/>
      <c r="B56" s="11" t="str">
        <f>CONCATENATE("          ", "6117", " - ", "RETIREMENT STAFF HOURLY")</f>
        <v xml:space="preserve">          6117 - RETIREMENT STAFF HOURLY</v>
      </c>
      <c r="C56" s="11"/>
      <c r="D56" s="7">
        <v>176</v>
      </c>
      <c r="E56" s="2"/>
      <c r="F56" s="6">
        <f t="shared" si="12"/>
        <v>1.3623154594706892E-3</v>
      </c>
      <c r="G56" s="2"/>
      <c r="H56" s="7"/>
      <c r="I56" s="2"/>
      <c r="J56" s="6">
        <f t="shared" si="13"/>
        <v>0</v>
      </c>
      <c r="K56" s="2"/>
      <c r="L56" s="7">
        <f t="shared" si="14"/>
        <v>176</v>
      </c>
      <c r="M56" s="2"/>
      <c r="N56" s="6">
        <f t="shared" si="15"/>
        <v>0</v>
      </c>
      <c r="O56" s="11"/>
      <c r="P56" s="7">
        <v>1281.04</v>
      </c>
      <c r="Q56" s="2"/>
      <c r="R56" s="6">
        <f t="shared" si="16"/>
        <v>9.1207323914504926E-4</v>
      </c>
      <c r="S56" s="2"/>
      <c r="T56" s="7"/>
      <c r="U56" s="2"/>
      <c r="V56" s="6">
        <f t="shared" si="17"/>
        <v>0</v>
      </c>
      <c r="W56" s="2"/>
      <c r="X56" s="7">
        <f t="shared" si="18"/>
        <v>1281.04</v>
      </c>
      <c r="Y56" s="2"/>
      <c r="Z56" s="6">
        <f t="shared" si="19"/>
        <v>0</v>
      </c>
    </row>
    <row r="57" spans="1:26" s="24" customFormat="1" hidden="1" outlineLevel="2" x14ac:dyDescent="0.35">
      <c r="A57" s="29"/>
      <c r="B57" s="11" t="str">
        <f>CONCATENATE("          ", "6118", " - ", "VACATION")</f>
        <v xml:space="preserve">          6118 - VACATION</v>
      </c>
      <c r="C57" s="11"/>
      <c r="D57" s="7">
        <v>267.04000000000002</v>
      </c>
      <c r="E57" s="2"/>
      <c r="F57" s="6">
        <f t="shared" si="12"/>
        <v>2.0670040925968914E-3</v>
      </c>
      <c r="G57" s="2"/>
      <c r="H57" s="7">
        <v>243.43625</v>
      </c>
      <c r="I57" s="2"/>
      <c r="J57" s="6">
        <f t="shared" si="13"/>
        <v>1.2573342182601375E-3</v>
      </c>
      <c r="K57" s="2"/>
      <c r="L57" s="7">
        <f t="shared" si="14"/>
        <v>23.603750000000019</v>
      </c>
      <c r="M57" s="2"/>
      <c r="N57" s="6">
        <f t="shared" si="15"/>
        <v>9.6960703264201697E-2</v>
      </c>
      <c r="O57" s="11"/>
      <c r="P57" s="7">
        <v>1956.58</v>
      </c>
      <c r="Q57" s="2"/>
      <c r="R57" s="6">
        <f t="shared" si="16"/>
        <v>1.3930433540298669E-3</v>
      </c>
      <c r="S57" s="2"/>
      <c r="T57" s="7">
        <v>1509.30475</v>
      </c>
      <c r="U57" s="2"/>
      <c r="V57" s="6">
        <f t="shared" si="17"/>
        <v>9.3244260519677736E-4</v>
      </c>
      <c r="W57" s="2"/>
      <c r="X57" s="7">
        <f t="shared" si="18"/>
        <v>447.27524999999991</v>
      </c>
      <c r="Y57" s="2"/>
      <c r="Z57" s="6">
        <f t="shared" si="19"/>
        <v>0.29634522120201368</v>
      </c>
    </row>
    <row r="58" spans="1:26" s="24" customFormat="1" hidden="1" outlineLevel="2" x14ac:dyDescent="0.35">
      <c r="A58" s="29"/>
      <c r="B58" s="11" t="str">
        <f>CONCATENATE("          ", "6119", " - ", "SICK LEAVE")</f>
        <v xml:space="preserve">          6119 - SICK LEAVE</v>
      </c>
      <c r="C58" s="11"/>
      <c r="D58" s="7">
        <v>267.63</v>
      </c>
      <c r="E58" s="2"/>
      <c r="F58" s="6">
        <f t="shared" si="12"/>
        <v>2.0715709455576166E-3</v>
      </c>
      <c r="G58" s="2"/>
      <c r="H58" s="7">
        <v>379.25358</v>
      </c>
      <c r="I58" s="2"/>
      <c r="J58" s="6">
        <f t="shared" si="13"/>
        <v>1.9588229096186723E-3</v>
      </c>
      <c r="K58" s="2"/>
      <c r="L58" s="7">
        <f t="shared" si="14"/>
        <v>-111.62358</v>
      </c>
      <c r="M58" s="2"/>
      <c r="N58" s="6">
        <f t="shared" si="15"/>
        <v>-0.29432439372095054</v>
      </c>
      <c r="O58" s="11"/>
      <c r="P58" s="7">
        <v>1951.92</v>
      </c>
      <c r="Q58" s="2"/>
      <c r="R58" s="6">
        <f t="shared" si="16"/>
        <v>1.3897255331230911E-3</v>
      </c>
      <c r="S58" s="2"/>
      <c r="T58" s="7">
        <v>1948.32258</v>
      </c>
      <c r="U58" s="2"/>
      <c r="V58" s="6">
        <f t="shared" si="17"/>
        <v>1.203666113327283E-3</v>
      </c>
      <c r="W58" s="2"/>
      <c r="X58" s="7">
        <f t="shared" si="18"/>
        <v>3.5974200000000565</v>
      </c>
      <c r="Y58" s="2"/>
      <c r="Z58" s="6">
        <f t="shared" si="19"/>
        <v>1.8464190873361723E-3</v>
      </c>
    </row>
    <row r="59" spans="1:26" s="24" customFormat="1" hidden="1" outlineLevel="2" x14ac:dyDescent="0.35">
      <c r="A59" s="29"/>
      <c r="B59" s="11" t="str">
        <f>CONCATENATE("          ", "6156", " - ", "EMPLOYEE MEALS")</f>
        <v xml:space="preserve">          6156 - EMPLOYEE MEALS</v>
      </c>
      <c r="C59" s="11"/>
      <c r="D59" s="7">
        <v>180.76</v>
      </c>
      <c r="E59" s="2"/>
      <c r="F59" s="6">
        <f t="shared" si="12"/>
        <v>1.3991599003063738E-3</v>
      </c>
      <c r="G59" s="2"/>
      <c r="H59" s="7">
        <v>175</v>
      </c>
      <c r="I59" s="2"/>
      <c r="J59" s="6">
        <f t="shared" si="13"/>
        <v>9.0386492642539494E-4</v>
      </c>
      <c r="K59" s="2"/>
      <c r="L59" s="7">
        <f t="shared" si="14"/>
        <v>5.7599999999999909</v>
      </c>
      <c r="M59" s="2"/>
      <c r="N59" s="6">
        <f t="shared" si="15"/>
        <v>3.291428571428566E-2</v>
      </c>
      <c r="O59" s="11"/>
      <c r="P59" s="7">
        <v>1669.68</v>
      </c>
      <c r="Q59" s="2"/>
      <c r="R59" s="6">
        <f t="shared" si="16"/>
        <v>1.1887766548552006E-3</v>
      </c>
      <c r="S59" s="2"/>
      <c r="T59" s="7">
        <v>1225</v>
      </c>
      <c r="U59" s="2"/>
      <c r="V59" s="6">
        <f t="shared" si="17"/>
        <v>7.5680023624523298E-4</v>
      </c>
      <c r="W59" s="2"/>
      <c r="X59" s="7">
        <f t="shared" si="18"/>
        <v>444.68000000000006</v>
      </c>
      <c r="Y59" s="2"/>
      <c r="Z59" s="6">
        <f t="shared" si="19"/>
        <v>0.36300408163265313</v>
      </c>
    </row>
    <row r="60" spans="1:26" s="28" customFormat="1" outlineLevel="1" collapsed="1" x14ac:dyDescent="0.35">
      <c r="A60" s="27"/>
      <c r="B60" s="14" t="str">
        <f>CONCATENATE("     ","*Payroll                                          ")</f>
        <v xml:space="preserve">     *Payroll                                          </v>
      </c>
      <c r="C60" s="14"/>
      <c r="D60" s="1">
        <f>SUM(OSRRefD22_1x_0)</f>
        <v>9963.16</v>
      </c>
      <c r="E60" s="1"/>
      <c r="F60" s="5">
        <f t="shared" ref="F60:F70" si="20">IF(D$12=0,0,D60/D$12)</f>
        <v>7.7119130074886313E-2</v>
      </c>
      <c r="G60" s="1"/>
      <c r="H60" s="1">
        <f>SUM(OSRRefH22_1x_0)</f>
        <v>14336.721170000001</v>
      </c>
      <c r="I60" s="1"/>
      <c r="J60" s="5">
        <f t="shared" ref="J60:J70" si="21">IF(H$12=0,0,H60/H$12)</f>
        <v>7.4048339574305441E-2</v>
      </c>
      <c r="K60" s="1"/>
      <c r="L60" s="1">
        <f t="shared" ref="L60:L70" si="22">+D60-H60</f>
        <v>-4373.5611700000009</v>
      </c>
      <c r="M60" s="1"/>
      <c r="N60" s="5">
        <f t="shared" ref="N60:N70" si="23">IF(H60=0,0,L60/H60)</f>
        <v>-0.30506007044008099</v>
      </c>
      <c r="O60" s="14"/>
      <c r="P60" s="1">
        <f>SUM(OSRRefP22_1x_0)</f>
        <v>57391.299999999996</v>
      </c>
      <c r="Q60" s="1"/>
      <c r="R60" s="5">
        <f t="shared" ref="R60:R70" si="24">IF(P$12=0,0,P60/P$12)</f>
        <v>4.0861385194642844E-2</v>
      </c>
      <c r="S60" s="1"/>
      <c r="T60" s="1">
        <f>SUM(OSRRefT22_1x_0)</f>
        <v>75855.733670000001</v>
      </c>
      <c r="U60" s="1"/>
      <c r="V60" s="5">
        <f t="shared" ref="V60:V70" si="25">IF(T$12=0,0,T60/T$12)</f>
        <v>4.6863377275111404E-2</v>
      </c>
      <c r="W60" s="1"/>
      <c r="X60" s="1">
        <f t="shared" ref="X60:X70" si="26">+P60-T60</f>
        <v>-18464.433670000006</v>
      </c>
      <c r="Y60" s="1"/>
      <c r="Z60" s="5">
        <f t="shared" ref="Z60:Z70" si="27">IF(T60=0,0,X60/T60)</f>
        <v>-0.24341513523983566</v>
      </c>
    </row>
    <row r="61" spans="1:26" s="24" customFormat="1" hidden="1" outlineLevel="2" x14ac:dyDescent="0.35">
      <c r="A61" s="29"/>
      <c r="B61" s="11" t="str">
        <f>CONCATENATE("          ", "6001", " - ", "ADMINISTRATIVE SALARIES")</f>
        <v xml:space="preserve">          6001 - ADMINISTRATIVE SALARIES</v>
      </c>
      <c r="C61" s="11"/>
      <c r="D61" s="7"/>
      <c r="E61" s="2"/>
      <c r="F61" s="6">
        <f t="shared" si="20"/>
        <v>0</v>
      </c>
      <c r="G61" s="2"/>
      <c r="H61" s="7">
        <v>0</v>
      </c>
      <c r="I61" s="2"/>
      <c r="J61" s="6">
        <f t="shared" si="21"/>
        <v>0</v>
      </c>
      <c r="K61" s="2"/>
      <c r="L61" s="7">
        <f t="shared" si="22"/>
        <v>0</v>
      </c>
      <c r="M61" s="2"/>
      <c r="N61" s="6">
        <f t="shared" si="23"/>
        <v>0</v>
      </c>
      <c r="O61" s="11"/>
      <c r="P61" s="7"/>
      <c r="Q61" s="2"/>
      <c r="R61" s="6">
        <f t="shared" si="24"/>
        <v>0</v>
      </c>
      <c r="S61" s="2"/>
      <c r="T61" s="7">
        <v>0</v>
      </c>
      <c r="U61" s="2"/>
      <c r="V61" s="6">
        <f t="shared" si="25"/>
        <v>0</v>
      </c>
      <c r="W61" s="2"/>
      <c r="X61" s="7">
        <f t="shared" si="26"/>
        <v>0</v>
      </c>
      <c r="Y61" s="2"/>
      <c r="Z61" s="6">
        <f t="shared" si="27"/>
        <v>0</v>
      </c>
    </row>
    <row r="62" spans="1:26" s="24" customFormat="1" hidden="1" outlineLevel="2" x14ac:dyDescent="0.35">
      <c r="A62" s="29"/>
      <c r="B62" s="11" t="str">
        <f>CONCATENATE("          ", "6002", " - ", "STAFF SALARIES")</f>
        <v xml:space="preserve">          6002 - STAFF SALARIES</v>
      </c>
      <c r="C62" s="11"/>
      <c r="D62" s="7">
        <v>2928.3</v>
      </c>
      <c r="E62" s="2"/>
      <c r="F62" s="6">
        <f t="shared" si="20"/>
        <v>2.2666297499818293E-2</v>
      </c>
      <c r="G62" s="2"/>
      <c r="H62" s="7">
        <v>2710.2312499999998</v>
      </c>
      <c r="I62" s="2"/>
      <c r="J62" s="6">
        <f t="shared" si="21"/>
        <v>1.3998188396440321E-2</v>
      </c>
      <c r="K62" s="2"/>
      <c r="L62" s="7">
        <f t="shared" si="22"/>
        <v>218.06875000000036</v>
      </c>
      <c r="M62" s="2"/>
      <c r="N62" s="6">
        <f t="shared" si="23"/>
        <v>8.0461307499129595E-2</v>
      </c>
      <c r="O62" s="11"/>
      <c r="P62" s="7">
        <v>16165.649999999998</v>
      </c>
      <c r="Q62" s="2"/>
      <c r="R62" s="6">
        <f t="shared" si="24"/>
        <v>1.1509599043265756E-2</v>
      </c>
      <c r="S62" s="2"/>
      <c r="T62" s="7">
        <v>16803.43375</v>
      </c>
      <c r="U62" s="2"/>
      <c r="V62" s="6">
        <f t="shared" si="25"/>
        <v>1.0381096025902956E-2</v>
      </c>
      <c r="W62" s="2"/>
      <c r="X62" s="7">
        <f t="shared" si="26"/>
        <v>-637.78375000000233</v>
      </c>
      <c r="Y62" s="2"/>
      <c r="Z62" s="6">
        <f t="shared" si="27"/>
        <v>-3.7955560719844079E-2</v>
      </c>
    </row>
    <row r="63" spans="1:26" s="24" customFormat="1" hidden="1" outlineLevel="2" x14ac:dyDescent="0.35">
      <c r="A63" s="29"/>
      <c r="B63" s="11" t="str">
        <f>CONCATENATE("          ", "6003", " - ", "STAFF HOURLY-9 MONTH")</f>
        <v xml:space="preserve">          6003 - STAFF HOURLY-9 MONTH</v>
      </c>
      <c r="C63" s="11"/>
      <c r="D63" s="7"/>
      <c r="E63" s="2"/>
      <c r="F63" s="6">
        <f t="shared" si="20"/>
        <v>0</v>
      </c>
      <c r="G63" s="2"/>
      <c r="H63" s="7">
        <v>0</v>
      </c>
      <c r="I63" s="2"/>
      <c r="J63" s="6">
        <f t="shared" si="21"/>
        <v>0</v>
      </c>
      <c r="K63" s="2"/>
      <c r="L63" s="7">
        <f t="shared" si="22"/>
        <v>0</v>
      </c>
      <c r="M63" s="2"/>
      <c r="N63" s="6">
        <f t="shared" si="23"/>
        <v>0</v>
      </c>
      <c r="O63" s="11"/>
      <c r="P63" s="7"/>
      <c r="Q63" s="2"/>
      <c r="R63" s="6">
        <f t="shared" si="24"/>
        <v>0</v>
      </c>
      <c r="S63" s="2"/>
      <c r="T63" s="7">
        <v>0</v>
      </c>
      <c r="U63" s="2"/>
      <c r="V63" s="6">
        <f t="shared" si="25"/>
        <v>0</v>
      </c>
      <c r="W63" s="2"/>
      <c r="X63" s="7">
        <f t="shared" si="26"/>
        <v>0</v>
      </c>
      <c r="Y63" s="2"/>
      <c r="Z63" s="6">
        <f t="shared" si="27"/>
        <v>0</v>
      </c>
    </row>
    <row r="64" spans="1:26" s="24" customFormat="1" hidden="1" outlineLevel="2" x14ac:dyDescent="0.35">
      <c r="A64" s="29"/>
      <c r="B64" s="11" t="str">
        <f>CONCATENATE("          ", "6004", " - ", "STAFF HOURLY")</f>
        <v xml:space="preserve">          6004 - STAFF HOURLY</v>
      </c>
      <c r="C64" s="11"/>
      <c r="D64" s="7">
        <v>3344</v>
      </c>
      <c r="E64" s="2"/>
      <c r="F64" s="6">
        <f t="shared" si="20"/>
        <v>2.5883993729943097E-2</v>
      </c>
      <c r="G64" s="2"/>
      <c r="H64" s="7">
        <v>3860.15</v>
      </c>
      <c r="I64" s="2"/>
      <c r="J64" s="6">
        <f t="shared" si="21"/>
        <v>1.9937452547091363E-2</v>
      </c>
      <c r="K64" s="2"/>
      <c r="L64" s="7">
        <f t="shared" si="22"/>
        <v>-516.15000000000009</v>
      </c>
      <c r="M64" s="2"/>
      <c r="N64" s="6">
        <f t="shared" si="23"/>
        <v>-0.13371242050179399</v>
      </c>
      <c r="O64" s="11"/>
      <c r="P64" s="7">
        <v>24680.16</v>
      </c>
      <c r="Q64" s="2"/>
      <c r="R64" s="6">
        <f t="shared" si="24"/>
        <v>1.7571749105272341E-2</v>
      </c>
      <c r="S64" s="2"/>
      <c r="T64" s="7">
        <v>23932.929999999997</v>
      </c>
      <c r="U64" s="2"/>
      <c r="V64" s="6">
        <f t="shared" si="25"/>
        <v>1.4785671084114792E-2</v>
      </c>
      <c r="W64" s="2"/>
      <c r="X64" s="7">
        <f t="shared" si="26"/>
        <v>747.2300000000032</v>
      </c>
      <c r="Y64" s="2"/>
      <c r="Z64" s="6">
        <f t="shared" si="27"/>
        <v>3.1221835354049977E-2</v>
      </c>
    </row>
    <row r="65" spans="1:26" s="24" customFormat="1" hidden="1" outlineLevel="2" x14ac:dyDescent="0.35">
      <c r="A65" s="29"/>
      <c r="B65" s="11" t="str">
        <f>CONCATENATE("          ", "6005", " - ", "TEMPORARY WAGES-HOURLY")</f>
        <v xml:space="preserve">          6005 - TEMPORARY WAGES-HOURLY</v>
      </c>
      <c r="C65" s="11"/>
      <c r="D65" s="7"/>
      <c r="E65" s="2"/>
      <c r="F65" s="6">
        <f t="shared" si="20"/>
        <v>0</v>
      </c>
      <c r="G65" s="2"/>
      <c r="H65" s="7">
        <v>0</v>
      </c>
      <c r="I65" s="2"/>
      <c r="J65" s="6">
        <f t="shared" si="21"/>
        <v>0</v>
      </c>
      <c r="K65" s="2"/>
      <c r="L65" s="7">
        <f t="shared" si="22"/>
        <v>0</v>
      </c>
      <c r="M65" s="2"/>
      <c r="N65" s="6">
        <f t="shared" si="23"/>
        <v>0</v>
      </c>
      <c r="O65" s="11"/>
      <c r="P65" s="7"/>
      <c r="Q65" s="2"/>
      <c r="R65" s="6">
        <f t="shared" si="24"/>
        <v>0</v>
      </c>
      <c r="S65" s="2"/>
      <c r="T65" s="7">
        <v>0</v>
      </c>
      <c r="U65" s="2"/>
      <c r="V65" s="6">
        <f t="shared" si="25"/>
        <v>0</v>
      </c>
      <c r="W65" s="2"/>
      <c r="X65" s="7">
        <f t="shared" si="26"/>
        <v>0</v>
      </c>
      <c r="Y65" s="2"/>
      <c r="Z65" s="6">
        <f t="shared" si="27"/>
        <v>0</v>
      </c>
    </row>
    <row r="66" spans="1:26" s="24" customFormat="1" hidden="1" outlineLevel="2" x14ac:dyDescent="0.35">
      <c r="A66" s="29"/>
      <c r="B66" s="11" t="str">
        <f>CONCATENATE("          ", "6006", " - ", "TEMPORARY PART TIME")</f>
        <v xml:space="preserve">          6006 - TEMPORARY PART TIME</v>
      </c>
      <c r="C66" s="11"/>
      <c r="D66" s="7"/>
      <c r="E66" s="2"/>
      <c r="F66" s="6">
        <f t="shared" si="20"/>
        <v>0</v>
      </c>
      <c r="G66" s="2"/>
      <c r="H66" s="7">
        <v>0</v>
      </c>
      <c r="I66" s="2"/>
      <c r="J66" s="6">
        <f t="shared" si="21"/>
        <v>0</v>
      </c>
      <c r="K66" s="2"/>
      <c r="L66" s="7">
        <f t="shared" si="22"/>
        <v>0</v>
      </c>
      <c r="M66" s="2"/>
      <c r="N66" s="6">
        <f t="shared" si="23"/>
        <v>0</v>
      </c>
      <c r="O66" s="11"/>
      <c r="P66" s="7"/>
      <c r="Q66" s="2"/>
      <c r="R66" s="6">
        <f t="shared" si="24"/>
        <v>0</v>
      </c>
      <c r="S66" s="2"/>
      <c r="T66" s="7">
        <v>0</v>
      </c>
      <c r="U66" s="2"/>
      <c r="V66" s="6">
        <f t="shared" si="25"/>
        <v>0</v>
      </c>
      <c r="W66" s="2"/>
      <c r="X66" s="7">
        <f t="shared" si="26"/>
        <v>0</v>
      </c>
      <c r="Y66" s="2"/>
      <c r="Z66" s="6">
        <f t="shared" si="27"/>
        <v>0</v>
      </c>
    </row>
    <row r="67" spans="1:26" s="24" customFormat="1" hidden="1" outlineLevel="2" x14ac:dyDescent="0.35">
      <c r="A67" s="29"/>
      <c r="B67" s="11" t="str">
        <f>CONCATENATE("          ", "6007", " - ", "STUDENT HOURLY")</f>
        <v xml:space="preserve">          6007 - STUDENT HOURLY</v>
      </c>
      <c r="C67" s="11"/>
      <c r="D67" s="7">
        <v>3690.86</v>
      </c>
      <c r="E67" s="2"/>
      <c r="F67" s="6">
        <f t="shared" si="20"/>
        <v>2.8568838845124934E-2</v>
      </c>
      <c r="G67" s="2"/>
      <c r="H67" s="7">
        <v>0</v>
      </c>
      <c r="I67" s="2"/>
      <c r="J67" s="6">
        <f t="shared" si="21"/>
        <v>0</v>
      </c>
      <c r="K67" s="2"/>
      <c r="L67" s="7">
        <f t="shared" si="22"/>
        <v>3690.86</v>
      </c>
      <c r="M67" s="2"/>
      <c r="N67" s="6">
        <f t="shared" si="23"/>
        <v>0</v>
      </c>
      <c r="O67" s="11"/>
      <c r="P67" s="7">
        <v>16545.489999999998</v>
      </c>
      <c r="Q67" s="2"/>
      <c r="R67" s="6">
        <f t="shared" si="24"/>
        <v>1.1780037046104743E-2</v>
      </c>
      <c r="S67" s="2"/>
      <c r="T67" s="7">
        <v>5416.48</v>
      </c>
      <c r="U67" s="2"/>
      <c r="V67" s="6">
        <f t="shared" si="25"/>
        <v>3.346280280504146E-3</v>
      </c>
      <c r="W67" s="2"/>
      <c r="X67" s="7">
        <f t="shared" si="26"/>
        <v>11129.009999999998</v>
      </c>
      <c r="Y67" s="2"/>
      <c r="Z67" s="6">
        <f t="shared" si="27"/>
        <v>2.0546572681889343</v>
      </c>
    </row>
    <row r="68" spans="1:26" s="24" customFormat="1" hidden="1" outlineLevel="2" x14ac:dyDescent="0.35">
      <c r="A68" s="29"/>
      <c r="B68" s="11" t="str">
        <f>CONCATENATE("          ", "6008", " - ", "STUDENT HOURLY-FICA EXEMPT")</f>
        <v xml:space="preserve">          6008 - STUDENT HOURLY-FICA EXEMPT</v>
      </c>
      <c r="C68" s="11"/>
      <c r="D68" s="7"/>
      <c r="E68" s="2"/>
      <c r="F68" s="6">
        <f t="shared" si="20"/>
        <v>0</v>
      </c>
      <c r="G68" s="2"/>
      <c r="H68" s="7">
        <v>7766.3399200000003</v>
      </c>
      <c r="I68" s="2"/>
      <c r="J68" s="6">
        <f t="shared" si="21"/>
        <v>4.0112698630773762E-2</v>
      </c>
      <c r="K68" s="2"/>
      <c r="L68" s="7">
        <f t="shared" si="22"/>
        <v>-7766.3399200000003</v>
      </c>
      <c r="M68" s="2"/>
      <c r="N68" s="6">
        <f t="shared" si="23"/>
        <v>-1</v>
      </c>
      <c r="O68" s="11"/>
      <c r="P68" s="7"/>
      <c r="Q68" s="2"/>
      <c r="R68" s="6">
        <f t="shared" si="24"/>
        <v>0</v>
      </c>
      <c r="S68" s="2"/>
      <c r="T68" s="7">
        <v>29702.889920000001</v>
      </c>
      <c r="U68" s="2"/>
      <c r="V68" s="6">
        <f t="shared" si="25"/>
        <v>1.8350329884589508E-2</v>
      </c>
      <c r="W68" s="2"/>
      <c r="X68" s="7">
        <f t="shared" si="26"/>
        <v>-29702.889920000001</v>
      </c>
      <c r="Y68" s="2"/>
      <c r="Z68" s="6">
        <f t="shared" si="27"/>
        <v>-1</v>
      </c>
    </row>
    <row r="69" spans="1:26" s="24" customFormat="1" hidden="1" outlineLevel="2" x14ac:dyDescent="0.35">
      <c r="A69" s="29"/>
      <c r="B69" s="11" t="str">
        <f>CONCATENATE("          ", "6009", " - ", "TEMPORARY-SEASONAL")</f>
        <v xml:space="preserve">          6009 - TEMPORARY-SEASONAL</v>
      </c>
      <c r="C69" s="11"/>
      <c r="D69" s="7"/>
      <c r="E69" s="2"/>
      <c r="F69" s="6">
        <f t="shared" si="20"/>
        <v>0</v>
      </c>
      <c r="G69" s="2"/>
      <c r="H69" s="7">
        <v>0</v>
      </c>
      <c r="I69" s="2"/>
      <c r="J69" s="6">
        <f t="shared" si="21"/>
        <v>0</v>
      </c>
      <c r="K69" s="2"/>
      <c r="L69" s="7">
        <f t="shared" si="22"/>
        <v>0</v>
      </c>
      <c r="M69" s="2"/>
      <c r="N69" s="6">
        <f t="shared" si="23"/>
        <v>0</v>
      </c>
      <c r="O69" s="11"/>
      <c r="P69" s="7"/>
      <c r="Q69" s="2"/>
      <c r="R69" s="6">
        <f t="shared" si="24"/>
        <v>0</v>
      </c>
      <c r="S69" s="2"/>
      <c r="T69" s="7">
        <v>0</v>
      </c>
      <c r="U69" s="2"/>
      <c r="V69" s="6">
        <f t="shared" si="25"/>
        <v>0</v>
      </c>
      <c r="W69" s="2"/>
      <c r="X69" s="7">
        <f t="shared" si="26"/>
        <v>0</v>
      </c>
      <c r="Y69" s="2"/>
      <c r="Z69" s="6">
        <f t="shared" si="27"/>
        <v>0</v>
      </c>
    </row>
    <row r="70" spans="1:26" s="24" customFormat="1" hidden="1" outlineLevel="2" x14ac:dyDescent="0.35">
      <c r="A70" s="29"/>
      <c r="B70" s="11" t="str">
        <f>CONCATENATE("          ", "6010", " - ", "GRATUITY")</f>
        <v xml:space="preserve">          6010 - GRATUITY</v>
      </c>
      <c r="C70" s="11"/>
      <c r="D70" s="7"/>
      <c r="E70" s="2"/>
      <c r="F70" s="6">
        <f t="shared" si="20"/>
        <v>0</v>
      </c>
      <c r="G70" s="2"/>
      <c r="H70" s="7">
        <v>0</v>
      </c>
      <c r="I70" s="2"/>
      <c r="J70" s="6">
        <f t="shared" si="21"/>
        <v>0</v>
      </c>
      <c r="K70" s="2"/>
      <c r="L70" s="7">
        <f t="shared" si="22"/>
        <v>0</v>
      </c>
      <c r="M70" s="2"/>
      <c r="N70" s="6">
        <f t="shared" si="23"/>
        <v>0</v>
      </c>
      <c r="O70" s="11"/>
      <c r="P70" s="7"/>
      <c r="Q70" s="2"/>
      <c r="R70" s="6">
        <f t="shared" si="24"/>
        <v>0</v>
      </c>
      <c r="S70" s="2"/>
      <c r="T70" s="7">
        <v>0</v>
      </c>
      <c r="U70" s="2"/>
      <c r="V70" s="6">
        <f t="shared" si="25"/>
        <v>0</v>
      </c>
      <c r="W70" s="2"/>
      <c r="X70" s="7">
        <f t="shared" si="26"/>
        <v>0</v>
      </c>
      <c r="Y70" s="2"/>
      <c r="Z70" s="6">
        <f t="shared" si="27"/>
        <v>0</v>
      </c>
    </row>
    <row r="71" spans="1:26" s="28" customFormat="1" outlineLevel="1" collapsed="1" x14ac:dyDescent="0.35">
      <c r="A71" s="27"/>
      <c r="B71" s="14" t="str">
        <f>CONCATENATE("     ","Advertising/Promo                                 ")</f>
        <v xml:space="preserve">     Advertising/Promo                                 </v>
      </c>
      <c r="C71" s="14"/>
      <c r="D71" s="1">
        <f>SUM(OSRRefD22_2x_0)</f>
        <v>350.05</v>
      </c>
      <c r="E71" s="1"/>
      <c r="F71" s="5">
        <f t="shared" ref="F71:F81" si="28">IF(D$12=0,0,D71/D$12)</f>
        <v>2.709537082884743E-3</v>
      </c>
      <c r="G71" s="1"/>
      <c r="H71" s="1">
        <f>SUM(OSRRefH22_2x_0)</f>
        <v>200</v>
      </c>
      <c r="I71" s="1"/>
      <c r="J71" s="5">
        <f t="shared" ref="J71:J81" si="29">IF(H$12=0,0,H71/H$12)</f>
        <v>1.0329884873433086E-3</v>
      </c>
      <c r="K71" s="1"/>
      <c r="L71" s="1">
        <f t="shared" ref="L71:L81" si="30">+D71-H71</f>
        <v>150.05000000000001</v>
      </c>
      <c r="M71" s="1"/>
      <c r="N71" s="5">
        <f t="shared" ref="N71:N81" si="31">IF(H71=0,0,L71/H71)</f>
        <v>0.75025000000000008</v>
      </c>
      <c r="O71" s="14"/>
      <c r="P71" s="1">
        <f>SUM(OSRRefP22_2x_0)</f>
        <v>598.92999999999995</v>
      </c>
      <c r="Q71" s="1"/>
      <c r="R71" s="5">
        <f t="shared" ref="R71:R81" si="32">IF(P$12=0,0,P71/P$12)</f>
        <v>4.264254239689193E-4</v>
      </c>
      <c r="S71" s="1"/>
      <c r="T71" s="1">
        <f>SUM(OSRRefT22_2x_0)</f>
        <v>1400</v>
      </c>
      <c r="U71" s="1"/>
      <c r="V71" s="5">
        <f t="shared" ref="V71:V81" si="33">IF(T$12=0,0,T71/T$12)</f>
        <v>8.6491455570883761E-4</v>
      </c>
      <c r="W71" s="1"/>
      <c r="X71" s="1">
        <f t="shared" ref="X71:X81" si="34">+P71-T71</f>
        <v>-801.07</v>
      </c>
      <c r="Y71" s="1"/>
      <c r="Z71" s="5">
        <f t="shared" ref="Z71:Z81" si="35">IF(T71=0,0,X71/T71)</f>
        <v>-0.57219285714285717</v>
      </c>
    </row>
    <row r="72" spans="1:26" s="24" customFormat="1" hidden="1" outlineLevel="2" x14ac:dyDescent="0.35">
      <c r="A72" s="29"/>
      <c r="B72" s="11" t="str">
        <f>CONCATENATE("          ", "6362", " - ", "ADVERTISING EXPENSE")</f>
        <v xml:space="preserve">          6362 - ADVERTISING EXPENSE</v>
      </c>
      <c r="C72" s="11"/>
      <c r="D72" s="7">
        <v>350.05</v>
      </c>
      <c r="E72" s="2"/>
      <c r="F72" s="6">
        <f t="shared" si="28"/>
        <v>2.709537082884743E-3</v>
      </c>
      <c r="G72" s="2"/>
      <c r="H72" s="7">
        <v>200</v>
      </c>
      <c r="I72" s="2"/>
      <c r="J72" s="6">
        <f t="shared" si="29"/>
        <v>1.0329884873433086E-3</v>
      </c>
      <c r="K72" s="2"/>
      <c r="L72" s="7">
        <f t="shared" si="30"/>
        <v>150.05000000000001</v>
      </c>
      <c r="M72" s="2"/>
      <c r="N72" s="6">
        <f t="shared" si="31"/>
        <v>0.75025000000000008</v>
      </c>
      <c r="O72" s="11"/>
      <c r="P72" s="7">
        <v>598.92999999999995</v>
      </c>
      <c r="Q72" s="2"/>
      <c r="R72" s="6">
        <f t="shared" si="32"/>
        <v>4.264254239689193E-4</v>
      </c>
      <c r="S72" s="2"/>
      <c r="T72" s="7">
        <v>1400</v>
      </c>
      <c r="U72" s="2"/>
      <c r="V72" s="6">
        <f t="shared" si="33"/>
        <v>8.6491455570883761E-4</v>
      </c>
      <c r="W72" s="2"/>
      <c r="X72" s="7">
        <f t="shared" si="34"/>
        <v>-801.07</v>
      </c>
      <c r="Y72" s="2"/>
      <c r="Z72" s="6">
        <f t="shared" si="35"/>
        <v>-0.57219285714285717</v>
      </c>
    </row>
    <row r="73" spans="1:26" s="28" customFormat="1" outlineLevel="1" collapsed="1" x14ac:dyDescent="0.35">
      <c r="A73" s="27"/>
      <c r="B73" s="14" t="str">
        <f>CONCATENATE("     ","Depreciation                                      ")</f>
        <v xml:space="preserve">     Depreciation                                      </v>
      </c>
      <c r="C73" s="14"/>
      <c r="D73" s="1">
        <f>SUM(OSRRefD22_3x_0)</f>
        <v>280.44</v>
      </c>
      <c r="E73" s="1"/>
      <c r="F73" s="5">
        <f t="shared" si="28"/>
        <v>2.1707258378065915E-3</v>
      </c>
      <c r="G73" s="1"/>
      <c r="H73" s="1">
        <f>SUM(OSRRefH22_3x_0)</f>
        <v>300</v>
      </c>
      <c r="I73" s="1"/>
      <c r="J73" s="5">
        <f t="shared" si="29"/>
        <v>1.5494827310149628E-3</v>
      </c>
      <c r="K73" s="1"/>
      <c r="L73" s="1">
        <f t="shared" si="30"/>
        <v>-19.560000000000002</v>
      </c>
      <c r="M73" s="1"/>
      <c r="N73" s="5">
        <f t="shared" si="31"/>
        <v>-6.5200000000000008E-2</v>
      </c>
      <c r="O73" s="14"/>
      <c r="P73" s="1">
        <f>SUM(OSRRefP22_3x_0)</f>
        <v>1963.08</v>
      </c>
      <c r="Q73" s="1"/>
      <c r="R73" s="5">
        <f t="shared" si="32"/>
        <v>1.3976712158097042E-3</v>
      </c>
      <c r="S73" s="1"/>
      <c r="T73" s="1">
        <f>SUM(OSRRefT22_3x_0)</f>
        <v>2100</v>
      </c>
      <c r="U73" s="1"/>
      <c r="V73" s="5">
        <f t="shared" si="33"/>
        <v>1.2973718335632565E-3</v>
      </c>
      <c r="W73" s="1"/>
      <c r="X73" s="1">
        <f t="shared" si="34"/>
        <v>-136.92000000000007</v>
      </c>
      <c r="Y73" s="1"/>
      <c r="Z73" s="5">
        <f t="shared" si="35"/>
        <v>-6.5200000000000036E-2</v>
      </c>
    </row>
    <row r="74" spans="1:26" s="24" customFormat="1" hidden="1" outlineLevel="2" x14ac:dyDescent="0.35">
      <c r="A74" s="29"/>
      <c r="B74" s="11" t="str">
        <f>CONCATENATE("          ", "6322", " - ", "EQUIPMENT DEPRECIATION EXPENSE")</f>
        <v xml:space="preserve">          6322 - EQUIPMENT DEPRECIATION EXPENSE</v>
      </c>
      <c r="C74" s="11"/>
      <c r="D74" s="7">
        <v>280.44</v>
      </c>
      <c r="E74" s="2"/>
      <c r="F74" s="6">
        <f t="shared" si="28"/>
        <v>2.1707258378065915E-3</v>
      </c>
      <c r="G74" s="2"/>
      <c r="H74" s="7">
        <v>300</v>
      </c>
      <c r="I74" s="2"/>
      <c r="J74" s="6">
        <f t="shared" si="29"/>
        <v>1.5494827310149628E-3</v>
      </c>
      <c r="K74" s="2"/>
      <c r="L74" s="7">
        <f t="shared" si="30"/>
        <v>-19.560000000000002</v>
      </c>
      <c r="M74" s="2"/>
      <c r="N74" s="6">
        <f t="shared" si="31"/>
        <v>-6.5200000000000008E-2</v>
      </c>
      <c r="O74" s="11"/>
      <c r="P74" s="7">
        <v>1963.08</v>
      </c>
      <c r="Q74" s="2"/>
      <c r="R74" s="6">
        <f t="shared" si="32"/>
        <v>1.3976712158097042E-3</v>
      </c>
      <c r="S74" s="2"/>
      <c r="T74" s="7">
        <v>2100</v>
      </c>
      <c r="U74" s="2"/>
      <c r="V74" s="6">
        <f t="shared" si="33"/>
        <v>1.2973718335632565E-3</v>
      </c>
      <c r="W74" s="2"/>
      <c r="X74" s="7">
        <f t="shared" si="34"/>
        <v>-136.92000000000007</v>
      </c>
      <c r="Y74" s="2"/>
      <c r="Z74" s="6">
        <f t="shared" si="35"/>
        <v>-6.5200000000000036E-2</v>
      </c>
    </row>
    <row r="75" spans="1:26" s="28" customFormat="1" outlineLevel="1" collapsed="1" x14ac:dyDescent="0.35">
      <c r="A75" s="27"/>
      <c r="B75" s="14" t="str">
        <f>CONCATENATE("     ","Discounts and Markdowns                           ")</f>
        <v xml:space="preserve">     Discounts and Markdowns                           </v>
      </c>
      <c r="C75" s="14"/>
      <c r="D75" s="1">
        <f>SUM(OSRRefD22_4x_0)</f>
        <v>0</v>
      </c>
      <c r="E75" s="1"/>
      <c r="F75" s="5">
        <f t="shared" si="28"/>
        <v>0</v>
      </c>
      <c r="G75" s="1"/>
      <c r="H75" s="1">
        <f>SUM(OSRRefH22_4x_0)</f>
        <v>3079</v>
      </c>
      <c r="I75" s="1"/>
      <c r="J75" s="5">
        <f t="shared" si="29"/>
        <v>1.5902857762650234E-2</v>
      </c>
      <c r="K75" s="1"/>
      <c r="L75" s="1">
        <f t="shared" si="30"/>
        <v>-3079</v>
      </c>
      <c r="M75" s="1"/>
      <c r="N75" s="5">
        <f t="shared" si="31"/>
        <v>-1</v>
      </c>
      <c r="O75" s="14"/>
      <c r="P75" s="1">
        <f>SUM(OSRRefP22_4x_0)</f>
        <v>0</v>
      </c>
      <c r="Q75" s="1"/>
      <c r="R75" s="5">
        <f t="shared" si="32"/>
        <v>0</v>
      </c>
      <c r="S75" s="1"/>
      <c r="T75" s="1">
        <f>SUM(OSRRefT22_4x_0)</f>
        <v>25745</v>
      </c>
      <c r="U75" s="1"/>
      <c r="V75" s="5">
        <f t="shared" si="33"/>
        <v>1.5905160883374302E-2</v>
      </c>
      <c r="W75" s="1"/>
      <c r="X75" s="1">
        <f t="shared" si="34"/>
        <v>-25745</v>
      </c>
      <c r="Y75" s="1"/>
      <c r="Z75" s="5">
        <f t="shared" si="35"/>
        <v>-1</v>
      </c>
    </row>
    <row r="76" spans="1:26" s="24" customFormat="1" hidden="1" outlineLevel="2" x14ac:dyDescent="0.35">
      <c r="A76" s="29"/>
      <c r="B76" s="11" t="str">
        <f>CONCATENATE("          ", "6382", " - ", "DISCOUNTS/MARK DOWNS")</f>
        <v xml:space="preserve">          6382 - DISCOUNTS/MARK DOWNS</v>
      </c>
      <c r="C76" s="11"/>
      <c r="D76" s="7"/>
      <c r="E76" s="2"/>
      <c r="F76" s="6">
        <f t="shared" si="28"/>
        <v>0</v>
      </c>
      <c r="G76" s="2"/>
      <c r="H76" s="7">
        <v>3079</v>
      </c>
      <c r="I76" s="2"/>
      <c r="J76" s="6">
        <f t="shared" si="29"/>
        <v>1.5902857762650234E-2</v>
      </c>
      <c r="K76" s="2"/>
      <c r="L76" s="7">
        <f t="shared" si="30"/>
        <v>-3079</v>
      </c>
      <c r="M76" s="2"/>
      <c r="N76" s="6">
        <f t="shared" si="31"/>
        <v>-1</v>
      </c>
      <c r="O76" s="11"/>
      <c r="P76" s="7"/>
      <c r="Q76" s="2"/>
      <c r="R76" s="6">
        <f t="shared" si="32"/>
        <v>0</v>
      </c>
      <c r="S76" s="2"/>
      <c r="T76" s="7">
        <v>25745</v>
      </c>
      <c r="U76" s="2"/>
      <c r="V76" s="6">
        <f t="shared" si="33"/>
        <v>1.5905160883374302E-2</v>
      </c>
      <c r="W76" s="2"/>
      <c r="X76" s="7">
        <f t="shared" si="34"/>
        <v>-25745</v>
      </c>
      <c r="Y76" s="2"/>
      <c r="Z76" s="6">
        <f t="shared" si="35"/>
        <v>-1</v>
      </c>
    </row>
    <row r="77" spans="1:26" s="28" customFormat="1" outlineLevel="1" collapsed="1" x14ac:dyDescent="0.35">
      <c r="A77" s="27"/>
      <c r="B77" s="14" t="str">
        <f>CONCATENATE("     ","Employees' Appreciation                           ")</f>
        <v xml:space="preserve">     Employees' Appreciation                           </v>
      </c>
      <c r="C77" s="14"/>
      <c r="D77" s="1">
        <f>SUM(OSRRefD22_5x_0)</f>
        <v>0</v>
      </c>
      <c r="E77" s="1"/>
      <c r="F77" s="5">
        <f t="shared" si="28"/>
        <v>0</v>
      </c>
      <c r="G77" s="1"/>
      <c r="H77" s="1">
        <f>SUM(OSRRefH22_5x_0)</f>
        <v>20</v>
      </c>
      <c r="I77" s="1"/>
      <c r="J77" s="5">
        <f t="shared" si="29"/>
        <v>1.0329884873433086E-4</v>
      </c>
      <c r="K77" s="1"/>
      <c r="L77" s="1">
        <f t="shared" si="30"/>
        <v>-20</v>
      </c>
      <c r="M77" s="1"/>
      <c r="N77" s="5">
        <f t="shared" si="31"/>
        <v>-1</v>
      </c>
      <c r="O77" s="14"/>
      <c r="P77" s="1">
        <f>SUM(OSRRefP22_5x_0)</f>
        <v>0</v>
      </c>
      <c r="Q77" s="1"/>
      <c r="R77" s="5">
        <f t="shared" si="32"/>
        <v>0</v>
      </c>
      <c r="S77" s="1"/>
      <c r="T77" s="1">
        <f>SUM(OSRRefT22_5x_0)</f>
        <v>140</v>
      </c>
      <c r="U77" s="1"/>
      <c r="V77" s="5">
        <f t="shared" si="33"/>
        <v>8.6491455570883761E-5</v>
      </c>
      <c r="W77" s="1"/>
      <c r="X77" s="1">
        <f t="shared" si="34"/>
        <v>-140</v>
      </c>
      <c r="Y77" s="1"/>
      <c r="Z77" s="5">
        <f t="shared" si="35"/>
        <v>-1</v>
      </c>
    </row>
    <row r="78" spans="1:26" s="24" customFormat="1" hidden="1" outlineLevel="2" x14ac:dyDescent="0.35">
      <c r="A78" s="29"/>
      <c r="B78" s="11" t="str">
        <f>CONCATENATE("          ", "6277", " - ", "EMPLOYEE APPRECIATION")</f>
        <v xml:space="preserve">          6277 - EMPLOYEE APPRECIATION</v>
      </c>
      <c r="C78" s="11"/>
      <c r="D78" s="7"/>
      <c r="E78" s="2"/>
      <c r="F78" s="6">
        <f t="shared" si="28"/>
        <v>0</v>
      </c>
      <c r="G78" s="2"/>
      <c r="H78" s="7">
        <v>20</v>
      </c>
      <c r="I78" s="2"/>
      <c r="J78" s="6">
        <f t="shared" si="29"/>
        <v>1.0329884873433086E-4</v>
      </c>
      <c r="K78" s="2"/>
      <c r="L78" s="7">
        <f t="shared" si="30"/>
        <v>-20</v>
      </c>
      <c r="M78" s="2"/>
      <c r="N78" s="6">
        <f t="shared" si="31"/>
        <v>-1</v>
      </c>
      <c r="O78" s="11"/>
      <c r="P78" s="7"/>
      <c r="Q78" s="2"/>
      <c r="R78" s="6">
        <f t="shared" si="32"/>
        <v>0</v>
      </c>
      <c r="S78" s="2"/>
      <c r="T78" s="7">
        <v>140</v>
      </c>
      <c r="U78" s="2"/>
      <c r="V78" s="6">
        <f t="shared" si="33"/>
        <v>8.6491455570883761E-5</v>
      </c>
      <c r="W78" s="2"/>
      <c r="X78" s="7">
        <f t="shared" si="34"/>
        <v>-140</v>
      </c>
      <c r="Y78" s="2"/>
      <c r="Z78" s="6">
        <f t="shared" si="35"/>
        <v>-1</v>
      </c>
    </row>
    <row r="79" spans="1:26" s="28" customFormat="1" outlineLevel="1" collapsed="1" x14ac:dyDescent="0.35">
      <c r="A79" s="27"/>
      <c r="B79" s="14" t="str">
        <f>CONCATENATE("     ","Freight out/Postage                               ")</f>
        <v xml:space="preserve">     Freight out/Postage                               </v>
      </c>
      <c r="C79" s="14"/>
      <c r="D79" s="1">
        <f>SUM(OSRRefD22_6x_0)</f>
        <v>122.94</v>
      </c>
      <c r="E79" s="1"/>
      <c r="F79" s="5">
        <f t="shared" si="28"/>
        <v>9.5160831015526437E-4</v>
      </c>
      <c r="G79" s="1"/>
      <c r="H79" s="1">
        <f>SUM(OSRRefH22_6x_0)</f>
        <v>15</v>
      </c>
      <c r="I79" s="1"/>
      <c r="J79" s="5">
        <f t="shared" si="29"/>
        <v>7.7474136550748137E-5</v>
      </c>
      <c r="K79" s="1"/>
      <c r="L79" s="1">
        <f t="shared" si="30"/>
        <v>107.94</v>
      </c>
      <c r="M79" s="1"/>
      <c r="N79" s="5">
        <f t="shared" si="31"/>
        <v>7.1959999999999997</v>
      </c>
      <c r="O79" s="14"/>
      <c r="P79" s="1">
        <f>SUM(OSRRefP22_6x_0)</f>
        <v>994.11</v>
      </c>
      <c r="Q79" s="1"/>
      <c r="R79" s="5">
        <f t="shared" si="32"/>
        <v>7.0778518060832219E-4</v>
      </c>
      <c r="S79" s="1"/>
      <c r="T79" s="1">
        <f>SUM(OSRRefT22_6x_0)</f>
        <v>105</v>
      </c>
      <c r="U79" s="1"/>
      <c r="V79" s="5">
        <f t="shared" si="33"/>
        <v>6.4868591678162821E-5</v>
      </c>
      <c r="W79" s="1"/>
      <c r="X79" s="1">
        <f t="shared" si="34"/>
        <v>889.11</v>
      </c>
      <c r="Y79" s="1"/>
      <c r="Z79" s="5">
        <f t="shared" si="35"/>
        <v>8.4677142857142851</v>
      </c>
    </row>
    <row r="80" spans="1:26" s="24" customFormat="1" hidden="1" outlineLevel="2" x14ac:dyDescent="0.35">
      <c r="A80" s="29"/>
      <c r="B80" s="11" t="str">
        <f>CONCATENATE("          ", "6305", " - ", "FREIGHT OUT")</f>
        <v xml:space="preserve">          6305 - FREIGHT OUT</v>
      </c>
      <c r="C80" s="11"/>
      <c r="D80" s="7">
        <v>122.94</v>
      </c>
      <c r="E80" s="2"/>
      <c r="F80" s="6">
        <f t="shared" si="28"/>
        <v>9.5160831015526437E-4</v>
      </c>
      <c r="G80" s="2"/>
      <c r="H80" s="7">
        <v>15</v>
      </c>
      <c r="I80" s="2"/>
      <c r="J80" s="6">
        <f t="shared" si="29"/>
        <v>7.7474136550748137E-5</v>
      </c>
      <c r="K80" s="2"/>
      <c r="L80" s="7">
        <f t="shared" si="30"/>
        <v>107.94</v>
      </c>
      <c r="M80" s="2"/>
      <c r="N80" s="6">
        <f t="shared" si="31"/>
        <v>7.1959999999999997</v>
      </c>
      <c r="O80" s="11"/>
      <c r="P80" s="7">
        <v>981.51</v>
      </c>
      <c r="Q80" s="2"/>
      <c r="R80" s="6">
        <f t="shared" si="32"/>
        <v>6.9881424854279135E-4</v>
      </c>
      <c r="S80" s="2"/>
      <c r="T80" s="7">
        <v>105</v>
      </c>
      <c r="U80" s="2"/>
      <c r="V80" s="6">
        <f t="shared" si="33"/>
        <v>6.4868591678162821E-5</v>
      </c>
      <c r="W80" s="2"/>
      <c r="X80" s="7">
        <f t="shared" si="34"/>
        <v>876.51</v>
      </c>
      <c r="Y80" s="2"/>
      <c r="Z80" s="6">
        <f t="shared" si="35"/>
        <v>8.3477142857142859</v>
      </c>
    </row>
    <row r="81" spans="1:26" s="24" customFormat="1" hidden="1" outlineLevel="2" x14ac:dyDescent="0.35">
      <c r="A81" s="29"/>
      <c r="B81" s="11" t="str">
        <f>CONCATENATE("          ", "6307", " - ", "POSTAGE")</f>
        <v xml:space="preserve">          6307 - POSTAGE</v>
      </c>
      <c r="C81" s="11"/>
      <c r="D81" s="7"/>
      <c r="E81" s="2"/>
      <c r="F81" s="6">
        <f t="shared" si="28"/>
        <v>0</v>
      </c>
      <c r="G81" s="2"/>
      <c r="H81" s="7"/>
      <c r="I81" s="2"/>
      <c r="J81" s="6">
        <f t="shared" si="29"/>
        <v>0</v>
      </c>
      <c r="K81" s="2"/>
      <c r="L81" s="7">
        <f t="shared" si="30"/>
        <v>0</v>
      </c>
      <c r="M81" s="2"/>
      <c r="N81" s="6">
        <f t="shared" si="31"/>
        <v>0</v>
      </c>
      <c r="O81" s="11"/>
      <c r="P81" s="7">
        <v>12.6</v>
      </c>
      <c r="Q81" s="2"/>
      <c r="R81" s="6">
        <f t="shared" si="32"/>
        <v>8.9709320655308361E-6</v>
      </c>
      <c r="S81" s="2"/>
      <c r="T81" s="7"/>
      <c r="U81" s="2"/>
      <c r="V81" s="6">
        <f t="shared" si="33"/>
        <v>0</v>
      </c>
      <c r="W81" s="2"/>
      <c r="X81" s="7">
        <f t="shared" si="34"/>
        <v>12.6</v>
      </c>
      <c r="Y81" s="2"/>
      <c r="Z81" s="6">
        <f t="shared" si="35"/>
        <v>0</v>
      </c>
    </row>
    <row r="82" spans="1:26" s="28" customFormat="1" outlineLevel="1" collapsed="1" x14ac:dyDescent="0.35">
      <c r="A82" s="27"/>
      <c r="B82" s="14" t="str">
        <f>CONCATENATE("     ","General                                           ")</f>
        <v xml:space="preserve">     General                                           </v>
      </c>
      <c r="C82" s="14"/>
      <c r="D82" s="1">
        <f>SUM(OSRRefD22_7x_0)</f>
        <v>0</v>
      </c>
      <c r="E82" s="1"/>
      <c r="F82" s="5">
        <f t="shared" ref="F82:F91" si="36">IF(D$12=0,0,D82/D$12)</f>
        <v>0</v>
      </c>
      <c r="G82" s="1"/>
      <c r="H82" s="1">
        <f>SUM(OSRRefH22_7x_0)</f>
        <v>30</v>
      </c>
      <c r="I82" s="1"/>
      <c r="J82" s="5">
        <f t="shared" ref="J82:J91" si="37">IF(H$12=0,0,H82/H$12)</f>
        <v>1.5494827310149627E-4</v>
      </c>
      <c r="K82" s="1"/>
      <c r="L82" s="1">
        <f t="shared" ref="L82:L91" si="38">+D82-H82</f>
        <v>-30</v>
      </c>
      <c r="M82" s="1"/>
      <c r="N82" s="5">
        <f t="shared" ref="N82:N91" si="39">IF(H82=0,0,L82/H82)</f>
        <v>-1</v>
      </c>
      <c r="O82" s="14"/>
      <c r="P82" s="1">
        <f>SUM(OSRRefP22_7x_0)</f>
        <v>-30.15</v>
      </c>
      <c r="Q82" s="1"/>
      <c r="R82" s="5">
        <f t="shared" ref="R82:R91" si="40">IF(P$12=0,0,P82/P$12)</f>
        <v>-2.146615887109164E-5</v>
      </c>
      <c r="S82" s="1"/>
      <c r="T82" s="1">
        <f>SUM(OSRRefT22_7x_0)</f>
        <v>210</v>
      </c>
      <c r="U82" s="1"/>
      <c r="V82" s="5">
        <f t="shared" ref="V82:V91" si="41">IF(T$12=0,0,T82/T$12)</f>
        <v>1.2973718335632564E-4</v>
      </c>
      <c r="W82" s="1"/>
      <c r="X82" s="1">
        <f t="shared" ref="X82:X91" si="42">+P82-T82</f>
        <v>-240.15</v>
      </c>
      <c r="Y82" s="1"/>
      <c r="Z82" s="5">
        <f t="shared" ref="Z82:Z91" si="43">IF(T82=0,0,X82/T82)</f>
        <v>-1.1435714285714287</v>
      </c>
    </row>
    <row r="83" spans="1:26" s="24" customFormat="1" hidden="1" outlineLevel="2" x14ac:dyDescent="0.35">
      <c r="A83" s="29"/>
      <c r="B83" s="11" t="str">
        <f>CONCATENATE("          ", "6279", " - ", "GENERAL EXPENSE")</f>
        <v xml:space="preserve">          6279 - GENERAL EXPENSE</v>
      </c>
      <c r="C83" s="11"/>
      <c r="D83" s="7"/>
      <c r="E83" s="2"/>
      <c r="F83" s="6">
        <f t="shared" si="36"/>
        <v>0</v>
      </c>
      <c r="G83" s="2"/>
      <c r="H83" s="7">
        <v>30</v>
      </c>
      <c r="I83" s="2"/>
      <c r="J83" s="6">
        <f t="shared" si="37"/>
        <v>1.5494827310149627E-4</v>
      </c>
      <c r="K83" s="2"/>
      <c r="L83" s="7">
        <f t="shared" si="38"/>
        <v>-30</v>
      </c>
      <c r="M83" s="2"/>
      <c r="N83" s="6">
        <f t="shared" si="39"/>
        <v>-1</v>
      </c>
      <c r="O83" s="11"/>
      <c r="P83" s="7">
        <v>-30.15</v>
      </c>
      <c r="Q83" s="2"/>
      <c r="R83" s="6">
        <f t="shared" si="40"/>
        <v>-2.146615887109164E-5</v>
      </c>
      <c r="S83" s="2"/>
      <c r="T83" s="7">
        <v>210</v>
      </c>
      <c r="U83" s="2"/>
      <c r="V83" s="6">
        <f t="shared" si="41"/>
        <v>1.2973718335632564E-4</v>
      </c>
      <c r="W83" s="2"/>
      <c r="X83" s="7">
        <f t="shared" si="42"/>
        <v>-240.15</v>
      </c>
      <c r="Y83" s="2"/>
      <c r="Z83" s="6">
        <f t="shared" si="43"/>
        <v>-1.1435714285714287</v>
      </c>
    </row>
    <row r="84" spans="1:26" s="28" customFormat="1" outlineLevel="1" collapsed="1" x14ac:dyDescent="0.35">
      <c r="A84" s="27"/>
      <c r="B84" s="14" t="str">
        <f>CONCATENATE("     ","Inventory Adjustment                              ")</f>
        <v xml:space="preserve">     Inventory Adjustment                              </v>
      </c>
      <c r="C84" s="14"/>
      <c r="D84" s="1">
        <f>SUM(OSRRefD22_8x_0)</f>
        <v>1250</v>
      </c>
      <c r="E84" s="1"/>
      <c r="F84" s="5">
        <f t="shared" si="36"/>
        <v>9.6755359337406914E-3</v>
      </c>
      <c r="G84" s="1"/>
      <c r="H84" s="1">
        <f>SUM(OSRRefH22_8x_0)</f>
        <v>1250</v>
      </c>
      <c r="I84" s="1"/>
      <c r="J84" s="5">
        <f t="shared" si="37"/>
        <v>6.4561780458956787E-3</v>
      </c>
      <c r="K84" s="1"/>
      <c r="L84" s="1">
        <f t="shared" si="38"/>
        <v>0</v>
      </c>
      <c r="M84" s="1"/>
      <c r="N84" s="5">
        <f t="shared" si="39"/>
        <v>0</v>
      </c>
      <c r="O84" s="14"/>
      <c r="P84" s="1">
        <f>SUM(OSRRefP22_8x_0)</f>
        <v>8750</v>
      </c>
      <c r="Q84" s="1"/>
      <c r="R84" s="5">
        <f t="shared" si="40"/>
        <v>6.2298139343964134E-3</v>
      </c>
      <c r="S84" s="1"/>
      <c r="T84" s="1">
        <f>SUM(OSRRefT22_8x_0)</f>
        <v>8750</v>
      </c>
      <c r="U84" s="1"/>
      <c r="V84" s="5">
        <f t="shared" si="41"/>
        <v>5.4057159731802354E-3</v>
      </c>
      <c r="W84" s="1"/>
      <c r="X84" s="1">
        <f t="shared" si="42"/>
        <v>0</v>
      </c>
      <c r="Y84" s="1"/>
      <c r="Z84" s="5">
        <f t="shared" si="43"/>
        <v>0</v>
      </c>
    </row>
    <row r="85" spans="1:26" s="24" customFormat="1" hidden="1" outlineLevel="2" x14ac:dyDescent="0.35">
      <c r="A85" s="29"/>
      <c r="B85" s="11" t="str">
        <f>CONCATENATE("          ", "6408", " - ", "INVENTORY ADJUSTMENT")</f>
        <v xml:space="preserve">          6408 - INVENTORY ADJUSTMENT</v>
      </c>
      <c r="C85" s="11"/>
      <c r="D85" s="7">
        <v>1250</v>
      </c>
      <c r="E85" s="2"/>
      <c r="F85" s="6">
        <f t="shared" si="36"/>
        <v>9.6755359337406914E-3</v>
      </c>
      <c r="G85" s="2"/>
      <c r="H85" s="7">
        <v>1250</v>
      </c>
      <c r="I85" s="2"/>
      <c r="J85" s="6">
        <f t="shared" si="37"/>
        <v>6.4561780458956787E-3</v>
      </c>
      <c r="K85" s="2"/>
      <c r="L85" s="7">
        <f t="shared" si="38"/>
        <v>0</v>
      </c>
      <c r="M85" s="2"/>
      <c r="N85" s="6">
        <f t="shared" si="39"/>
        <v>0</v>
      </c>
      <c r="O85" s="11"/>
      <c r="P85" s="7">
        <v>8750</v>
      </c>
      <c r="Q85" s="2"/>
      <c r="R85" s="6">
        <f t="shared" si="40"/>
        <v>6.2298139343964134E-3</v>
      </c>
      <c r="S85" s="2"/>
      <c r="T85" s="7">
        <v>8750</v>
      </c>
      <c r="U85" s="2"/>
      <c r="V85" s="6">
        <f t="shared" si="41"/>
        <v>5.4057159731802354E-3</v>
      </c>
      <c r="W85" s="2"/>
      <c r="X85" s="7">
        <f t="shared" si="42"/>
        <v>0</v>
      </c>
      <c r="Y85" s="2"/>
      <c r="Z85" s="6">
        <f t="shared" si="43"/>
        <v>0</v>
      </c>
    </row>
    <row r="86" spans="1:26" s="28" customFormat="1" outlineLevel="1" collapsed="1" x14ac:dyDescent="0.35">
      <c r="A86" s="27"/>
      <c r="B86" s="14" t="str">
        <f>CONCATENATE("     ","Repair and Maintenance                            ")</f>
        <v xml:space="preserve">     Repair and Maintenance                            </v>
      </c>
      <c r="C86" s="14"/>
      <c r="D86" s="1">
        <f>SUM(OSRRefD22_9x_0)</f>
        <v>0</v>
      </c>
      <c r="E86" s="1"/>
      <c r="F86" s="5">
        <f t="shared" si="36"/>
        <v>0</v>
      </c>
      <c r="G86" s="1"/>
      <c r="H86" s="1">
        <f>SUM(OSRRefH22_9x_0)</f>
        <v>20</v>
      </c>
      <c r="I86" s="1"/>
      <c r="J86" s="5">
        <f t="shared" si="37"/>
        <v>1.0329884873433086E-4</v>
      </c>
      <c r="K86" s="1"/>
      <c r="L86" s="1">
        <f t="shared" si="38"/>
        <v>-20</v>
      </c>
      <c r="M86" s="1"/>
      <c r="N86" s="5">
        <f t="shared" si="39"/>
        <v>-1</v>
      </c>
      <c r="O86" s="14"/>
      <c r="P86" s="1">
        <f>SUM(OSRRefP22_9x_0)</f>
        <v>0</v>
      </c>
      <c r="Q86" s="1"/>
      <c r="R86" s="5">
        <f t="shared" si="40"/>
        <v>0</v>
      </c>
      <c r="S86" s="1"/>
      <c r="T86" s="1">
        <f>SUM(OSRRefT22_9x_0)</f>
        <v>145</v>
      </c>
      <c r="U86" s="1"/>
      <c r="V86" s="5">
        <f t="shared" si="41"/>
        <v>8.9580436126986758E-5</v>
      </c>
      <c r="W86" s="1"/>
      <c r="X86" s="1">
        <f t="shared" si="42"/>
        <v>-145</v>
      </c>
      <c r="Y86" s="1"/>
      <c r="Z86" s="5">
        <f t="shared" si="43"/>
        <v>-1</v>
      </c>
    </row>
    <row r="87" spans="1:26" s="24" customFormat="1" hidden="1" outlineLevel="2" x14ac:dyDescent="0.35">
      <c r="A87" s="29"/>
      <c r="B87" s="11" t="str">
        <f>CONCATENATE("          ", "6375", " - ", "OUTSIDE REPAIRS &amp; MAINTENANCE")</f>
        <v xml:space="preserve">          6375 - OUTSIDE REPAIRS &amp; MAINTENANCE</v>
      </c>
      <c r="C87" s="11"/>
      <c r="D87" s="7"/>
      <c r="E87" s="2"/>
      <c r="F87" s="6">
        <f t="shared" si="36"/>
        <v>0</v>
      </c>
      <c r="G87" s="2"/>
      <c r="H87" s="7">
        <v>20</v>
      </c>
      <c r="I87" s="2"/>
      <c r="J87" s="6">
        <f t="shared" si="37"/>
        <v>1.0329884873433086E-4</v>
      </c>
      <c r="K87" s="2"/>
      <c r="L87" s="7">
        <f t="shared" si="38"/>
        <v>-20</v>
      </c>
      <c r="M87" s="2"/>
      <c r="N87" s="6">
        <f t="shared" si="39"/>
        <v>-1</v>
      </c>
      <c r="O87" s="11"/>
      <c r="P87" s="7"/>
      <c r="Q87" s="2"/>
      <c r="R87" s="6">
        <f t="shared" si="40"/>
        <v>0</v>
      </c>
      <c r="S87" s="2"/>
      <c r="T87" s="7">
        <v>145</v>
      </c>
      <c r="U87" s="2"/>
      <c r="V87" s="6">
        <f t="shared" si="41"/>
        <v>8.9580436126986758E-5</v>
      </c>
      <c r="W87" s="2"/>
      <c r="X87" s="7">
        <f t="shared" si="42"/>
        <v>-145</v>
      </c>
      <c r="Y87" s="2"/>
      <c r="Z87" s="6">
        <f t="shared" si="43"/>
        <v>-1</v>
      </c>
    </row>
    <row r="88" spans="1:26" s="28" customFormat="1" outlineLevel="1" collapsed="1" x14ac:dyDescent="0.35">
      <c r="A88" s="27"/>
      <c r="B88" s="14" t="str">
        <f>CONCATENATE("     ","Supplies                                          ")</f>
        <v xml:space="preserve">     Supplies                                          </v>
      </c>
      <c r="C88" s="14"/>
      <c r="D88" s="1">
        <f>SUM(OSRRefD22_10x_0)</f>
        <v>-683.71</v>
      </c>
      <c r="E88" s="1"/>
      <c r="F88" s="5">
        <f t="shared" si="36"/>
        <v>-5.2922085386062781E-3</v>
      </c>
      <c r="G88" s="1"/>
      <c r="H88" s="1">
        <f>SUM(OSRRefH22_10x_0)</f>
        <v>310</v>
      </c>
      <c r="I88" s="1"/>
      <c r="J88" s="5">
        <f t="shared" si="37"/>
        <v>1.6011321553821283E-3</v>
      </c>
      <c r="K88" s="1"/>
      <c r="L88" s="1">
        <f t="shared" si="38"/>
        <v>-993.71</v>
      </c>
      <c r="M88" s="1"/>
      <c r="N88" s="5">
        <f t="shared" si="39"/>
        <v>-3.205516129032258</v>
      </c>
      <c r="O88" s="14"/>
      <c r="P88" s="1">
        <f>SUM(OSRRefP22_10x_0)</f>
        <v>2069.86</v>
      </c>
      <c r="Q88" s="1"/>
      <c r="R88" s="5">
        <f t="shared" si="40"/>
        <v>1.4736963051714012E-3</v>
      </c>
      <c r="S88" s="1"/>
      <c r="T88" s="1">
        <f>SUM(OSRRefT22_10x_0)</f>
        <v>2170</v>
      </c>
      <c r="U88" s="1"/>
      <c r="V88" s="5">
        <f t="shared" si="41"/>
        <v>1.3406175613486983E-3</v>
      </c>
      <c r="W88" s="1"/>
      <c r="X88" s="1">
        <f t="shared" si="42"/>
        <v>-100.13999999999987</v>
      </c>
      <c r="Y88" s="1"/>
      <c r="Z88" s="5">
        <f t="shared" si="43"/>
        <v>-4.6147465437787957E-2</v>
      </c>
    </row>
    <row r="89" spans="1:26" s="24" customFormat="1" hidden="1" outlineLevel="2" x14ac:dyDescent="0.35">
      <c r="A89" s="29"/>
      <c r="B89" s="11" t="str">
        <f>CONCATENATE("          ", "6235", " - ", "COVID-19 EXPENSES")</f>
        <v xml:space="preserve">          6235 - COVID-19 EXPENSES</v>
      </c>
      <c r="C89" s="11"/>
      <c r="D89" s="7"/>
      <c r="E89" s="2"/>
      <c r="F89" s="6">
        <f t="shared" si="36"/>
        <v>0</v>
      </c>
      <c r="G89" s="2"/>
      <c r="H89" s="7"/>
      <c r="I89" s="2"/>
      <c r="J89" s="6">
        <f t="shared" si="37"/>
        <v>0</v>
      </c>
      <c r="K89" s="2"/>
      <c r="L89" s="7">
        <f t="shared" si="38"/>
        <v>0</v>
      </c>
      <c r="M89" s="2"/>
      <c r="N89" s="6">
        <f t="shared" si="39"/>
        <v>0</v>
      </c>
      <c r="O89" s="11"/>
      <c r="P89" s="7">
        <v>668.12</v>
      </c>
      <c r="Q89" s="2"/>
      <c r="R89" s="6">
        <f t="shared" si="40"/>
        <v>4.7568723266844937E-4</v>
      </c>
      <c r="S89" s="2"/>
      <c r="T89" s="7"/>
      <c r="U89" s="2"/>
      <c r="V89" s="6">
        <f t="shared" si="41"/>
        <v>0</v>
      </c>
      <c r="W89" s="2"/>
      <c r="X89" s="7">
        <f t="shared" si="42"/>
        <v>668.12</v>
      </c>
      <c r="Y89" s="2"/>
      <c r="Z89" s="6">
        <f t="shared" si="43"/>
        <v>0</v>
      </c>
    </row>
    <row r="90" spans="1:26" s="24" customFormat="1" hidden="1" outlineLevel="2" x14ac:dyDescent="0.35">
      <c r="A90" s="29"/>
      <c r="B90" s="11" t="str">
        <f>CONCATENATE("          ", "6241", " - ", "OFFICE EXPENSE")</f>
        <v xml:space="preserve">          6241 - OFFICE EXPENSE</v>
      </c>
      <c r="C90" s="11"/>
      <c r="D90" s="7">
        <v>-683.71</v>
      </c>
      <c r="E90" s="2"/>
      <c r="F90" s="6">
        <f t="shared" si="36"/>
        <v>-5.2922085386062781E-3</v>
      </c>
      <c r="G90" s="2"/>
      <c r="H90" s="7">
        <v>110</v>
      </c>
      <c r="I90" s="2"/>
      <c r="J90" s="6">
        <f t="shared" si="37"/>
        <v>5.6814366803881969E-4</v>
      </c>
      <c r="K90" s="2"/>
      <c r="L90" s="7">
        <f t="shared" si="38"/>
        <v>-793.71</v>
      </c>
      <c r="M90" s="2"/>
      <c r="N90" s="6">
        <f t="shared" si="39"/>
        <v>-7.2155454545454552</v>
      </c>
      <c r="O90" s="11"/>
      <c r="P90" s="7">
        <v>1401.74</v>
      </c>
      <c r="Q90" s="2"/>
      <c r="R90" s="6">
        <f t="shared" si="40"/>
        <v>9.9800907250295178E-4</v>
      </c>
      <c r="S90" s="2"/>
      <c r="T90" s="7">
        <v>770</v>
      </c>
      <c r="U90" s="2"/>
      <c r="V90" s="6">
        <f t="shared" si="41"/>
        <v>4.7570300563986071E-4</v>
      </c>
      <c r="W90" s="2"/>
      <c r="X90" s="7">
        <f t="shared" si="42"/>
        <v>631.74</v>
      </c>
      <c r="Y90" s="2"/>
      <c r="Z90" s="6">
        <f t="shared" si="43"/>
        <v>0.82044155844155842</v>
      </c>
    </row>
    <row r="91" spans="1:26" s="24" customFormat="1" hidden="1" outlineLevel="2" x14ac:dyDescent="0.35">
      <c r="A91" s="29"/>
      <c r="B91" s="11" t="str">
        <f>CONCATENATE("          ", "6247", " - ", "STORE SUPPLIES")</f>
        <v xml:space="preserve">          6247 - STORE SUPPLIES</v>
      </c>
      <c r="C91" s="11"/>
      <c r="D91" s="7"/>
      <c r="E91" s="2"/>
      <c r="F91" s="6">
        <f t="shared" si="36"/>
        <v>0</v>
      </c>
      <c r="G91" s="2"/>
      <c r="H91" s="7">
        <v>200</v>
      </c>
      <c r="I91" s="2"/>
      <c r="J91" s="6">
        <f t="shared" si="37"/>
        <v>1.0329884873433086E-3</v>
      </c>
      <c r="K91" s="2"/>
      <c r="L91" s="7">
        <f t="shared" si="38"/>
        <v>-200</v>
      </c>
      <c r="M91" s="2"/>
      <c r="N91" s="6">
        <f t="shared" si="39"/>
        <v>-1</v>
      </c>
      <c r="O91" s="11"/>
      <c r="P91" s="7"/>
      <c r="Q91" s="2"/>
      <c r="R91" s="6">
        <f t="shared" si="40"/>
        <v>0</v>
      </c>
      <c r="S91" s="2"/>
      <c r="T91" s="7">
        <v>1400</v>
      </c>
      <c r="U91" s="2"/>
      <c r="V91" s="6">
        <f t="shared" si="41"/>
        <v>8.6491455570883761E-4</v>
      </c>
      <c r="W91" s="2"/>
      <c r="X91" s="7">
        <f t="shared" si="42"/>
        <v>-1400</v>
      </c>
      <c r="Y91" s="2"/>
      <c r="Z91" s="6">
        <f t="shared" si="43"/>
        <v>-1</v>
      </c>
    </row>
    <row r="92" spans="1:26" s="28" customFormat="1" outlineLevel="1" collapsed="1" x14ac:dyDescent="0.35">
      <c r="A92" s="27"/>
      <c r="B92" s="14" t="str">
        <f>CONCATENATE("     ","Telephone/Data Lines                              ")</f>
        <v xml:space="preserve">     Telephone/Data Lines                              </v>
      </c>
      <c r="C92" s="14"/>
      <c r="D92" s="1">
        <f>SUM(OSRRefD22_11x_0)</f>
        <v>227.45</v>
      </c>
      <c r="E92" s="1"/>
      <c r="F92" s="5">
        <f t="shared" ref="F92:F95" si="44">IF(D$12=0,0,D92/D$12)</f>
        <v>1.7605605185034559E-3</v>
      </c>
      <c r="G92" s="1"/>
      <c r="H92" s="1">
        <f>SUM(OSRRefH22_11x_0)</f>
        <v>250</v>
      </c>
      <c r="I92" s="1"/>
      <c r="J92" s="5">
        <f t="shared" ref="J92:J95" si="45">IF(H$12=0,0,H92/H$12)</f>
        <v>1.2912356091791357E-3</v>
      </c>
      <c r="K92" s="1"/>
      <c r="L92" s="1">
        <f t="shared" ref="L92:L95" si="46">+D92-H92</f>
        <v>-22.550000000000011</v>
      </c>
      <c r="M92" s="1"/>
      <c r="N92" s="5">
        <f t="shared" ref="N92:N95" si="47">IF(H92=0,0,L92/H92)</f>
        <v>-9.0200000000000044E-2</v>
      </c>
      <c r="O92" s="14"/>
      <c r="P92" s="1">
        <f>SUM(OSRRefP22_11x_0)</f>
        <v>2080.75</v>
      </c>
      <c r="Q92" s="1"/>
      <c r="R92" s="5">
        <f t="shared" ref="R92:R95" si="48">IF(P$12=0,0,P92/P$12)</f>
        <v>1.4814497535994673E-3</v>
      </c>
      <c r="S92" s="1"/>
      <c r="T92" s="1">
        <f>SUM(OSRRefT22_11x_0)</f>
        <v>1760</v>
      </c>
      <c r="U92" s="1"/>
      <c r="V92" s="5">
        <f t="shared" ref="V92:V95" si="49">IF(T$12=0,0,T92/T$12)</f>
        <v>1.0873211557482531E-3</v>
      </c>
      <c r="W92" s="1"/>
      <c r="X92" s="1">
        <f t="shared" ref="X92:X95" si="50">+P92-T92</f>
        <v>320.75</v>
      </c>
      <c r="Y92" s="1"/>
      <c r="Z92" s="5">
        <f t="shared" ref="Z92:Z95" si="51">IF(T92=0,0,X92/T92)</f>
        <v>0.18224431818181819</v>
      </c>
    </row>
    <row r="93" spans="1:26" s="24" customFormat="1" hidden="1" outlineLevel="2" x14ac:dyDescent="0.35">
      <c r="A93" s="29"/>
      <c r="B93" s="11" t="str">
        <f>CONCATENATE("          ", "6309", " - ", "TELEPHONE")</f>
        <v xml:space="preserve">          6309 - TELEPHONE</v>
      </c>
      <c r="C93" s="11"/>
      <c r="D93" s="7">
        <v>227.45</v>
      </c>
      <c r="E93" s="2"/>
      <c r="F93" s="6">
        <f t="shared" si="44"/>
        <v>1.7605605185034559E-3</v>
      </c>
      <c r="G93" s="2"/>
      <c r="H93" s="7">
        <v>250</v>
      </c>
      <c r="I93" s="2"/>
      <c r="J93" s="6">
        <f t="shared" si="45"/>
        <v>1.2912356091791357E-3</v>
      </c>
      <c r="K93" s="2"/>
      <c r="L93" s="7">
        <f t="shared" si="46"/>
        <v>-22.550000000000011</v>
      </c>
      <c r="M93" s="2"/>
      <c r="N93" s="6">
        <f t="shared" si="47"/>
        <v>-9.0200000000000044E-2</v>
      </c>
      <c r="O93" s="11"/>
      <c r="P93" s="7">
        <v>2080.75</v>
      </c>
      <c r="Q93" s="2"/>
      <c r="R93" s="6">
        <f t="shared" si="48"/>
        <v>1.4814497535994673E-3</v>
      </c>
      <c r="S93" s="2"/>
      <c r="T93" s="7">
        <v>1760</v>
      </c>
      <c r="U93" s="2"/>
      <c r="V93" s="6">
        <f t="shared" si="49"/>
        <v>1.0873211557482531E-3</v>
      </c>
      <c r="W93" s="2"/>
      <c r="X93" s="7">
        <f t="shared" si="50"/>
        <v>320.75</v>
      </c>
      <c r="Y93" s="2"/>
      <c r="Z93" s="6">
        <f t="shared" si="51"/>
        <v>0.18224431818181819</v>
      </c>
    </row>
    <row r="94" spans="1:26" s="28" customFormat="1" outlineLevel="1" collapsed="1" x14ac:dyDescent="0.35">
      <c r="A94" s="27"/>
      <c r="B94" s="14" t="str">
        <f>CONCATENATE("     ","Training                                          ")</f>
        <v xml:space="preserve">     Training                                          </v>
      </c>
      <c r="C94" s="14"/>
      <c r="D94" s="1">
        <f>SUM(OSRRefD22_12x_0)</f>
        <v>0</v>
      </c>
      <c r="E94" s="1"/>
      <c r="F94" s="5">
        <f t="shared" si="44"/>
        <v>0</v>
      </c>
      <c r="G94" s="1"/>
      <c r="H94" s="1">
        <f>SUM(OSRRefH22_12x_0)</f>
        <v>1500</v>
      </c>
      <c r="I94" s="1"/>
      <c r="J94" s="5">
        <f t="shared" si="45"/>
        <v>7.7474136550748146E-3</v>
      </c>
      <c r="K94" s="1"/>
      <c r="L94" s="1">
        <f t="shared" si="46"/>
        <v>-1500</v>
      </c>
      <c r="M94" s="1"/>
      <c r="N94" s="5">
        <f t="shared" si="47"/>
        <v>-1</v>
      </c>
      <c r="O94" s="14"/>
      <c r="P94" s="1">
        <f>SUM(OSRRefP22_12x_0)</f>
        <v>100</v>
      </c>
      <c r="Q94" s="1"/>
      <c r="R94" s="5">
        <f t="shared" si="48"/>
        <v>7.1197873535959011E-5</v>
      </c>
      <c r="S94" s="1"/>
      <c r="T94" s="1">
        <f>SUM(OSRRefT22_12x_0)</f>
        <v>1500</v>
      </c>
      <c r="U94" s="1"/>
      <c r="V94" s="5">
        <f t="shared" si="49"/>
        <v>9.2669416683089745E-4</v>
      </c>
      <c r="W94" s="1"/>
      <c r="X94" s="1">
        <f t="shared" si="50"/>
        <v>-1400</v>
      </c>
      <c r="Y94" s="1"/>
      <c r="Z94" s="5">
        <f t="shared" si="51"/>
        <v>-0.93333333333333335</v>
      </c>
    </row>
    <row r="95" spans="1:26" s="24" customFormat="1" hidden="1" outlineLevel="2" x14ac:dyDescent="0.35">
      <c r="A95" s="29"/>
      <c r="B95" s="11" t="str">
        <f>CONCATENATE("          ", "6376", " - ", "TRAINING")</f>
        <v xml:space="preserve">          6376 - TRAINING</v>
      </c>
      <c r="C95" s="11"/>
      <c r="D95" s="7"/>
      <c r="E95" s="2"/>
      <c r="F95" s="6">
        <f t="shared" si="44"/>
        <v>0</v>
      </c>
      <c r="G95" s="2"/>
      <c r="H95" s="7">
        <v>1500</v>
      </c>
      <c r="I95" s="2"/>
      <c r="J95" s="6">
        <f t="shared" si="45"/>
        <v>7.7474136550748146E-3</v>
      </c>
      <c r="K95" s="2"/>
      <c r="L95" s="7">
        <f t="shared" si="46"/>
        <v>-1500</v>
      </c>
      <c r="M95" s="2"/>
      <c r="N95" s="6">
        <f t="shared" si="47"/>
        <v>-1</v>
      </c>
      <c r="O95" s="11"/>
      <c r="P95" s="7">
        <v>100</v>
      </c>
      <c r="Q95" s="2"/>
      <c r="R95" s="6">
        <f t="shared" si="48"/>
        <v>7.1197873535959011E-5</v>
      </c>
      <c r="S95" s="2"/>
      <c r="T95" s="7">
        <v>1500</v>
      </c>
      <c r="U95" s="2"/>
      <c r="V95" s="6">
        <f t="shared" si="49"/>
        <v>9.2669416683089745E-4</v>
      </c>
      <c r="W95" s="2"/>
      <c r="X95" s="7">
        <f t="shared" si="50"/>
        <v>-1400</v>
      </c>
      <c r="Y95" s="2"/>
      <c r="Z95" s="6">
        <f t="shared" si="51"/>
        <v>-0.93333333333333335</v>
      </c>
    </row>
    <row r="96" spans="1:26" s="55" customFormat="1" x14ac:dyDescent="0.3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35">
      <c r="A97" s="10"/>
      <c r="B97" s="25" t="s">
        <v>0</v>
      </c>
      <c r="C97" s="10"/>
      <c r="D97" s="4">
        <f>SUM(OSRRefD25x_0)</f>
        <v>285.94</v>
      </c>
      <c r="E97" s="4"/>
      <c r="F97" s="12">
        <f t="shared" ref="F97:F99" si="52">IF(D$12=0,0,D97/D$12)</f>
        <v>2.2132981959150505E-3</v>
      </c>
      <c r="G97" s="4"/>
      <c r="H97" s="4">
        <f>SUM(OSRRefH25x_0)</f>
        <v>1540</v>
      </c>
      <c r="I97" s="4"/>
      <c r="J97" s="12">
        <f t="shared" ref="J97:J99" si="53">IF(H$12=0,0,H97/H$12)</f>
        <v>7.9540113525434757E-3</v>
      </c>
      <c r="K97" s="4"/>
      <c r="L97" s="4">
        <f t="shared" ref="L97:L99" si="54">+D97-H97</f>
        <v>-1254.06</v>
      </c>
      <c r="M97" s="4"/>
      <c r="N97" s="12">
        <f t="shared" ref="N97:N99" si="55">IF(H97=0,0,L97/H97)</f>
        <v>-0.81432467532467534</v>
      </c>
      <c r="O97" s="10"/>
      <c r="P97" s="4">
        <f>SUM(OSRRefP25x_0)</f>
        <v>629.04</v>
      </c>
      <c r="Q97" s="4"/>
      <c r="R97" s="12">
        <f t="shared" ref="R97:R99" si="56">IF(P$12=0,0,P97/P$12)</f>
        <v>4.4786310369059653E-4</v>
      </c>
      <c r="S97" s="4"/>
      <c r="T97" s="4">
        <f>SUM(OSRRefT25x_0)</f>
        <v>12874</v>
      </c>
      <c r="U97" s="4"/>
      <c r="V97" s="12">
        <f t="shared" ref="V97:V99" si="57">IF(T$12=0,0,T97/T$12)</f>
        <v>7.9535071358539829E-3</v>
      </c>
      <c r="W97" s="4"/>
      <c r="X97" s="4">
        <f t="shared" ref="X97:X99" si="58">+P97-T97</f>
        <v>-12244.96</v>
      </c>
      <c r="Y97" s="4"/>
      <c r="Z97" s="12">
        <f t="shared" ref="Z97:Z99" si="59">IF(T97=0,0,X97/T97)</f>
        <v>-0.95113872922168707</v>
      </c>
    </row>
    <row r="98" spans="1:26" s="24" customFormat="1" hidden="1" outlineLevel="1" x14ac:dyDescent="0.35">
      <c r="A98" s="51"/>
      <c r="B98" s="11" t="str">
        <f>CONCATENATE("          ", "4187", " - ", "NON-TAXABLE SALES-COMPUTER REP")</f>
        <v xml:space="preserve">          4187 - NON-TAXABLE SALES-COMPUTER REP</v>
      </c>
      <c r="C98" s="11"/>
      <c r="D98" s="2">
        <f>--651.37</f>
        <v>651.37</v>
      </c>
      <c r="E98" s="2"/>
      <c r="F98" s="22">
        <f t="shared" si="52"/>
        <v>5.0418830729285387E-3</v>
      </c>
      <c r="G98" s="2"/>
      <c r="H98" s="2"/>
      <c r="I98" s="2"/>
      <c r="J98" s="22">
        <f t="shared" si="53"/>
        <v>0</v>
      </c>
      <c r="K98" s="2"/>
      <c r="L98" s="2">
        <f t="shared" si="54"/>
        <v>651.37</v>
      </c>
      <c r="M98" s="2"/>
      <c r="N98" s="22">
        <f t="shared" si="55"/>
        <v>0</v>
      </c>
      <c r="O98" s="11"/>
      <c r="P98" s="2">
        <f>--1685.87</f>
        <v>1685.87</v>
      </c>
      <c r="Q98" s="2"/>
      <c r="R98" s="22">
        <f t="shared" si="56"/>
        <v>1.200303590580672E-3</v>
      </c>
      <c r="S98" s="2"/>
      <c r="T98" s="2"/>
      <c r="U98" s="2"/>
      <c r="V98" s="22">
        <f t="shared" si="57"/>
        <v>0</v>
      </c>
      <c r="W98" s="2"/>
      <c r="X98" s="2">
        <f t="shared" si="58"/>
        <v>1685.87</v>
      </c>
      <c r="Y98" s="2"/>
      <c r="Z98" s="22">
        <f t="shared" si="59"/>
        <v>0</v>
      </c>
    </row>
    <row r="99" spans="1:26" s="24" customFormat="1" hidden="1" outlineLevel="1" x14ac:dyDescent="0.35">
      <c r="A99" s="51"/>
      <c r="B99" s="11" t="str">
        <f>CONCATENATE("          ", "9150", " - ", "MISC. INCOME")</f>
        <v xml:space="preserve">          9150 - MISC. INCOME</v>
      </c>
      <c r="C99" s="11"/>
      <c r="D99" s="2">
        <f>-365.43</f>
        <v>-365.43</v>
      </c>
      <c r="E99" s="2"/>
      <c r="F99" s="22">
        <f t="shared" si="52"/>
        <v>-2.8285848770134886E-3</v>
      </c>
      <c r="G99" s="2"/>
      <c r="H99" s="2">
        <v>1540</v>
      </c>
      <c r="I99" s="2"/>
      <c r="J99" s="22">
        <f t="shared" si="53"/>
        <v>7.9540113525434757E-3</v>
      </c>
      <c r="K99" s="2"/>
      <c r="L99" s="2">
        <f t="shared" si="54"/>
        <v>-1905.43</v>
      </c>
      <c r="M99" s="2"/>
      <c r="N99" s="22">
        <f t="shared" si="55"/>
        <v>-1.2372922077922079</v>
      </c>
      <c r="O99" s="11"/>
      <c r="P99" s="2">
        <f>-1056.83</f>
        <v>-1056.83</v>
      </c>
      <c r="Q99" s="2"/>
      <c r="R99" s="22">
        <f t="shared" si="56"/>
        <v>-7.5244048689007562E-4</v>
      </c>
      <c r="S99" s="2"/>
      <c r="T99" s="2">
        <v>12874</v>
      </c>
      <c r="U99" s="2"/>
      <c r="V99" s="22">
        <f t="shared" si="57"/>
        <v>7.9535071358539829E-3</v>
      </c>
      <c r="W99" s="2"/>
      <c r="X99" s="2">
        <f t="shared" si="58"/>
        <v>-13930.83</v>
      </c>
      <c r="Y99" s="2"/>
      <c r="Z99" s="22">
        <f t="shared" si="59"/>
        <v>-1.0820902594376263</v>
      </c>
    </row>
    <row r="100" spans="1:26" x14ac:dyDescent="0.3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35">
      <c r="A101" s="10"/>
      <c r="B101" s="26" t="s">
        <v>3</v>
      </c>
      <c r="C101" s="26"/>
      <c r="D101" s="19">
        <f>+D46-D48+D97</f>
        <v>4650.4900000000098</v>
      </c>
      <c r="E101" s="13"/>
      <c r="F101" s="21">
        <f>IF(D$12=0,0,D101/D$12)</f>
        <v>3.5996786483601474E-2</v>
      </c>
      <c r="G101" s="13"/>
      <c r="H101" s="19">
        <f>+H46-H48+H97</f>
        <v>19646.686961842308</v>
      </c>
      <c r="I101" s="13"/>
      <c r="J101" s="21">
        <f>IF(H$12=0,0,H101/H$12)</f>
        <v>0.10147400723010494</v>
      </c>
      <c r="K101" s="16"/>
      <c r="L101" s="19">
        <f>+D101-H101</f>
        <v>-14996.196961842299</v>
      </c>
      <c r="M101" s="16"/>
      <c r="N101" s="21">
        <f>IF(H101=0,0,L101/H101)</f>
        <v>-0.76329393301617898</v>
      </c>
      <c r="O101" s="25"/>
      <c r="P101" s="19">
        <f>+P46-P48+P97</f>
        <v>-15855.159999999996</v>
      </c>
      <c r="Q101" s="13"/>
      <c r="R101" s="21">
        <f>IF(P$12=0,0,P101/P$12)</f>
        <v>-1.1288536765723957E-2</v>
      </c>
      <c r="S101" s="13"/>
      <c r="T101" s="19">
        <f>+T46-T48+T97</f>
        <v>228850.78107334231</v>
      </c>
      <c r="U101" s="13"/>
      <c r="V101" s="21">
        <f>IF(T$12=0,0,T101/T$12)</f>
        <v>0.14138312259690738</v>
      </c>
      <c r="W101" s="16"/>
      <c r="X101" s="19">
        <f>+P101-T101</f>
        <v>-244705.94107334231</v>
      </c>
      <c r="Y101" s="16"/>
      <c r="Z101" s="21">
        <f>IF(T101=0,0,X101/T101)</f>
        <v>-1.0692816512385803</v>
      </c>
    </row>
    <row r="102" spans="1:26" x14ac:dyDescent="0.3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35">
      <c r="A103" s="52"/>
      <c r="B103" s="10" t="s">
        <v>14</v>
      </c>
      <c r="C103" s="10"/>
      <c r="D103" s="4">
        <v>18994.759999999998</v>
      </c>
      <c r="E103" s="4"/>
      <c r="F103" s="12">
        <f>IF(D$12=0,0,D103/D$12)</f>
        <v>0.14702758634622423</v>
      </c>
      <c r="G103" s="4"/>
      <c r="H103" s="4">
        <v>10587</v>
      </c>
      <c r="I103" s="4"/>
      <c r="J103" s="12">
        <f>IF(H$12=0,0,H103/H$12)</f>
        <v>5.4681245577518037E-2</v>
      </c>
      <c r="K103" s="4"/>
      <c r="L103" s="4">
        <f>+D103-H103</f>
        <v>8407.7599999999984</v>
      </c>
      <c r="M103" s="4"/>
      <c r="N103" s="12">
        <f>IF(H103=0,0,L103/H103)</f>
        <v>0.79415887409086605</v>
      </c>
      <c r="O103" s="10"/>
      <c r="P103" s="4">
        <v>254960.5</v>
      </c>
      <c r="Q103" s="4"/>
      <c r="R103" s="12">
        <f>IF(P$12=0,0,P103/P$12)</f>
        <v>0.18152645435664877</v>
      </c>
      <c r="S103" s="4"/>
      <c r="T103" s="4">
        <v>280905</v>
      </c>
      <c r="U103" s="4"/>
      <c r="V103" s="12">
        <f>IF(T$12=0,0,T103/T$12)</f>
        <v>0.17354201662242216</v>
      </c>
      <c r="W103" s="4"/>
      <c r="X103" s="4">
        <f>+P103-T103</f>
        <v>-25944.5</v>
      </c>
      <c r="Y103" s="4"/>
      <c r="Z103" s="12">
        <f>IF(T103=0,0,X103/T103)</f>
        <v>-9.2360406543137361E-2</v>
      </c>
    </row>
    <row r="104" spans="1:26" x14ac:dyDescent="0.3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" thickBot="1" x14ac:dyDescent="0.4">
      <c r="A105" s="10"/>
      <c r="B105" s="26" t="s">
        <v>4</v>
      </c>
      <c r="C105" s="26"/>
      <c r="D105" s="33">
        <f>+D101-D103</f>
        <v>-14344.26999999999</v>
      </c>
      <c r="E105" s="13"/>
      <c r="F105" s="31">
        <f>IF(D$12=0,0,D105/D$12)</f>
        <v>-0.11103079986262278</v>
      </c>
      <c r="G105" s="13"/>
      <c r="H105" s="33">
        <f>+H101-H103</f>
        <v>9059.6869618423079</v>
      </c>
      <c r="I105" s="13"/>
      <c r="J105" s="31">
        <f>IF(H$12=0,0,H105/H$12)</f>
        <v>4.6792761652586903E-2</v>
      </c>
      <c r="K105" s="16"/>
      <c r="L105" s="33">
        <f>D105-H105</f>
        <v>-23403.956961842297</v>
      </c>
      <c r="M105" s="16"/>
      <c r="N105" s="31">
        <f>IF(H105=0,0,L105/H105)</f>
        <v>-2.5833074653037515</v>
      </c>
      <c r="O105" s="25"/>
      <c r="P105" s="33">
        <f>+P101-P103</f>
        <v>-270815.65999999997</v>
      </c>
      <c r="Q105" s="13"/>
      <c r="R105" s="31">
        <f>IF(P$12=0,0,P105/P$12)</f>
        <v>-0.19281499112237271</v>
      </c>
      <c r="S105" s="13"/>
      <c r="T105" s="33">
        <f>+T101-T103</f>
        <v>-52054.21892665769</v>
      </c>
      <c r="U105" s="13"/>
      <c r="V105" s="31">
        <f>IF(T$12=0,0,T105/T$12)</f>
        <v>-3.2158894025514785E-2</v>
      </c>
      <c r="W105" s="16"/>
      <c r="X105" s="33">
        <f>P105-T105</f>
        <v>-218761.44107334228</v>
      </c>
      <c r="Y105" s="16"/>
      <c r="Z105" s="31">
        <f>IF(T105=0,0,X105/T105)</f>
        <v>4.2025688903634961</v>
      </c>
    </row>
    <row r="106" spans="1:26" ht="15" thickTop="1" x14ac:dyDescent="0.3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3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" thickBot="1" x14ac:dyDescent="0.4">
      <c r="A108" s="10"/>
      <c r="B108" s="26" t="s">
        <v>5</v>
      </c>
      <c r="C108" s="26"/>
      <c r="D108" s="34">
        <f>SUM(D105:D107)</f>
        <v>-14344.26999999999</v>
      </c>
      <c r="E108" s="13"/>
      <c r="F108" s="32">
        <f>IF(D$12=0,0,D108/D$12)</f>
        <v>-0.11103079986262278</v>
      </c>
      <c r="G108" s="13"/>
      <c r="H108" s="34">
        <f>SUM(H105:H107)</f>
        <v>9059.6869618423079</v>
      </c>
      <c r="I108" s="13"/>
      <c r="J108" s="32">
        <f>IF(H$12=0,0,H108/H$12)</f>
        <v>4.6792761652586903E-2</v>
      </c>
      <c r="K108" s="16"/>
      <c r="L108" s="34">
        <f>+D108-H108</f>
        <v>-23403.956961842297</v>
      </c>
      <c r="M108" s="16"/>
      <c r="N108" s="32">
        <f>IF(H108=0,0,L108/H108)</f>
        <v>-2.5833074653037515</v>
      </c>
      <c r="O108" s="25"/>
      <c r="P108" s="34">
        <f>SUM(P105:P107)</f>
        <v>-270815.65999999997</v>
      </c>
      <c r="Q108" s="13"/>
      <c r="R108" s="32">
        <f>IF(P$12=0,0,P108/P$12)</f>
        <v>-0.19281499112237271</v>
      </c>
      <c r="S108" s="13"/>
      <c r="T108" s="34">
        <f>SUM(T105:T107)</f>
        <v>-52054.21892665769</v>
      </c>
      <c r="U108" s="13"/>
      <c r="V108" s="32">
        <f>IF(T$12=0,0,T108/T$12)</f>
        <v>-3.2158894025514785E-2</v>
      </c>
      <c r="W108" s="16"/>
      <c r="X108" s="34">
        <f>+P108-T108</f>
        <v>-218761.44107334228</v>
      </c>
      <c r="Y108" s="16"/>
      <c r="Z108" s="32">
        <f>IF(T108=0,0,X108/T108)</f>
        <v>4.2025688903634961</v>
      </c>
    </row>
    <row r="109" spans="1:26" ht="15" thickTop="1" x14ac:dyDescent="0.35">
      <c r="A109" s="9"/>
      <c r="C109" s="9"/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35">
      <c r="A110" s="9"/>
      <c r="B110" s="60">
        <v>44238.490513888886</v>
      </c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35">
      <c r="A111" s="9"/>
      <c r="B111" s="59" t="s">
        <v>314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35">
      <c r="A112" s="9"/>
      <c r="B112" s="58"/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4:24" x14ac:dyDescent="0.35"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307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56238</v>
      </c>
      <c r="I12" s="4"/>
      <c r="J12" s="12"/>
      <c r="K12" s="4"/>
      <c r="L12" s="4">
        <f t="shared" ref="L12:L17" si="0">+D12-H12</f>
        <v>-56238</v>
      </c>
      <c r="M12" s="4"/>
      <c r="N12" s="12">
        <f t="shared" ref="N12:N17" si="1">IF(H12=0,0,L12/H12)</f>
        <v>-1</v>
      </c>
      <c r="O12" s="10"/>
      <c r="P12" s="4">
        <f>SUM(OSRRefP13x_0)</f>
        <v>2586.4700000000003</v>
      </c>
      <c r="Q12" s="4"/>
      <c r="R12" s="12"/>
      <c r="S12" s="4"/>
      <c r="T12" s="4">
        <f>SUM(OSRRefT13x_0)</f>
        <v>242549</v>
      </c>
      <c r="U12" s="4"/>
      <c r="V12" s="12"/>
      <c r="W12" s="4"/>
      <c r="X12" s="4">
        <f t="shared" ref="X12:X17" si="2">+P12-T12</f>
        <v>-239962.53</v>
      </c>
      <c r="Y12" s="4"/>
      <c r="Z12" s="12">
        <f t="shared" ref="Z12:Z17" si="3">IF(T12=0,0,X12/T12)</f>
        <v>-0.98933629905709775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7" si="4">0</f>
        <v>0</v>
      </c>
      <c r="E13" s="2"/>
      <c r="F13" s="22"/>
      <c r="G13" s="2"/>
      <c r="H13" s="2">
        <v>4390</v>
      </c>
      <c r="I13" s="2"/>
      <c r="J13" s="22"/>
      <c r="K13" s="2"/>
      <c r="L13" s="2">
        <f t="shared" si="0"/>
        <v>-4390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20737</v>
      </c>
      <c r="U13" s="2"/>
      <c r="V13" s="22"/>
      <c r="W13" s="2"/>
      <c r="X13" s="2">
        <f t="shared" si="2"/>
        <v>-20737</v>
      </c>
      <c r="Y13" s="2"/>
      <c r="Z13" s="22">
        <f t="shared" si="3"/>
        <v>-1</v>
      </c>
    </row>
    <row r="14" spans="1:26" s="24" customFormat="1" hidden="1" outlineLevel="1" x14ac:dyDescent="0.35">
      <c r="A14" s="51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--444.59</f>
        <v>444.59</v>
      </c>
      <c r="Q14" s="2"/>
      <c r="R14" s="22"/>
      <c r="S14" s="2"/>
      <c r="T14" s="2"/>
      <c r="U14" s="2"/>
      <c r="V14" s="22"/>
      <c r="W14" s="2"/>
      <c r="X14" s="2">
        <f t="shared" si="2"/>
        <v>444.59</v>
      </c>
      <c r="Y14" s="2"/>
      <c r="Z14" s="22">
        <f t="shared" si="3"/>
        <v>0</v>
      </c>
    </row>
    <row r="15" spans="1:26" s="24" customFormat="1" hidden="1" outlineLevel="1" x14ac:dyDescent="0.3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22"/>
      <c r="G15" s="2"/>
      <c r="H15" s="2">
        <v>51848</v>
      </c>
      <c r="I15" s="2"/>
      <c r="J15" s="22"/>
      <c r="K15" s="2"/>
      <c r="L15" s="2">
        <f t="shared" si="0"/>
        <v>-51848</v>
      </c>
      <c r="M15" s="2"/>
      <c r="N15" s="22">
        <f t="shared" si="1"/>
        <v>-1</v>
      </c>
      <c r="O15" s="11"/>
      <c r="P15" s="2">
        <f>0</f>
        <v>0</v>
      </c>
      <c r="Q15" s="2"/>
      <c r="R15" s="22"/>
      <c r="S15" s="2"/>
      <c r="T15" s="2">
        <v>221812</v>
      </c>
      <c r="U15" s="2"/>
      <c r="V15" s="22"/>
      <c r="W15" s="2"/>
      <c r="X15" s="2">
        <f t="shared" si="2"/>
        <v>-221812</v>
      </c>
      <c r="Y15" s="2"/>
      <c r="Z15" s="22">
        <f t="shared" si="3"/>
        <v>-1</v>
      </c>
    </row>
    <row r="16" spans="1:26" s="24" customFormat="1" hidden="1" outlineLevel="1" x14ac:dyDescent="0.35">
      <c r="A16" s="51"/>
      <c r="B16" s="11" t="str">
        <f>CONCATENATE("          ", "4132", " - ", "NON-TAXABLE SALES-JUICE")</f>
        <v xml:space="preserve">          4132 - NON-TAXABLE SALES-JUICE</v>
      </c>
      <c r="C16" s="11"/>
      <c r="D16" s="2">
        <f t="shared" si="4"/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--2031.88</f>
        <v>2031.88</v>
      </c>
      <c r="Q16" s="2"/>
      <c r="R16" s="22"/>
      <c r="S16" s="2"/>
      <c r="T16" s="2"/>
      <c r="U16" s="2"/>
      <c r="V16" s="22"/>
      <c r="W16" s="2"/>
      <c r="X16" s="2">
        <f t="shared" si="2"/>
        <v>2031.88</v>
      </c>
      <c r="Y16" s="2"/>
      <c r="Z16" s="22">
        <f t="shared" si="3"/>
        <v>0</v>
      </c>
    </row>
    <row r="17" spans="1:26" s="24" customFormat="1" hidden="1" outlineLevel="1" x14ac:dyDescent="0.35">
      <c r="A17" s="51"/>
      <c r="B17" s="11" t="str">
        <f>CONCATENATE("          ", "4153", " - ", "NON-TAXABLE SALES-FOOD")</f>
        <v xml:space="preserve">          4153 - NON-TAXABLE SALES-FOOD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--110</f>
        <v>110</v>
      </c>
      <c r="Q17" s="2"/>
      <c r="R17" s="22"/>
      <c r="S17" s="2"/>
      <c r="T17" s="2"/>
      <c r="U17" s="2"/>
      <c r="V17" s="22"/>
      <c r="W17" s="2"/>
      <c r="X17" s="2">
        <f t="shared" si="2"/>
        <v>110</v>
      </c>
      <c r="Y17" s="2"/>
      <c r="Z17" s="22">
        <f t="shared" si="3"/>
        <v>0</v>
      </c>
    </row>
    <row r="18" spans="1:26" x14ac:dyDescent="0.3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5">
      <c r="A19" s="10"/>
      <c r="B19" s="25" t="s">
        <v>8</v>
      </c>
      <c r="C19" s="10"/>
      <c r="D19" s="4">
        <f>SUM(OSRRefD16x_0)</f>
        <v>-257.75</v>
      </c>
      <c r="E19" s="4"/>
      <c r="F19" s="12">
        <f t="shared" ref="F19:F22" si="5">IF(D$12=0,0,D19/D$12)</f>
        <v>0</v>
      </c>
      <c r="G19" s="4"/>
      <c r="H19" s="4">
        <f>SUM(OSRRefH16x_0)</f>
        <v>27295</v>
      </c>
      <c r="I19" s="4"/>
      <c r="J19" s="12">
        <f t="shared" ref="J19:J22" si="6">IF(H$12=0,0,H19/H$12)</f>
        <v>0.48534798534798534</v>
      </c>
      <c r="K19" s="4"/>
      <c r="L19" s="4">
        <f t="shared" ref="L19:L22" si="7">+D19-H19</f>
        <v>-27552.75</v>
      </c>
      <c r="M19" s="4"/>
      <c r="N19" s="12">
        <f t="shared" ref="N19:N22" si="8">IF(H19=0,0,L19/H19)</f>
        <v>-1.0094431214508153</v>
      </c>
      <c r="O19" s="10"/>
      <c r="P19" s="4">
        <f>SUM(OSRRefP16x_0)</f>
        <v>8874.9599999999991</v>
      </c>
      <c r="Q19" s="4"/>
      <c r="R19" s="12">
        <f t="shared" ref="R19:R22" si="9">IF(P$12=0,0,P19/P$12)</f>
        <v>3.4313021221974345</v>
      </c>
      <c r="S19" s="4"/>
      <c r="T19" s="4">
        <f>SUM(OSRRefT16x_0)</f>
        <v>107258</v>
      </c>
      <c r="U19" s="4"/>
      <c r="V19" s="12">
        <f t="shared" ref="V19:V22" si="10">IF(T$12=0,0,T19/T$12)</f>
        <v>0.44221167681581863</v>
      </c>
      <c r="W19" s="4"/>
      <c r="X19" s="4">
        <f t="shared" ref="X19:X22" si="11">+P19-T19</f>
        <v>-98383.040000000008</v>
      </c>
      <c r="Y19" s="4"/>
      <c r="Z19" s="12">
        <f t="shared" ref="Z19:Z22" si="12">IF(T19=0,0,X19/T19)</f>
        <v>-0.91725596225922545</v>
      </c>
    </row>
    <row r="20" spans="1:26" s="24" customFormat="1" hidden="1" outlineLevel="1" x14ac:dyDescent="0.35">
      <c r="A20" s="51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22">
        <f t="shared" si="5"/>
        <v>0</v>
      </c>
      <c r="G20" s="2"/>
      <c r="H20" s="2">
        <v>27295</v>
      </c>
      <c r="I20" s="2"/>
      <c r="J20" s="22">
        <f t="shared" si="6"/>
        <v>0.48534798534798534</v>
      </c>
      <c r="K20" s="2"/>
      <c r="L20" s="2">
        <f t="shared" si="7"/>
        <v>-27295</v>
      </c>
      <c r="M20" s="2"/>
      <c r="N20" s="22">
        <f t="shared" si="8"/>
        <v>-1</v>
      </c>
      <c r="O20" s="11"/>
      <c r="P20" s="2"/>
      <c r="Q20" s="2"/>
      <c r="R20" s="22">
        <f t="shared" si="9"/>
        <v>0</v>
      </c>
      <c r="S20" s="2"/>
      <c r="T20" s="2">
        <v>107258</v>
      </c>
      <c r="U20" s="2"/>
      <c r="V20" s="22">
        <f t="shared" si="10"/>
        <v>0.44221167681581863</v>
      </c>
      <c r="W20" s="2"/>
      <c r="X20" s="2">
        <f t="shared" si="11"/>
        <v>-107258</v>
      </c>
      <c r="Y20" s="2"/>
      <c r="Z20" s="22">
        <f t="shared" si="12"/>
        <v>-1</v>
      </c>
    </row>
    <row r="21" spans="1:26" s="24" customFormat="1" hidden="1" outlineLevel="1" x14ac:dyDescent="0.35">
      <c r="A21" s="51"/>
      <c r="B21" s="11" t="str">
        <f>CONCATENATE("          ", "5053", " - ", "PURCHASES @ COST-FOOD")</f>
        <v xml:space="preserve">          5053 - PURCHASES @ COST-FOOD</v>
      </c>
      <c r="C21" s="11"/>
      <c r="D21" s="2">
        <v>-257.75</v>
      </c>
      <c r="E21" s="2"/>
      <c r="F21" s="22">
        <f t="shared" si="5"/>
        <v>0</v>
      </c>
      <c r="G21" s="2"/>
      <c r="H21" s="2"/>
      <c r="I21" s="2"/>
      <c r="J21" s="22">
        <f t="shared" si="6"/>
        <v>0</v>
      </c>
      <c r="K21" s="2"/>
      <c r="L21" s="2">
        <f t="shared" si="7"/>
        <v>-257.75</v>
      </c>
      <c r="M21" s="2"/>
      <c r="N21" s="22">
        <f t="shared" si="8"/>
        <v>0</v>
      </c>
      <c r="O21" s="11"/>
      <c r="P21" s="2">
        <v>-2822.95</v>
      </c>
      <c r="Q21" s="2"/>
      <c r="R21" s="22">
        <f t="shared" si="9"/>
        <v>-1.0914296318921153</v>
      </c>
      <c r="S21" s="2"/>
      <c r="T21" s="2"/>
      <c r="U21" s="2"/>
      <c r="V21" s="22">
        <f t="shared" si="10"/>
        <v>0</v>
      </c>
      <c r="W21" s="2"/>
      <c r="X21" s="2">
        <f t="shared" si="11"/>
        <v>-2822.95</v>
      </c>
      <c r="Y21" s="2"/>
      <c r="Z21" s="22">
        <f t="shared" si="12"/>
        <v>0</v>
      </c>
    </row>
    <row r="22" spans="1:26" s="24" customFormat="1" hidden="1" outlineLevel="1" x14ac:dyDescent="0.35">
      <c r="A22" s="51"/>
      <c r="B22" s="11" t="str">
        <f>CONCATENATE("          ", "5059", " - ", "PURCHASES @ COST-FOOD")</f>
        <v xml:space="preserve">          5059 - PURCHASES @ COST-FOOD</v>
      </c>
      <c r="C22" s="11"/>
      <c r="D22" s="2"/>
      <c r="E22" s="2"/>
      <c r="F22" s="22">
        <f t="shared" si="5"/>
        <v>0</v>
      </c>
      <c r="G22" s="2"/>
      <c r="H22" s="2"/>
      <c r="I22" s="2"/>
      <c r="J22" s="22">
        <f t="shared" si="6"/>
        <v>0</v>
      </c>
      <c r="K22" s="2"/>
      <c r="L22" s="2">
        <f t="shared" si="7"/>
        <v>0</v>
      </c>
      <c r="M22" s="2"/>
      <c r="N22" s="22">
        <f t="shared" si="8"/>
        <v>0</v>
      </c>
      <c r="O22" s="11"/>
      <c r="P22" s="2">
        <v>11697.91</v>
      </c>
      <c r="Q22" s="2"/>
      <c r="R22" s="22">
        <f t="shared" si="9"/>
        <v>4.5227317540895502</v>
      </c>
      <c r="S22" s="2"/>
      <c r="T22" s="2"/>
      <c r="U22" s="2"/>
      <c r="V22" s="22">
        <f t="shared" si="10"/>
        <v>0</v>
      </c>
      <c r="W22" s="2"/>
      <c r="X22" s="2">
        <f t="shared" si="11"/>
        <v>11697.91</v>
      </c>
      <c r="Y22" s="2"/>
      <c r="Z22" s="22">
        <f t="shared" si="12"/>
        <v>0</v>
      </c>
    </row>
    <row r="23" spans="1:26" x14ac:dyDescent="0.3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5">
      <c r="A24" s="10"/>
      <c r="B24" s="26" t="s">
        <v>6</v>
      </c>
      <c r="C24" s="26"/>
      <c r="D24" s="19">
        <f>D12-D19</f>
        <v>257.75</v>
      </c>
      <c r="E24" s="13"/>
      <c r="F24" s="21">
        <f>IF(D$12=0,0,D24/D$12)</f>
        <v>0</v>
      </c>
      <c r="G24" s="13"/>
      <c r="H24" s="19">
        <f>H12-H19</f>
        <v>28943</v>
      </c>
      <c r="I24" s="13"/>
      <c r="J24" s="21">
        <f>IF(H$12=0,0,H24/H$12)</f>
        <v>0.5146520146520146</v>
      </c>
      <c r="K24" s="16"/>
      <c r="L24" s="19">
        <f>+D24-H24</f>
        <v>-28685.25</v>
      </c>
      <c r="M24" s="16"/>
      <c r="N24" s="21">
        <f>IF(H24=0,0,L24/H24)</f>
        <v>-0.99109456517983618</v>
      </c>
      <c r="O24" s="25"/>
      <c r="P24" s="19">
        <f>P12-P19</f>
        <v>-6288.4899999999989</v>
      </c>
      <c r="Q24" s="13"/>
      <c r="R24" s="21">
        <f>IF(P$12=0,0,P24/P$12)</f>
        <v>-2.4313021221974345</v>
      </c>
      <c r="S24" s="13"/>
      <c r="T24" s="19">
        <f>T12-T19</f>
        <v>135291</v>
      </c>
      <c r="U24" s="13"/>
      <c r="V24" s="21">
        <f>IF(T$12=0,0,T24/T$12)</f>
        <v>0.55778832318418137</v>
      </c>
      <c r="W24" s="16"/>
      <c r="X24" s="19">
        <f>+P24-T24</f>
        <v>-141579.49</v>
      </c>
      <c r="Y24" s="16"/>
      <c r="Z24" s="21">
        <f>IF(T24=0,0,X24/T24)</f>
        <v>-1.0464812145671183</v>
      </c>
    </row>
    <row r="25" spans="1:26" x14ac:dyDescent="0.3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5">
      <c r="A26" s="10"/>
      <c r="B26" s="25" t="s">
        <v>9</v>
      </c>
      <c r="C26" s="10"/>
      <c r="D26" s="20">
        <f>SUM(OSRRefD22x_0)</f>
        <v>15948.990000000002</v>
      </c>
      <c r="E26" s="20"/>
      <c r="F26" s="30">
        <f t="shared" ref="F26:F36" si="13">IF(D$12=0,0,D26/D$12)</f>
        <v>0</v>
      </c>
      <c r="G26" s="20"/>
      <c r="H26" s="20">
        <f>SUM(OSRRefH22x_0)</f>
        <v>62380.294231799999</v>
      </c>
      <c r="I26" s="20"/>
      <c r="J26" s="30">
        <f t="shared" ref="J26:J36" si="14">IF(H$12=0,0,H26/H$12)</f>
        <v>1.1092196420889791</v>
      </c>
      <c r="K26" s="4"/>
      <c r="L26" s="20">
        <f t="shared" ref="L26:L36" si="15">+D26-H26</f>
        <v>-46431.304231799993</v>
      </c>
      <c r="M26" s="4"/>
      <c r="N26" s="30">
        <f t="shared" ref="N26:N36" si="16">IF(H26=0,0,L26/H26)</f>
        <v>-0.74432647045980771</v>
      </c>
      <c r="O26" s="10"/>
      <c r="P26" s="20">
        <f>SUM(OSRRefP22x_0)</f>
        <v>187959.88999999998</v>
      </c>
      <c r="Q26" s="20"/>
      <c r="R26" s="30">
        <f t="shared" ref="R26:R36" si="17">IF(P$12=0,0,P26/P$12)</f>
        <v>72.670431128139882</v>
      </c>
      <c r="S26" s="20"/>
      <c r="T26" s="20">
        <f>SUM(OSRRefT22x_0)</f>
        <v>363892.34043370001</v>
      </c>
      <c r="U26" s="20"/>
      <c r="V26" s="30">
        <f t="shared" ref="V26:V36" si="18">IF(T$12=0,0,T26/T$12)</f>
        <v>1.5002838207277704</v>
      </c>
      <c r="W26" s="4"/>
      <c r="X26" s="20">
        <f t="shared" ref="X26:X36" si="19">+P26-T26</f>
        <v>-175932.45043370003</v>
      </c>
      <c r="Y26" s="4"/>
      <c r="Z26" s="30">
        <f t="shared" ref="Z26:Z36" si="20">IF(T26=0,0,X26/T26)</f>
        <v>-0.48347390391349648</v>
      </c>
    </row>
    <row r="27" spans="1:26" s="28" customFormat="1" outlineLevel="1" collapsed="1" x14ac:dyDescent="0.35">
      <c r="A27" s="27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0</v>
      </c>
      <c r="E27" s="1"/>
      <c r="F27" s="5">
        <f t="shared" si="13"/>
        <v>0</v>
      </c>
      <c r="G27" s="1"/>
      <c r="H27" s="1">
        <f>SUM(OSRRefH22_0x_0)</f>
        <v>8485.4972318</v>
      </c>
      <c r="I27" s="1"/>
      <c r="J27" s="5">
        <f t="shared" si="14"/>
        <v>0.15088547302180019</v>
      </c>
      <c r="K27" s="1"/>
      <c r="L27" s="1">
        <f t="shared" si="15"/>
        <v>-8485.4972318</v>
      </c>
      <c r="M27" s="1"/>
      <c r="N27" s="5">
        <f t="shared" si="16"/>
        <v>-1</v>
      </c>
      <c r="O27" s="14"/>
      <c r="P27" s="1">
        <f>SUM(OSRRefP22_0x_0)</f>
        <v>35025.26</v>
      </c>
      <c r="Q27" s="1"/>
      <c r="R27" s="5">
        <f t="shared" si="17"/>
        <v>13.541722888724786</v>
      </c>
      <c r="S27" s="1"/>
      <c r="T27" s="1">
        <f>SUM(OSRRefT22_0x_0)</f>
        <v>53250.01143369999</v>
      </c>
      <c r="U27" s="1"/>
      <c r="V27" s="5">
        <f t="shared" si="18"/>
        <v>0.21954331468569233</v>
      </c>
      <c r="W27" s="1"/>
      <c r="X27" s="1">
        <f t="shared" si="19"/>
        <v>-18224.751433699988</v>
      </c>
      <c r="Y27" s="1"/>
      <c r="Z27" s="5">
        <f t="shared" si="20"/>
        <v>-0.34224877972826512</v>
      </c>
    </row>
    <row r="28" spans="1:26" s="24" customFormat="1" hidden="1" outlineLevel="2" x14ac:dyDescent="0.35">
      <c r="A28" s="29"/>
      <c r="B28" s="11" t="str">
        <f>CONCATENATE("          ", "6111", " - ", "F.I.C.A.")</f>
        <v xml:space="preserve">          6111 - F.I.C.A.</v>
      </c>
      <c r="C28" s="11"/>
      <c r="D28" s="7"/>
      <c r="E28" s="2"/>
      <c r="F28" s="6">
        <f t="shared" si="13"/>
        <v>0</v>
      </c>
      <c r="G28" s="2"/>
      <c r="H28" s="7">
        <v>1398.0087137999999</v>
      </c>
      <c r="I28" s="2"/>
      <c r="J28" s="6">
        <f t="shared" si="14"/>
        <v>2.4858791454176889E-2</v>
      </c>
      <c r="K28" s="2"/>
      <c r="L28" s="7">
        <f t="shared" si="15"/>
        <v>-1398.0087137999999</v>
      </c>
      <c r="M28" s="2"/>
      <c r="N28" s="6">
        <f t="shared" si="16"/>
        <v>-1</v>
      </c>
      <c r="O28" s="11"/>
      <c r="P28" s="7">
        <v>3909.68</v>
      </c>
      <c r="Q28" s="2"/>
      <c r="R28" s="6">
        <f t="shared" si="17"/>
        <v>1.5115891543300326</v>
      </c>
      <c r="S28" s="2"/>
      <c r="T28" s="7">
        <v>7551.7959627</v>
      </c>
      <c r="U28" s="2"/>
      <c r="V28" s="6">
        <f t="shared" si="18"/>
        <v>3.1135135427068344E-2</v>
      </c>
      <c r="W28" s="2"/>
      <c r="X28" s="7">
        <f t="shared" si="19"/>
        <v>-3642.1159627000002</v>
      </c>
      <c r="Y28" s="2"/>
      <c r="Z28" s="6">
        <f t="shared" si="20"/>
        <v>-0.48228474136340826</v>
      </c>
    </row>
    <row r="29" spans="1:26" s="24" customFormat="1" hidden="1" outlineLevel="2" x14ac:dyDescent="0.35">
      <c r="A29" s="29"/>
      <c r="B29" s="11" t="str">
        <f>CONCATENATE("          ", "6112", " - ", "COMPENSATION INSURANCE")</f>
        <v xml:space="preserve">          6112 - COMPENSATION INSURANCE</v>
      </c>
      <c r="C29" s="11"/>
      <c r="D29" s="7"/>
      <c r="E29" s="2"/>
      <c r="F29" s="6">
        <f t="shared" si="13"/>
        <v>0</v>
      </c>
      <c r="G29" s="2"/>
      <c r="H29" s="7">
        <v>583.81152999999995</v>
      </c>
      <c r="I29" s="2"/>
      <c r="J29" s="6">
        <f t="shared" si="14"/>
        <v>1.0381086276183362E-2</v>
      </c>
      <c r="K29" s="2"/>
      <c r="L29" s="7">
        <f t="shared" si="15"/>
        <v>-583.81152999999995</v>
      </c>
      <c r="M29" s="2"/>
      <c r="N29" s="6">
        <f t="shared" si="16"/>
        <v>-1</v>
      </c>
      <c r="O29" s="11"/>
      <c r="P29" s="7">
        <v>830.67</v>
      </c>
      <c r="Q29" s="2"/>
      <c r="R29" s="6">
        <f t="shared" si="17"/>
        <v>0.32115972735040416</v>
      </c>
      <c r="S29" s="2"/>
      <c r="T29" s="7">
        <v>2842.517785</v>
      </c>
      <c r="U29" s="2"/>
      <c r="V29" s="6">
        <f t="shared" si="18"/>
        <v>1.1719354790166111E-2</v>
      </c>
      <c r="W29" s="2"/>
      <c r="X29" s="7">
        <f t="shared" si="19"/>
        <v>-2011.8477849999999</v>
      </c>
      <c r="Y29" s="2"/>
      <c r="Z29" s="6">
        <f t="shared" si="20"/>
        <v>-0.70776963845804042</v>
      </c>
    </row>
    <row r="30" spans="1:26" s="24" customFormat="1" hidden="1" outlineLevel="2" x14ac:dyDescent="0.35">
      <c r="A30" s="29"/>
      <c r="B30" s="11" t="str">
        <f>CONCATENATE("          ", "6113", " - ", "GROUP INSURANCE")</f>
        <v xml:space="preserve">          6113 - GROUP INSURANCE</v>
      </c>
      <c r="C30" s="11"/>
      <c r="D30" s="7"/>
      <c r="E30" s="2"/>
      <c r="F30" s="6">
        <f t="shared" si="13"/>
        <v>0</v>
      </c>
      <c r="G30" s="2"/>
      <c r="H30" s="7">
        <v>3960</v>
      </c>
      <c r="I30" s="2"/>
      <c r="J30" s="6">
        <f t="shared" si="14"/>
        <v>7.0415021871332556E-2</v>
      </c>
      <c r="K30" s="2"/>
      <c r="L30" s="7">
        <f t="shared" si="15"/>
        <v>-3960</v>
      </c>
      <c r="M30" s="2"/>
      <c r="N30" s="6">
        <f t="shared" si="16"/>
        <v>-1</v>
      </c>
      <c r="O30" s="11"/>
      <c r="P30" s="7">
        <v>18067.72</v>
      </c>
      <c r="Q30" s="2"/>
      <c r="R30" s="6">
        <f t="shared" si="17"/>
        <v>6.9854744110699132</v>
      </c>
      <c r="S30" s="2"/>
      <c r="T30" s="7">
        <v>27720</v>
      </c>
      <c r="U30" s="2"/>
      <c r="V30" s="6">
        <f t="shared" si="18"/>
        <v>0.11428618547180157</v>
      </c>
      <c r="W30" s="2"/>
      <c r="X30" s="7">
        <f t="shared" si="19"/>
        <v>-9652.2799999999988</v>
      </c>
      <c r="Y30" s="2"/>
      <c r="Z30" s="6">
        <f t="shared" si="20"/>
        <v>-0.34820634920634919</v>
      </c>
    </row>
    <row r="31" spans="1:26" s="24" customFormat="1" hidden="1" outlineLevel="2" x14ac:dyDescent="0.35">
      <c r="A31" s="29"/>
      <c r="B31" s="11" t="str">
        <f>CONCATENATE("          ", "6114", " - ", "STATE UNEMPLOYMENT INSURANCE")</f>
        <v xml:space="preserve">          6114 - STATE UNEMPLOYMENT INSURANCE</v>
      </c>
      <c r="C31" s="11"/>
      <c r="D31" s="7"/>
      <c r="E31" s="2"/>
      <c r="F31" s="6">
        <f t="shared" si="13"/>
        <v>0</v>
      </c>
      <c r="G31" s="2"/>
      <c r="H31" s="7">
        <v>82.049188000000001</v>
      </c>
      <c r="I31" s="2"/>
      <c r="J31" s="6">
        <f t="shared" si="14"/>
        <v>1.4589634766527971E-3</v>
      </c>
      <c r="K31" s="2"/>
      <c r="L31" s="7">
        <f t="shared" si="15"/>
        <v>-82.049188000000001</v>
      </c>
      <c r="M31" s="2"/>
      <c r="N31" s="6">
        <f t="shared" si="16"/>
        <v>-1</v>
      </c>
      <c r="O31" s="11"/>
      <c r="P31" s="7">
        <v>132.15</v>
      </c>
      <c r="Q31" s="2"/>
      <c r="R31" s="6">
        <f t="shared" si="17"/>
        <v>5.1092802158927031E-2</v>
      </c>
      <c r="S31" s="2"/>
      <c r="T31" s="7">
        <v>399.48898600000001</v>
      </c>
      <c r="U31" s="2"/>
      <c r="V31" s="6">
        <f t="shared" si="18"/>
        <v>1.6470444569963182E-3</v>
      </c>
      <c r="W31" s="2"/>
      <c r="X31" s="7">
        <f t="shared" si="19"/>
        <v>-267.33898599999998</v>
      </c>
      <c r="Y31" s="2"/>
      <c r="Z31" s="6">
        <f t="shared" si="20"/>
        <v>-0.66920239448103325</v>
      </c>
    </row>
    <row r="32" spans="1:26" s="24" customFormat="1" hidden="1" outlineLevel="2" x14ac:dyDescent="0.35">
      <c r="A32" s="29"/>
      <c r="B32" s="11" t="str">
        <f>CONCATENATE("          ", "6115", " - ", "P.E.R.S.")</f>
        <v xml:space="preserve">          6115 - P.E.R.S.</v>
      </c>
      <c r="C32" s="11"/>
      <c r="D32" s="7"/>
      <c r="E32" s="2"/>
      <c r="F32" s="6">
        <f t="shared" si="13"/>
        <v>0</v>
      </c>
      <c r="G32" s="2"/>
      <c r="H32" s="7">
        <v>1081.3209999999999</v>
      </c>
      <c r="I32" s="2"/>
      <c r="J32" s="6">
        <f t="shared" si="14"/>
        <v>1.9227586329528076E-2</v>
      </c>
      <c r="K32" s="2"/>
      <c r="L32" s="7">
        <f t="shared" si="15"/>
        <v>-1081.3209999999999</v>
      </c>
      <c r="M32" s="2"/>
      <c r="N32" s="6">
        <f t="shared" si="16"/>
        <v>-1</v>
      </c>
      <c r="O32" s="11"/>
      <c r="P32" s="7">
        <v>5525.49</v>
      </c>
      <c r="Q32" s="2"/>
      <c r="R32" s="6">
        <f t="shared" si="17"/>
        <v>2.1363054665238721</v>
      </c>
      <c r="S32" s="2"/>
      <c r="T32" s="7">
        <v>6518.1549999999997</v>
      </c>
      <c r="U32" s="2"/>
      <c r="V32" s="6">
        <f t="shared" si="18"/>
        <v>2.6873559569406593E-2</v>
      </c>
      <c r="W32" s="2"/>
      <c r="X32" s="7">
        <f t="shared" si="19"/>
        <v>-992.66499999999996</v>
      </c>
      <c r="Y32" s="2"/>
      <c r="Z32" s="6">
        <f t="shared" si="20"/>
        <v>-0.1522923281204574</v>
      </c>
    </row>
    <row r="33" spans="1:26" s="24" customFormat="1" hidden="1" outlineLevel="2" x14ac:dyDescent="0.35">
      <c r="A33" s="29"/>
      <c r="B33" s="11" t="str">
        <f>CONCATENATE("          ", "6116", " - ", "EDUCATIONAL BENEFITS")</f>
        <v xml:space="preserve">          6116 - EDUCATIONAL BENEFITS</v>
      </c>
      <c r="C33" s="11"/>
      <c r="D33" s="7"/>
      <c r="E33" s="2"/>
      <c r="F33" s="6">
        <f t="shared" si="13"/>
        <v>0</v>
      </c>
      <c r="G33" s="2"/>
      <c r="H33" s="7">
        <v>0</v>
      </c>
      <c r="I33" s="2"/>
      <c r="J33" s="6">
        <f t="shared" si="14"/>
        <v>0</v>
      </c>
      <c r="K33" s="2"/>
      <c r="L33" s="7">
        <f t="shared" si="15"/>
        <v>0</v>
      </c>
      <c r="M33" s="2"/>
      <c r="N33" s="6">
        <f t="shared" si="16"/>
        <v>0</v>
      </c>
      <c r="O33" s="11"/>
      <c r="P33" s="7"/>
      <c r="Q33" s="2"/>
      <c r="R33" s="6">
        <f t="shared" si="17"/>
        <v>0</v>
      </c>
      <c r="S33" s="2"/>
      <c r="T33" s="7">
        <v>0</v>
      </c>
      <c r="U33" s="2"/>
      <c r="V33" s="6">
        <f t="shared" si="18"/>
        <v>0</v>
      </c>
      <c r="W33" s="2"/>
      <c r="X33" s="7">
        <f t="shared" si="19"/>
        <v>0</v>
      </c>
      <c r="Y33" s="2"/>
      <c r="Z33" s="6">
        <f t="shared" si="20"/>
        <v>0</v>
      </c>
    </row>
    <row r="34" spans="1:26" s="24" customFormat="1" hidden="1" outlineLevel="2" x14ac:dyDescent="0.35">
      <c r="A34" s="29"/>
      <c r="B34" s="11" t="str">
        <f>CONCATENATE("          ", "6118", " - ", "VACATION")</f>
        <v xml:space="preserve">          6118 - VACATION</v>
      </c>
      <c r="C34" s="11"/>
      <c r="D34" s="7"/>
      <c r="E34" s="2"/>
      <c r="F34" s="6">
        <f t="shared" si="13"/>
        <v>0</v>
      </c>
      <c r="G34" s="2"/>
      <c r="H34" s="7">
        <v>489.52499999999998</v>
      </c>
      <c r="I34" s="2"/>
      <c r="J34" s="6">
        <f t="shared" si="14"/>
        <v>8.7045236317080978E-3</v>
      </c>
      <c r="K34" s="2"/>
      <c r="L34" s="7">
        <f t="shared" si="15"/>
        <v>-489.52499999999998</v>
      </c>
      <c r="M34" s="2"/>
      <c r="N34" s="6">
        <f t="shared" si="16"/>
        <v>-1</v>
      </c>
      <c r="O34" s="11"/>
      <c r="P34" s="7">
        <v>3386</v>
      </c>
      <c r="Q34" s="2"/>
      <c r="R34" s="6">
        <f t="shared" si="17"/>
        <v>1.3091201521765183</v>
      </c>
      <c r="S34" s="2"/>
      <c r="T34" s="7">
        <v>2926.895</v>
      </c>
      <c r="U34" s="2"/>
      <c r="V34" s="6">
        <f t="shared" si="18"/>
        <v>1.2067231775847355E-2</v>
      </c>
      <c r="W34" s="2"/>
      <c r="X34" s="7">
        <f t="shared" si="19"/>
        <v>459.10500000000002</v>
      </c>
      <c r="Y34" s="2"/>
      <c r="Z34" s="6">
        <f t="shared" si="20"/>
        <v>0.15685735224529751</v>
      </c>
    </row>
    <row r="35" spans="1:26" s="24" customFormat="1" hidden="1" outlineLevel="2" x14ac:dyDescent="0.35">
      <c r="A35" s="29"/>
      <c r="B35" s="11" t="str">
        <f>CONCATENATE("          ", "6119", " - ", "SICK LEAVE")</f>
        <v xml:space="preserve">          6119 - SICK LEAVE</v>
      </c>
      <c r="C35" s="11"/>
      <c r="D35" s="7"/>
      <c r="E35" s="2"/>
      <c r="F35" s="6">
        <f t="shared" si="13"/>
        <v>0</v>
      </c>
      <c r="G35" s="2"/>
      <c r="H35" s="7">
        <v>715.78179999999998</v>
      </c>
      <c r="I35" s="2"/>
      <c r="J35" s="6">
        <f t="shared" si="14"/>
        <v>1.2727725025783277E-2</v>
      </c>
      <c r="K35" s="2"/>
      <c r="L35" s="7">
        <f t="shared" si="15"/>
        <v>-715.78179999999998</v>
      </c>
      <c r="M35" s="2"/>
      <c r="N35" s="6">
        <f t="shared" si="16"/>
        <v>-1</v>
      </c>
      <c r="O35" s="11"/>
      <c r="P35" s="7">
        <v>2447.1799999999998</v>
      </c>
      <c r="Q35" s="2"/>
      <c r="R35" s="6">
        <f t="shared" si="17"/>
        <v>0.94614667867788904</v>
      </c>
      <c r="S35" s="2"/>
      <c r="T35" s="7">
        <v>4066.1587000000004</v>
      </c>
      <c r="U35" s="2"/>
      <c r="V35" s="6">
        <f t="shared" si="18"/>
        <v>1.6764277321283536E-2</v>
      </c>
      <c r="W35" s="2"/>
      <c r="X35" s="7">
        <f t="shared" si="19"/>
        <v>-1618.9787000000006</v>
      </c>
      <c r="Y35" s="2"/>
      <c r="Z35" s="6">
        <f t="shared" si="20"/>
        <v>-0.39815925040013822</v>
      </c>
    </row>
    <row r="36" spans="1:26" s="24" customFormat="1" hidden="1" outlineLevel="2" x14ac:dyDescent="0.35">
      <c r="A36" s="29"/>
      <c r="B36" s="11" t="str">
        <f>CONCATENATE("          ", "6156", " - ", "EMPLOYEE MEALS")</f>
        <v xml:space="preserve">          6156 - EMPLOYEE MEALS</v>
      </c>
      <c r="C36" s="11"/>
      <c r="D36" s="7"/>
      <c r="E36" s="2"/>
      <c r="F36" s="6">
        <f t="shared" si="13"/>
        <v>0</v>
      </c>
      <c r="G36" s="2"/>
      <c r="H36" s="7">
        <v>175</v>
      </c>
      <c r="I36" s="2"/>
      <c r="J36" s="6">
        <f t="shared" si="14"/>
        <v>3.1117749564351506E-3</v>
      </c>
      <c r="K36" s="2"/>
      <c r="L36" s="7">
        <f t="shared" si="15"/>
        <v>-175</v>
      </c>
      <c r="M36" s="2"/>
      <c r="N36" s="6">
        <f t="shared" si="16"/>
        <v>-1</v>
      </c>
      <c r="O36" s="11"/>
      <c r="P36" s="7">
        <v>726.37</v>
      </c>
      <c r="Q36" s="2"/>
      <c r="R36" s="6">
        <f t="shared" si="17"/>
        <v>0.28083449643722908</v>
      </c>
      <c r="S36" s="2"/>
      <c r="T36" s="7">
        <v>1225</v>
      </c>
      <c r="U36" s="2"/>
      <c r="V36" s="6">
        <f t="shared" si="18"/>
        <v>5.050525873122544E-3</v>
      </c>
      <c r="W36" s="2"/>
      <c r="X36" s="7">
        <f t="shared" si="19"/>
        <v>-498.63</v>
      </c>
      <c r="Y36" s="2"/>
      <c r="Z36" s="6">
        <f t="shared" si="20"/>
        <v>-0.40704489795918369</v>
      </c>
    </row>
    <row r="37" spans="1:26" s="28" customFormat="1" outlineLevel="1" collapsed="1" x14ac:dyDescent="0.35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0</v>
      </c>
      <c r="E37" s="1"/>
      <c r="F37" s="5">
        <f t="shared" ref="F37:F47" si="21">IF(D$12=0,0,D37/D$12)</f>
        <v>0</v>
      </c>
      <c r="G37" s="1"/>
      <c r="H37" s="1">
        <f>SUM(OSRRefH22_1x_0)</f>
        <v>30539.796999999999</v>
      </c>
      <c r="I37" s="1"/>
      <c r="J37" s="5">
        <f t="shared" ref="J37:J47" si="22">IF(H$12=0,0,H37/H$12)</f>
        <v>0.54304557416693333</v>
      </c>
      <c r="K37" s="1"/>
      <c r="L37" s="1">
        <f t="shared" ref="L37:L47" si="23">+D37-H37</f>
        <v>-30539.796999999999</v>
      </c>
      <c r="M37" s="1"/>
      <c r="N37" s="5">
        <f t="shared" ref="N37:N47" si="24">IF(H37=0,0,L37/H37)</f>
        <v>-1</v>
      </c>
      <c r="O37" s="14"/>
      <c r="P37" s="1">
        <f>SUM(OSRRefP22_1x_0)</f>
        <v>41960.38</v>
      </c>
      <c r="Q37" s="1"/>
      <c r="R37" s="5">
        <f t="shared" ref="R37:R47" si="25">IF(P$12=0,0,P37/P$12)</f>
        <v>16.223029843763893</v>
      </c>
      <c r="S37" s="1"/>
      <c r="T37" s="1">
        <f>SUM(OSRRefT22_1x_0)</f>
        <v>147474.32900000003</v>
      </c>
      <c r="U37" s="1"/>
      <c r="V37" s="5">
        <f t="shared" ref="V37:V47" si="26">IF(T$12=0,0,T37/T$12)</f>
        <v>0.60801870549868287</v>
      </c>
      <c r="W37" s="1"/>
      <c r="X37" s="1">
        <f t="shared" ref="X37:X47" si="27">+P37-T37</f>
        <v>-105513.94900000002</v>
      </c>
      <c r="Y37" s="1"/>
      <c r="Z37" s="5">
        <f t="shared" ref="Z37:Z47" si="28">IF(T37=0,0,X37/T37)</f>
        <v>-0.7154733282427751</v>
      </c>
    </row>
    <row r="38" spans="1:26" s="24" customFormat="1" hidden="1" outlineLevel="2" x14ac:dyDescent="0.35">
      <c r="A38" s="29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1"/>
        <v>0</v>
      </c>
      <c r="G38" s="2"/>
      <c r="H38" s="7">
        <v>6609.625</v>
      </c>
      <c r="I38" s="2"/>
      <c r="J38" s="6">
        <f t="shared" si="22"/>
        <v>0.11752951740815819</v>
      </c>
      <c r="K38" s="2"/>
      <c r="L38" s="7">
        <f t="shared" si="23"/>
        <v>-6609.625</v>
      </c>
      <c r="M38" s="2"/>
      <c r="N38" s="6">
        <f t="shared" si="24"/>
        <v>-1</v>
      </c>
      <c r="O38" s="11"/>
      <c r="P38" s="7"/>
      <c r="Q38" s="2"/>
      <c r="R38" s="6">
        <f t="shared" si="25"/>
        <v>0</v>
      </c>
      <c r="S38" s="2"/>
      <c r="T38" s="7">
        <v>40979.675000000003</v>
      </c>
      <c r="U38" s="2"/>
      <c r="V38" s="6">
        <f t="shared" si="26"/>
        <v>0.16895421131400254</v>
      </c>
      <c r="W38" s="2"/>
      <c r="X38" s="7">
        <f t="shared" si="27"/>
        <v>-40979.675000000003</v>
      </c>
      <c r="Y38" s="2"/>
      <c r="Z38" s="6">
        <f t="shared" si="28"/>
        <v>-1</v>
      </c>
    </row>
    <row r="39" spans="1:26" s="24" customFormat="1" hidden="1" outlineLevel="2" x14ac:dyDescent="0.35">
      <c r="A39" s="29"/>
      <c r="B39" s="11" t="str">
        <f>CONCATENATE("          ", "6002", " - ", "STAFF SALARIES")</f>
        <v xml:space="preserve">          6002 - STAFF SALARIES</v>
      </c>
      <c r="C39" s="11"/>
      <c r="D39" s="7"/>
      <c r="E39" s="2"/>
      <c r="F39" s="6">
        <f t="shared" si="21"/>
        <v>0</v>
      </c>
      <c r="G39" s="2"/>
      <c r="H39" s="7">
        <v>5054.3999999999996</v>
      </c>
      <c r="I39" s="2"/>
      <c r="J39" s="6">
        <f t="shared" si="22"/>
        <v>8.9875173370319E-2</v>
      </c>
      <c r="K39" s="2"/>
      <c r="L39" s="7">
        <f t="shared" si="23"/>
        <v>-5054.3999999999996</v>
      </c>
      <c r="M39" s="2"/>
      <c r="N39" s="6">
        <f t="shared" si="24"/>
        <v>-1</v>
      </c>
      <c r="O39" s="11"/>
      <c r="P39" s="7">
        <v>39828.42</v>
      </c>
      <c r="Q39" s="2"/>
      <c r="R39" s="6">
        <f t="shared" si="25"/>
        <v>15.398755833239896</v>
      </c>
      <c r="S39" s="2"/>
      <c r="T39" s="7">
        <v>29390.400000000001</v>
      </c>
      <c r="U39" s="2"/>
      <c r="V39" s="6">
        <f t="shared" si="26"/>
        <v>0.12117304132360884</v>
      </c>
      <c r="W39" s="2"/>
      <c r="X39" s="7">
        <f t="shared" si="27"/>
        <v>10438.019999999997</v>
      </c>
      <c r="Y39" s="2"/>
      <c r="Z39" s="6">
        <f t="shared" si="28"/>
        <v>0.35515066144047025</v>
      </c>
    </row>
    <row r="40" spans="1:26" s="24" customFormat="1" hidden="1" outlineLevel="2" x14ac:dyDescent="0.35">
      <c r="A40" s="29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35">
      <c r="A41" s="29"/>
      <c r="B41" s="11" t="str">
        <f>CONCATENATE("          ", "6004", " - ", "STAFF HOURLY")</f>
        <v xml:space="preserve">          6004 - STAFF HOURLY</v>
      </c>
      <c r="C41" s="11"/>
      <c r="D41" s="7"/>
      <c r="E41" s="2"/>
      <c r="F41" s="6">
        <f t="shared" si="21"/>
        <v>0</v>
      </c>
      <c r="G41" s="2"/>
      <c r="H41" s="7">
        <v>5693.96</v>
      </c>
      <c r="I41" s="2"/>
      <c r="J41" s="6">
        <f t="shared" si="22"/>
        <v>0.10124755503396281</v>
      </c>
      <c r="K41" s="2"/>
      <c r="L41" s="7">
        <f t="shared" si="23"/>
        <v>-5693.96</v>
      </c>
      <c r="M41" s="2"/>
      <c r="N41" s="6">
        <f t="shared" si="24"/>
        <v>-1</v>
      </c>
      <c r="O41" s="11"/>
      <c r="P41" s="7"/>
      <c r="Q41" s="2"/>
      <c r="R41" s="6">
        <f t="shared" si="25"/>
        <v>0</v>
      </c>
      <c r="S41" s="2"/>
      <c r="T41" s="7">
        <v>22105.09</v>
      </c>
      <c r="U41" s="2"/>
      <c r="V41" s="6">
        <f t="shared" si="26"/>
        <v>9.1136595079757077E-2</v>
      </c>
      <c r="W41" s="2"/>
      <c r="X41" s="7">
        <f t="shared" si="27"/>
        <v>-22105.09</v>
      </c>
      <c r="Y41" s="2"/>
      <c r="Z41" s="6">
        <f t="shared" si="28"/>
        <v>-1</v>
      </c>
    </row>
    <row r="42" spans="1:26" s="24" customFormat="1" hidden="1" outlineLevel="2" x14ac:dyDescent="0.35">
      <c r="A42" s="29"/>
      <c r="B42" s="11" t="str">
        <f>CONCATENATE("          ", "6005", " - ", "TEMPORARY WAGES-HOURLY")</f>
        <v xml:space="preserve">          6005 - TEMPORARY WAGES-HOURLY</v>
      </c>
      <c r="C42" s="11"/>
      <c r="D42" s="7"/>
      <c r="E42" s="2"/>
      <c r="F42" s="6">
        <f t="shared" si="21"/>
        <v>0</v>
      </c>
      <c r="G42" s="2"/>
      <c r="H42" s="7">
        <v>5492.78</v>
      </c>
      <c r="I42" s="2"/>
      <c r="J42" s="6">
        <f t="shared" si="22"/>
        <v>9.7670258544044944E-2</v>
      </c>
      <c r="K42" s="2"/>
      <c r="L42" s="7">
        <f t="shared" si="23"/>
        <v>-5492.78</v>
      </c>
      <c r="M42" s="2"/>
      <c r="N42" s="6">
        <f t="shared" si="24"/>
        <v>-1</v>
      </c>
      <c r="O42" s="11"/>
      <c r="P42" s="7">
        <v>2131.96</v>
      </c>
      <c r="Q42" s="2"/>
      <c r="R42" s="6">
        <f t="shared" si="25"/>
        <v>0.82427401052399596</v>
      </c>
      <c r="S42" s="2"/>
      <c r="T42" s="7">
        <v>23911.102000000003</v>
      </c>
      <c r="U42" s="2"/>
      <c r="V42" s="6">
        <f t="shared" si="26"/>
        <v>9.8582562698671203E-2</v>
      </c>
      <c r="W42" s="2"/>
      <c r="X42" s="7">
        <f t="shared" si="27"/>
        <v>-21779.142000000003</v>
      </c>
      <c r="Y42" s="2"/>
      <c r="Z42" s="6">
        <f t="shared" si="28"/>
        <v>-0.91083807011487805</v>
      </c>
    </row>
    <row r="43" spans="1:26" s="24" customFormat="1" hidden="1" outlineLevel="2" x14ac:dyDescent="0.35">
      <c r="A43" s="29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35">
      <c r="A44" s="29"/>
      <c r="B44" s="11" t="str">
        <f>CONCATENATE("          ", "6007", " - ", "STUDENT HOURLY")</f>
        <v xml:space="preserve">          6007 - STUDENT HOURLY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>
        <v>0</v>
      </c>
      <c r="Q44" s="2"/>
      <c r="R44" s="6">
        <f t="shared" si="25"/>
        <v>0</v>
      </c>
      <c r="S44" s="2"/>
      <c r="T44" s="7">
        <v>756.6</v>
      </c>
      <c r="U44" s="2"/>
      <c r="V44" s="6">
        <f t="shared" si="26"/>
        <v>3.1193696943710345E-3</v>
      </c>
      <c r="W44" s="2"/>
      <c r="X44" s="7">
        <f t="shared" si="27"/>
        <v>-756.6</v>
      </c>
      <c r="Y44" s="2"/>
      <c r="Z44" s="6">
        <f t="shared" si="28"/>
        <v>-1</v>
      </c>
    </row>
    <row r="45" spans="1:26" s="24" customFormat="1" hidden="1" outlineLevel="2" x14ac:dyDescent="0.35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1"/>
        <v>0</v>
      </c>
      <c r="G45" s="2"/>
      <c r="H45" s="7">
        <v>7689.0320000000002</v>
      </c>
      <c r="I45" s="2"/>
      <c r="J45" s="6">
        <f t="shared" si="22"/>
        <v>0.13672306981044846</v>
      </c>
      <c r="K45" s="2"/>
      <c r="L45" s="7">
        <f t="shared" si="23"/>
        <v>-7689.0320000000002</v>
      </c>
      <c r="M45" s="2"/>
      <c r="N45" s="6">
        <f t="shared" si="24"/>
        <v>-1</v>
      </c>
      <c r="O45" s="11"/>
      <c r="P45" s="7"/>
      <c r="Q45" s="2"/>
      <c r="R45" s="6">
        <f t="shared" si="25"/>
        <v>0</v>
      </c>
      <c r="S45" s="2"/>
      <c r="T45" s="7">
        <v>30331.462000000003</v>
      </c>
      <c r="U45" s="2"/>
      <c r="V45" s="6">
        <f t="shared" si="26"/>
        <v>0.12505292538827206</v>
      </c>
      <c r="W45" s="2"/>
      <c r="X45" s="7">
        <f t="shared" si="27"/>
        <v>-30331.462000000003</v>
      </c>
      <c r="Y45" s="2"/>
      <c r="Z45" s="6">
        <f t="shared" si="28"/>
        <v>-1</v>
      </c>
    </row>
    <row r="46" spans="1:26" s="24" customFormat="1" hidden="1" outlineLevel="2" x14ac:dyDescent="0.35">
      <c r="A46" s="29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4" customFormat="1" hidden="1" outlineLevel="2" x14ac:dyDescent="0.35">
      <c r="A47" s="29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1"/>
        <v>0</v>
      </c>
      <c r="G47" s="2"/>
      <c r="H47" s="7">
        <v>0</v>
      </c>
      <c r="I47" s="2"/>
      <c r="J47" s="6">
        <f t="shared" si="22"/>
        <v>0</v>
      </c>
      <c r="K47" s="2"/>
      <c r="L47" s="7">
        <f t="shared" si="23"/>
        <v>0</v>
      </c>
      <c r="M47" s="2"/>
      <c r="N47" s="6">
        <f t="shared" si="24"/>
        <v>0</v>
      </c>
      <c r="O47" s="11"/>
      <c r="P47" s="7"/>
      <c r="Q47" s="2"/>
      <c r="R47" s="6">
        <f t="shared" si="25"/>
        <v>0</v>
      </c>
      <c r="S47" s="2"/>
      <c r="T47" s="7">
        <v>0</v>
      </c>
      <c r="U47" s="2"/>
      <c r="V47" s="6">
        <f t="shared" si="26"/>
        <v>0</v>
      </c>
      <c r="W47" s="2"/>
      <c r="X47" s="7">
        <f t="shared" si="27"/>
        <v>0</v>
      </c>
      <c r="Y47" s="2"/>
      <c r="Z47" s="6">
        <f t="shared" si="28"/>
        <v>0</v>
      </c>
    </row>
    <row r="48" spans="1:26" s="28" customFormat="1" outlineLevel="1" collapsed="1" x14ac:dyDescent="0.3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56" si="29">IF(D$12=0,0,D48/D$12)</f>
        <v>0</v>
      </c>
      <c r="G48" s="1"/>
      <c r="H48" s="1">
        <f>SUM(OSRRefH22_2x_0)</f>
        <v>212</v>
      </c>
      <c r="I48" s="1"/>
      <c r="J48" s="5">
        <f t="shared" ref="J48:J56" si="30">IF(H$12=0,0,H48/H$12)</f>
        <v>3.7696930900814394E-3</v>
      </c>
      <c r="K48" s="1"/>
      <c r="L48" s="1">
        <f t="shared" ref="L48:L56" si="31">+D48-H48</f>
        <v>-212</v>
      </c>
      <c r="M48" s="1"/>
      <c r="N48" s="5">
        <f t="shared" ref="N48:N56" si="32">IF(H48=0,0,L48/H48)</f>
        <v>-1</v>
      </c>
      <c r="O48" s="14"/>
      <c r="P48" s="1">
        <f>SUM(OSRRefP22_2x_0)</f>
        <v>0</v>
      </c>
      <c r="Q48" s="1"/>
      <c r="R48" s="5">
        <f t="shared" ref="R48:R56" si="33">IF(P$12=0,0,P48/P$12)</f>
        <v>0</v>
      </c>
      <c r="S48" s="1"/>
      <c r="T48" s="1">
        <f>SUM(OSRRefT22_2x_0)</f>
        <v>2030</v>
      </c>
      <c r="U48" s="1"/>
      <c r="V48" s="5">
        <f t="shared" ref="V48:V56" si="34">IF(T$12=0,0,T48/T$12)</f>
        <v>8.369442875460216E-3</v>
      </c>
      <c r="W48" s="1"/>
      <c r="X48" s="1">
        <f t="shared" ref="X48:X56" si="35">+P48-T48</f>
        <v>-2030</v>
      </c>
      <c r="Y48" s="1"/>
      <c r="Z48" s="5">
        <f t="shared" ref="Z48:Z56" si="36">IF(T48=0,0,X48/T48)</f>
        <v>-1</v>
      </c>
    </row>
    <row r="49" spans="1:26" s="24" customFormat="1" hidden="1" outlineLevel="2" x14ac:dyDescent="0.35">
      <c r="A49" s="29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9"/>
        <v>0</v>
      </c>
      <c r="G49" s="2"/>
      <c r="H49" s="7">
        <v>212</v>
      </c>
      <c r="I49" s="2"/>
      <c r="J49" s="6">
        <f t="shared" si="30"/>
        <v>3.7696930900814394E-3</v>
      </c>
      <c r="K49" s="2"/>
      <c r="L49" s="7">
        <f t="shared" si="31"/>
        <v>-212</v>
      </c>
      <c r="M49" s="2"/>
      <c r="N49" s="6">
        <f t="shared" si="32"/>
        <v>-1</v>
      </c>
      <c r="O49" s="11"/>
      <c r="P49" s="7"/>
      <c r="Q49" s="2"/>
      <c r="R49" s="6">
        <f t="shared" si="33"/>
        <v>0</v>
      </c>
      <c r="S49" s="2"/>
      <c r="T49" s="7">
        <v>2030</v>
      </c>
      <c r="U49" s="2"/>
      <c r="V49" s="6">
        <f t="shared" si="34"/>
        <v>8.369442875460216E-3</v>
      </c>
      <c r="W49" s="2"/>
      <c r="X49" s="7">
        <f t="shared" si="35"/>
        <v>-2030</v>
      </c>
      <c r="Y49" s="2"/>
      <c r="Z49" s="6">
        <f t="shared" si="36"/>
        <v>-1</v>
      </c>
    </row>
    <row r="50" spans="1:26" s="28" customFormat="1" outlineLevel="1" collapsed="1" x14ac:dyDescent="0.3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9"/>
        <v>0</v>
      </c>
      <c r="G50" s="1"/>
      <c r="H50" s="1">
        <f>SUM(OSRRefH22_3x_0)</f>
        <v>5</v>
      </c>
      <c r="I50" s="1"/>
      <c r="J50" s="5">
        <f t="shared" si="30"/>
        <v>8.8907855898147164E-5</v>
      </c>
      <c r="K50" s="1"/>
      <c r="L50" s="1">
        <f t="shared" si="31"/>
        <v>-5</v>
      </c>
      <c r="M50" s="1"/>
      <c r="N50" s="5">
        <f t="shared" si="32"/>
        <v>-1</v>
      </c>
      <c r="O50" s="14"/>
      <c r="P50" s="1">
        <f>SUM(OSRRefP22_3x_0)</f>
        <v>3.31</v>
      </c>
      <c r="Q50" s="1"/>
      <c r="R50" s="5">
        <f t="shared" si="33"/>
        <v>1.2797364748092959E-3</v>
      </c>
      <c r="S50" s="1"/>
      <c r="T50" s="1">
        <f>SUM(OSRRefT22_3x_0)</f>
        <v>59</v>
      </c>
      <c r="U50" s="1"/>
      <c r="V50" s="5">
        <f t="shared" si="34"/>
        <v>2.4324981756263683E-4</v>
      </c>
      <c r="W50" s="1"/>
      <c r="X50" s="1">
        <f t="shared" si="35"/>
        <v>-55.69</v>
      </c>
      <c r="Y50" s="1"/>
      <c r="Z50" s="5">
        <f t="shared" si="36"/>
        <v>-0.9438983050847457</v>
      </c>
    </row>
    <row r="51" spans="1:26" s="24" customFormat="1" hidden="1" outlineLevel="2" x14ac:dyDescent="0.35">
      <c r="A51" s="29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9"/>
        <v>0</v>
      </c>
      <c r="G51" s="2"/>
      <c r="H51" s="7">
        <v>5</v>
      </c>
      <c r="I51" s="2"/>
      <c r="J51" s="6">
        <f t="shared" si="30"/>
        <v>8.8907855898147164E-5</v>
      </c>
      <c r="K51" s="2"/>
      <c r="L51" s="7">
        <f t="shared" si="31"/>
        <v>-5</v>
      </c>
      <c r="M51" s="2"/>
      <c r="N51" s="6">
        <f t="shared" si="32"/>
        <v>-1</v>
      </c>
      <c r="O51" s="11"/>
      <c r="P51" s="7">
        <v>3.31</v>
      </c>
      <c r="Q51" s="2"/>
      <c r="R51" s="6">
        <f t="shared" si="33"/>
        <v>1.2797364748092959E-3</v>
      </c>
      <c r="S51" s="2"/>
      <c r="T51" s="7">
        <v>59</v>
      </c>
      <c r="U51" s="2"/>
      <c r="V51" s="6">
        <f t="shared" si="34"/>
        <v>2.4324981756263683E-4</v>
      </c>
      <c r="W51" s="2"/>
      <c r="X51" s="7">
        <f t="shared" si="35"/>
        <v>-55.69</v>
      </c>
      <c r="Y51" s="2"/>
      <c r="Z51" s="6">
        <f t="shared" si="36"/>
        <v>-0.9438983050847457</v>
      </c>
    </row>
    <row r="52" spans="1:26" s="28" customFormat="1" outlineLevel="1" collapsed="1" x14ac:dyDescent="0.3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224.95</v>
      </c>
      <c r="E52" s="1"/>
      <c r="F52" s="5">
        <f t="shared" si="29"/>
        <v>0</v>
      </c>
      <c r="G52" s="1"/>
      <c r="H52" s="1">
        <f>SUM(OSRRefH22_4x_0)</f>
        <v>4044</v>
      </c>
      <c r="I52" s="1"/>
      <c r="J52" s="5">
        <f t="shared" si="30"/>
        <v>7.190867385042142E-2</v>
      </c>
      <c r="K52" s="1"/>
      <c r="L52" s="1">
        <f t="shared" si="31"/>
        <v>-3819.05</v>
      </c>
      <c r="M52" s="1"/>
      <c r="N52" s="5">
        <f t="shared" si="32"/>
        <v>-0.94437438180019784</v>
      </c>
      <c r="O52" s="14"/>
      <c r="P52" s="1">
        <f>SUM(OSRRefP22_4x_0)</f>
        <v>1138.28</v>
      </c>
      <c r="Q52" s="1"/>
      <c r="R52" s="5">
        <f t="shared" si="33"/>
        <v>0.44009016149423724</v>
      </c>
      <c r="S52" s="1"/>
      <c r="T52" s="1">
        <f>SUM(OSRRefT22_4x_0)</f>
        <v>24441</v>
      </c>
      <c r="U52" s="1"/>
      <c r="V52" s="5">
        <f t="shared" si="34"/>
        <v>0.10076726764488825</v>
      </c>
      <c r="W52" s="1"/>
      <c r="X52" s="1">
        <f t="shared" si="35"/>
        <v>-23302.720000000001</v>
      </c>
      <c r="Y52" s="1"/>
      <c r="Z52" s="5">
        <f t="shared" si="36"/>
        <v>-0.95342743750255721</v>
      </c>
    </row>
    <row r="53" spans="1:26" s="24" customFormat="1" hidden="1" outlineLevel="2" x14ac:dyDescent="0.35">
      <c r="A53" s="29"/>
      <c r="B53" s="11" t="str">
        <f>CONCATENATE("          ", "6381", " - ", "BANK/CREDIT CARD FEES")</f>
        <v xml:space="preserve">          6381 - BANK/CREDIT CARD FEES</v>
      </c>
      <c r="C53" s="11"/>
      <c r="D53" s="7">
        <v>224.95</v>
      </c>
      <c r="E53" s="2"/>
      <c r="F53" s="6">
        <f t="shared" si="29"/>
        <v>0</v>
      </c>
      <c r="G53" s="2"/>
      <c r="H53" s="7">
        <v>4044</v>
      </c>
      <c r="I53" s="2"/>
      <c r="J53" s="6">
        <f t="shared" si="30"/>
        <v>7.190867385042142E-2</v>
      </c>
      <c r="K53" s="2"/>
      <c r="L53" s="7">
        <f t="shared" si="31"/>
        <v>-3819.05</v>
      </c>
      <c r="M53" s="2"/>
      <c r="N53" s="6">
        <f t="shared" si="32"/>
        <v>-0.94437438180019784</v>
      </c>
      <c r="O53" s="11"/>
      <c r="P53" s="7">
        <v>1138.28</v>
      </c>
      <c r="Q53" s="2"/>
      <c r="R53" s="6">
        <f t="shared" si="33"/>
        <v>0.44009016149423724</v>
      </c>
      <c r="S53" s="2"/>
      <c r="T53" s="7">
        <v>24441</v>
      </c>
      <c r="U53" s="2"/>
      <c r="V53" s="6">
        <f t="shared" si="34"/>
        <v>0.10076726764488825</v>
      </c>
      <c r="W53" s="2"/>
      <c r="X53" s="7">
        <f t="shared" si="35"/>
        <v>-23302.720000000001</v>
      </c>
      <c r="Y53" s="2"/>
      <c r="Z53" s="6">
        <f t="shared" si="36"/>
        <v>-0.95342743750255721</v>
      </c>
    </row>
    <row r="54" spans="1:26" s="28" customFormat="1" outlineLevel="1" collapsed="1" x14ac:dyDescent="0.3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9152.09</v>
      </c>
      <c r="E54" s="1"/>
      <c r="F54" s="5">
        <f t="shared" si="29"/>
        <v>0</v>
      </c>
      <c r="G54" s="1"/>
      <c r="H54" s="1">
        <f>SUM(OSRRefH22_5x_0)</f>
        <v>8563</v>
      </c>
      <c r="I54" s="1"/>
      <c r="J54" s="5">
        <f t="shared" si="30"/>
        <v>0.15226359401116682</v>
      </c>
      <c r="K54" s="1"/>
      <c r="L54" s="1">
        <f t="shared" si="31"/>
        <v>589.09000000000015</v>
      </c>
      <c r="M54" s="1"/>
      <c r="N54" s="5">
        <f t="shared" si="32"/>
        <v>6.8794814901319654E-2</v>
      </c>
      <c r="O54" s="14"/>
      <c r="P54" s="1">
        <f>SUM(OSRRefP22_5x_0)</f>
        <v>64245.91</v>
      </c>
      <c r="Q54" s="1"/>
      <c r="R54" s="5">
        <f t="shared" si="33"/>
        <v>24.839224889521237</v>
      </c>
      <c r="S54" s="1"/>
      <c r="T54" s="1">
        <f>SUM(OSRRefT22_5x_0)</f>
        <v>60388.999999999993</v>
      </c>
      <c r="U54" s="1"/>
      <c r="V54" s="5">
        <f t="shared" si="34"/>
        <v>0.24897649547101819</v>
      </c>
      <c r="W54" s="1"/>
      <c r="X54" s="1">
        <f t="shared" si="35"/>
        <v>3856.9100000000108</v>
      </c>
      <c r="Y54" s="1"/>
      <c r="Z54" s="5">
        <f t="shared" si="36"/>
        <v>6.38677573730317E-2</v>
      </c>
    </row>
    <row r="55" spans="1:26" s="24" customFormat="1" hidden="1" outlineLevel="2" x14ac:dyDescent="0.35">
      <c r="A55" s="29"/>
      <c r="B55" s="11" t="str">
        <f>CONCATENATE("          ", "6321", " - ", "BUILDING DEPRECIATION")</f>
        <v xml:space="preserve">          6321 - BUILDING DEPRECIATION</v>
      </c>
      <c r="C55" s="11"/>
      <c r="D55" s="7">
        <v>5080.51</v>
      </c>
      <c r="E55" s="2"/>
      <c r="F55" s="6">
        <f t="shared" si="29"/>
        <v>0</v>
      </c>
      <c r="G55" s="2"/>
      <c r="H55" s="7"/>
      <c r="I55" s="2"/>
      <c r="J55" s="6">
        <f t="shared" si="30"/>
        <v>0</v>
      </c>
      <c r="K55" s="2"/>
      <c r="L55" s="7">
        <f t="shared" si="31"/>
        <v>5080.51</v>
      </c>
      <c r="M55" s="2"/>
      <c r="N55" s="6">
        <f t="shared" si="32"/>
        <v>0</v>
      </c>
      <c r="O55" s="11"/>
      <c r="P55" s="7">
        <v>35563.57</v>
      </c>
      <c r="Q55" s="2"/>
      <c r="R55" s="6">
        <f t="shared" si="33"/>
        <v>13.749848248771491</v>
      </c>
      <c r="S55" s="2"/>
      <c r="T55" s="7"/>
      <c r="U55" s="2"/>
      <c r="V55" s="6">
        <f t="shared" si="34"/>
        <v>0</v>
      </c>
      <c r="W55" s="2"/>
      <c r="X55" s="7">
        <f t="shared" si="35"/>
        <v>35563.57</v>
      </c>
      <c r="Y55" s="2"/>
      <c r="Z55" s="6">
        <f t="shared" si="36"/>
        <v>0</v>
      </c>
    </row>
    <row r="56" spans="1:26" s="24" customFormat="1" hidden="1" outlineLevel="2" x14ac:dyDescent="0.35">
      <c r="A56" s="29"/>
      <c r="B56" s="11" t="str">
        <f>CONCATENATE("          ", "6322", " - ", "EQUIPMENT DEPRECIATION EXPENSE")</f>
        <v xml:space="preserve">          6322 - EQUIPMENT DEPRECIATION EXPENSE</v>
      </c>
      <c r="C56" s="11"/>
      <c r="D56" s="7">
        <v>4071.58</v>
      </c>
      <c r="E56" s="2"/>
      <c r="F56" s="6">
        <f t="shared" si="29"/>
        <v>0</v>
      </c>
      <c r="G56" s="2"/>
      <c r="H56" s="7">
        <v>8563</v>
      </c>
      <c r="I56" s="2"/>
      <c r="J56" s="6">
        <f t="shared" si="30"/>
        <v>0.15226359401116682</v>
      </c>
      <c r="K56" s="2"/>
      <c r="L56" s="7">
        <f t="shared" si="31"/>
        <v>-4491.42</v>
      </c>
      <c r="M56" s="2"/>
      <c r="N56" s="6">
        <f t="shared" si="32"/>
        <v>-0.52451477285997894</v>
      </c>
      <c r="O56" s="11"/>
      <c r="P56" s="7">
        <v>28682.34</v>
      </c>
      <c r="Q56" s="2"/>
      <c r="R56" s="6">
        <f t="shared" si="33"/>
        <v>11.089376640749746</v>
      </c>
      <c r="S56" s="2"/>
      <c r="T56" s="7">
        <v>60388.999999999993</v>
      </c>
      <c r="U56" s="2"/>
      <c r="V56" s="6">
        <f t="shared" si="34"/>
        <v>0.24897649547101819</v>
      </c>
      <c r="W56" s="2"/>
      <c r="X56" s="7">
        <f t="shared" si="35"/>
        <v>-31706.659999999993</v>
      </c>
      <c r="Y56" s="2"/>
      <c r="Z56" s="6">
        <f t="shared" si="36"/>
        <v>-0.52504032191293115</v>
      </c>
    </row>
    <row r="57" spans="1:26" s="28" customFormat="1" outlineLevel="1" collapsed="1" x14ac:dyDescent="0.35">
      <c r="A57" s="27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SUM(OSRRefD22_6x_0)</f>
        <v>0</v>
      </c>
      <c r="E57" s="1"/>
      <c r="F57" s="5">
        <f t="shared" ref="F57:F75" si="37">IF(D$12=0,0,D57/D$12)</f>
        <v>0</v>
      </c>
      <c r="G57" s="1"/>
      <c r="H57" s="1">
        <f>SUM(OSRRefH22_6x_0)</f>
        <v>0</v>
      </c>
      <c r="I57" s="1"/>
      <c r="J57" s="5">
        <f t="shared" ref="J57:J75" si="38">IF(H$12=0,0,H57/H$12)</f>
        <v>0</v>
      </c>
      <c r="K57" s="1"/>
      <c r="L57" s="1">
        <f t="shared" ref="L57:L75" si="39">+D57-H57</f>
        <v>0</v>
      </c>
      <c r="M57" s="1"/>
      <c r="N57" s="5">
        <f t="shared" ref="N57:N75" si="40">IF(H57=0,0,L57/H57)</f>
        <v>0</v>
      </c>
      <c r="O57" s="14"/>
      <c r="P57" s="1">
        <f>SUM(OSRRefP22_6x_0)</f>
        <v>0</v>
      </c>
      <c r="Q57" s="1"/>
      <c r="R57" s="5">
        <f t="shared" ref="R57:R75" si="41">IF(P$12=0,0,P57/P$12)</f>
        <v>0</v>
      </c>
      <c r="S57" s="1"/>
      <c r="T57" s="1">
        <f>SUM(OSRRefT22_6x_0)</f>
        <v>50</v>
      </c>
      <c r="U57" s="1"/>
      <c r="V57" s="5">
        <f t="shared" ref="V57:V75" si="42">IF(T$12=0,0,T57/T$12)</f>
        <v>2.0614391318867528E-4</v>
      </c>
      <c r="W57" s="1"/>
      <c r="X57" s="1">
        <f t="shared" ref="X57:X75" si="43">+P57-T57</f>
        <v>-50</v>
      </c>
      <c r="Y57" s="1"/>
      <c r="Z57" s="5">
        <f t="shared" ref="Z57:Z75" si="44">IF(T57=0,0,X57/T57)</f>
        <v>-1</v>
      </c>
    </row>
    <row r="58" spans="1:26" s="24" customFormat="1" hidden="1" outlineLevel="2" x14ac:dyDescent="0.35">
      <c r="A58" s="29"/>
      <c r="B58" s="11" t="str">
        <f>CONCATENATE("          ", "6277", " - ", "EMPLOYEE APPRECIATION")</f>
        <v xml:space="preserve">          6277 - EMPLOYEE APPRECIATION</v>
      </c>
      <c r="C58" s="11"/>
      <c r="D58" s="7"/>
      <c r="E58" s="2"/>
      <c r="F58" s="6">
        <f t="shared" si="37"/>
        <v>0</v>
      </c>
      <c r="G58" s="2"/>
      <c r="H58" s="7"/>
      <c r="I58" s="2"/>
      <c r="J58" s="6">
        <f t="shared" si="38"/>
        <v>0</v>
      </c>
      <c r="K58" s="2"/>
      <c r="L58" s="7">
        <f t="shared" si="39"/>
        <v>0</v>
      </c>
      <c r="M58" s="2"/>
      <c r="N58" s="6">
        <f t="shared" si="40"/>
        <v>0</v>
      </c>
      <c r="O58" s="11"/>
      <c r="P58" s="7"/>
      <c r="Q58" s="2"/>
      <c r="R58" s="6">
        <f t="shared" si="41"/>
        <v>0</v>
      </c>
      <c r="S58" s="2"/>
      <c r="T58" s="7">
        <v>50</v>
      </c>
      <c r="U58" s="2"/>
      <c r="V58" s="6">
        <f t="shared" si="42"/>
        <v>2.0614391318867528E-4</v>
      </c>
      <c r="W58" s="2"/>
      <c r="X58" s="7">
        <f t="shared" si="43"/>
        <v>-50</v>
      </c>
      <c r="Y58" s="2"/>
      <c r="Z58" s="6">
        <f t="shared" si="44"/>
        <v>-1</v>
      </c>
    </row>
    <row r="59" spans="1:26" s="28" customFormat="1" outlineLevel="1" collapsed="1" x14ac:dyDescent="0.35">
      <c r="A59" s="27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SUM(OSRRefD22_7x_0)</f>
        <v>176.4</v>
      </c>
      <c r="E59" s="1"/>
      <c r="F59" s="5">
        <f t="shared" si="37"/>
        <v>0</v>
      </c>
      <c r="G59" s="1"/>
      <c r="H59" s="1">
        <f>SUM(OSRRefH22_7x_0)</f>
        <v>146</v>
      </c>
      <c r="I59" s="1"/>
      <c r="J59" s="5">
        <f t="shared" si="38"/>
        <v>2.5961093922258973E-3</v>
      </c>
      <c r="K59" s="1"/>
      <c r="L59" s="1">
        <f t="shared" si="39"/>
        <v>30.400000000000006</v>
      </c>
      <c r="M59" s="1"/>
      <c r="N59" s="5">
        <f t="shared" si="40"/>
        <v>0.20821917808219181</v>
      </c>
      <c r="O59" s="14"/>
      <c r="P59" s="1">
        <f>SUM(OSRRefP22_7x_0)</f>
        <v>264.55</v>
      </c>
      <c r="Q59" s="1"/>
      <c r="R59" s="5">
        <f t="shared" si="41"/>
        <v>0.10228226115129888</v>
      </c>
      <c r="S59" s="1"/>
      <c r="T59" s="1">
        <f>SUM(OSRRefT22_7x_0)</f>
        <v>584</v>
      </c>
      <c r="U59" s="1"/>
      <c r="V59" s="5">
        <f t="shared" si="42"/>
        <v>2.4077609060437271E-3</v>
      </c>
      <c r="W59" s="1"/>
      <c r="X59" s="1">
        <f t="shared" si="43"/>
        <v>-319.45</v>
      </c>
      <c r="Y59" s="1"/>
      <c r="Z59" s="5">
        <f t="shared" si="44"/>
        <v>-0.54700342465753427</v>
      </c>
    </row>
    <row r="60" spans="1:26" s="24" customFormat="1" hidden="1" outlineLevel="2" x14ac:dyDescent="0.35">
      <c r="A60" s="29"/>
      <c r="B60" s="11" t="str">
        <f>CONCATENATE("          ", "6351", " - ", "EQUIPMENT RENTAL")</f>
        <v xml:space="preserve">          6351 - EQUIPMENT RENTAL</v>
      </c>
      <c r="C60" s="11"/>
      <c r="D60" s="7">
        <v>176.4</v>
      </c>
      <c r="E60" s="2"/>
      <c r="F60" s="6">
        <f t="shared" si="37"/>
        <v>0</v>
      </c>
      <c r="G60" s="2"/>
      <c r="H60" s="7">
        <v>146</v>
      </c>
      <c r="I60" s="2"/>
      <c r="J60" s="6">
        <f t="shared" si="38"/>
        <v>2.5961093922258973E-3</v>
      </c>
      <c r="K60" s="2"/>
      <c r="L60" s="7">
        <f t="shared" si="39"/>
        <v>30.400000000000006</v>
      </c>
      <c r="M60" s="2"/>
      <c r="N60" s="6">
        <f t="shared" si="40"/>
        <v>0.20821917808219181</v>
      </c>
      <c r="O60" s="11"/>
      <c r="P60" s="7">
        <v>264.55</v>
      </c>
      <c r="Q60" s="2"/>
      <c r="R60" s="6">
        <f t="shared" si="41"/>
        <v>0.10228226115129888</v>
      </c>
      <c r="S60" s="2"/>
      <c r="T60" s="7">
        <v>584</v>
      </c>
      <c r="U60" s="2"/>
      <c r="V60" s="6">
        <f t="shared" si="42"/>
        <v>2.4077609060437271E-3</v>
      </c>
      <c r="W60" s="2"/>
      <c r="X60" s="7">
        <f t="shared" si="43"/>
        <v>-319.45</v>
      </c>
      <c r="Y60" s="2"/>
      <c r="Z60" s="6">
        <f t="shared" si="44"/>
        <v>-0.54700342465753427</v>
      </c>
    </row>
    <row r="61" spans="1:26" s="28" customFormat="1" outlineLevel="1" collapsed="1" x14ac:dyDescent="0.35">
      <c r="A61" s="27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SUM(OSRRefD22_8x_0)</f>
        <v>8.17</v>
      </c>
      <c r="E61" s="1"/>
      <c r="F61" s="5">
        <f t="shared" si="37"/>
        <v>0</v>
      </c>
      <c r="G61" s="1"/>
      <c r="H61" s="1">
        <f>SUM(OSRRefH22_8x_0)</f>
        <v>0</v>
      </c>
      <c r="I61" s="1"/>
      <c r="J61" s="5">
        <f t="shared" si="38"/>
        <v>0</v>
      </c>
      <c r="K61" s="1"/>
      <c r="L61" s="1">
        <f t="shared" si="39"/>
        <v>8.17</v>
      </c>
      <c r="M61" s="1"/>
      <c r="N61" s="5">
        <f t="shared" si="40"/>
        <v>0</v>
      </c>
      <c r="O61" s="14"/>
      <c r="P61" s="1">
        <f>SUM(OSRRefP22_8x_0)</f>
        <v>117.43</v>
      </c>
      <c r="Q61" s="1"/>
      <c r="R61" s="5">
        <f t="shared" si="41"/>
        <v>4.5401647805696568E-2</v>
      </c>
      <c r="S61" s="1"/>
      <c r="T61" s="1">
        <f>SUM(OSRRefT22_8x_0)</f>
        <v>0</v>
      </c>
      <c r="U61" s="1"/>
      <c r="V61" s="5">
        <f t="shared" si="42"/>
        <v>0</v>
      </c>
      <c r="W61" s="1"/>
      <c r="X61" s="1">
        <f t="shared" si="43"/>
        <v>117.43</v>
      </c>
      <c r="Y61" s="1"/>
      <c r="Z61" s="5">
        <f t="shared" si="44"/>
        <v>0</v>
      </c>
    </row>
    <row r="62" spans="1:26" s="24" customFormat="1" hidden="1" outlineLevel="2" x14ac:dyDescent="0.35">
      <c r="A62" s="29"/>
      <c r="B62" s="11" t="str">
        <f>CONCATENATE("          ", "6305", " - ", "FREIGHT OUT")</f>
        <v xml:space="preserve">          6305 - FREIGHT OUT</v>
      </c>
      <c r="C62" s="11"/>
      <c r="D62" s="7">
        <v>8.17</v>
      </c>
      <c r="E62" s="2"/>
      <c r="F62" s="6">
        <f t="shared" si="37"/>
        <v>0</v>
      </c>
      <c r="G62" s="2"/>
      <c r="H62" s="7"/>
      <c r="I62" s="2"/>
      <c r="J62" s="6">
        <f t="shared" si="38"/>
        <v>0</v>
      </c>
      <c r="K62" s="2"/>
      <c r="L62" s="7">
        <f t="shared" si="39"/>
        <v>8.17</v>
      </c>
      <c r="M62" s="2"/>
      <c r="N62" s="6">
        <f t="shared" si="40"/>
        <v>0</v>
      </c>
      <c r="O62" s="11"/>
      <c r="P62" s="7">
        <v>117.43</v>
      </c>
      <c r="Q62" s="2"/>
      <c r="R62" s="6">
        <f t="shared" si="41"/>
        <v>4.5401647805696568E-2</v>
      </c>
      <c r="S62" s="2"/>
      <c r="T62" s="7"/>
      <c r="U62" s="2"/>
      <c r="V62" s="6">
        <f t="shared" si="42"/>
        <v>0</v>
      </c>
      <c r="W62" s="2"/>
      <c r="X62" s="7">
        <f t="shared" si="43"/>
        <v>117.43</v>
      </c>
      <c r="Y62" s="2"/>
      <c r="Z62" s="6">
        <f t="shared" si="44"/>
        <v>0</v>
      </c>
    </row>
    <row r="63" spans="1:26" s="28" customFormat="1" outlineLevel="1" collapsed="1" x14ac:dyDescent="0.35">
      <c r="A63" s="27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SUM(OSRRefD22_9x_0)</f>
        <v>-421.99</v>
      </c>
      <c r="E63" s="1"/>
      <c r="F63" s="5">
        <f t="shared" si="37"/>
        <v>0</v>
      </c>
      <c r="G63" s="1"/>
      <c r="H63" s="1">
        <f>SUM(OSRRefH22_9x_0)</f>
        <v>0</v>
      </c>
      <c r="I63" s="1"/>
      <c r="J63" s="5">
        <f t="shared" si="38"/>
        <v>0</v>
      </c>
      <c r="K63" s="1"/>
      <c r="L63" s="1">
        <f t="shared" si="39"/>
        <v>-421.99</v>
      </c>
      <c r="M63" s="1"/>
      <c r="N63" s="5">
        <f t="shared" si="40"/>
        <v>0</v>
      </c>
      <c r="O63" s="14"/>
      <c r="P63" s="1">
        <f>SUM(OSRRefP22_9x_0)</f>
        <v>2788.49</v>
      </c>
      <c r="Q63" s="1"/>
      <c r="R63" s="5">
        <f t="shared" si="41"/>
        <v>1.0781064539700826</v>
      </c>
      <c r="S63" s="1"/>
      <c r="T63" s="1">
        <f>SUM(OSRRefT22_9x_0)</f>
        <v>3150</v>
      </c>
      <c r="U63" s="1"/>
      <c r="V63" s="5">
        <f t="shared" si="42"/>
        <v>1.2987066530886543E-2</v>
      </c>
      <c r="W63" s="1"/>
      <c r="X63" s="1">
        <f t="shared" si="43"/>
        <v>-361.51000000000022</v>
      </c>
      <c r="Y63" s="1"/>
      <c r="Z63" s="5">
        <f t="shared" si="44"/>
        <v>-0.11476507936507943</v>
      </c>
    </row>
    <row r="64" spans="1:26" s="24" customFormat="1" hidden="1" outlineLevel="2" x14ac:dyDescent="0.35">
      <c r="A64" s="29"/>
      <c r="B64" s="11" t="str">
        <f>CONCATENATE("          ", "6279", " - ", "GENERAL EXPENSE")</f>
        <v xml:space="preserve">          6279 - GENERAL EXPENSE</v>
      </c>
      <c r="C64" s="11"/>
      <c r="D64" s="7">
        <v>-421.99</v>
      </c>
      <c r="E64" s="2"/>
      <c r="F64" s="6">
        <f t="shared" si="37"/>
        <v>0</v>
      </c>
      <c r="G64" s="2"/>
      <c r="H64" s="7"/>
      <c r="I64" s="2"/>
      <c r="J64" s="6">
        <f t="shared" si="38"/>
        <v>0</v>
      </c>
      <c r="K64" s="2"/>
      <c r="L64" s="7">
        <f t="shared" si="39"/>
        <v>-421.99</v>
      </c>
      <c r="M64" s="2"/>
      <c r="N64" s="6">
        <f t="shared" si="40"/>
        <v>0</v>
      </c>
      <c r="O64" s="11"/>
      <c r="P64" s="7">
        <v>2788.49</v>
      </c>
      <c r="Q64" s="2"/>
      <c r="R64" s="6">
        <f t="shared" si="41"/>
        <v>1.0781064539700826</v>
      </c>
      <c r="S64" s="2"/>
      <c r="T64" s="7">
        <v>3150</v>
      </c>
      <c r="U64" s="2"/>
      <c r="V64" s="6">
        <f t="shared" si="42"/>
        <v>1.2987066530886543E-2</v>
      </c>
      <c r="W64" s="2"/>
      <c r="X64" s="7">
        <f t="shared" si="43"/>
        <v>-361.51000000000022</v>
      </c>
      <c r="Y64" s="2"/>
      <c r="Z64" s="6">
        <f t="shared" si="44"/>
        <v>-0.11476507936507943</v>
      </c>
    </row>
    <row r="65" spans="1:26" s="28" customFormat="1" outlineLevel="1" collapsed="1" x14ac:dyDescent="0.35">
      <c r="A65" s="27"/>
      <c r="B65" s="14" t="str">
        <f>CONCATENATE("     ","Insurance                                         ")</f>
        <v xml:space="preserve">     Insurance                                         </v>
      </c>
      <c r="C65" s="14"/>
      <c r="D65" s="1">
        <f>SUM(OSRRefD22_10x_0)</f>
        <v>243.54</v>
      </c>
      <c r="E65" s="1"/>
      <c r="F65" s="5">
        <f t="shared" si="37"/>
        <v>0</v>
      </c>
      <c r="G65" s="1"/>
      <c r="H65" s="1">
        <f>SUM(OSRRefH22_10x_0)</f>
        <v>270</v>
      </c>
      <c r="I65" s="1"/>
      <c r="J65" s="5">
        <f t="shared" si="38"/>
        <v>4.8010242184999465E-3</v>
      </c>
      <c r="K65" s="1"/>
      <c r="L65" s="1">
        <f t="shared" si="39"/>
        <v>-26.460000000000008</v>
      </c>
      <c r="M65" s="1"/>
      <c r="N65" s="5">
        <f t="shared" si="40"/>
        <v>-9.8000000000000032E-2</v>
      </c>
      <c r="O65" s="14"/>
      <c r="P65" s="1">
        <f>SUM(OSRRefP22_10x_0)</f>
        <v>1704.78</v>
      </c>
      <c r="Q65" s="1"/>
      <c r="R65" s="5">
        <f t="shared" si="41"/>
        <v>0.65911454608017872</v>
      </c>
      <c r="S65" s="1"/>
      <c r="T65" s="1">
        <f>SUM(OSRRefT22_10x_0)</f>
        <v>1890</v>
      </c>
      <c r="U65" s="1"/>
      <c r="V65" s="5">
        <f t="shared" si="42"/>
        <v>7.7922399185319253E-3</v>
      </c>
      <c r="W65" s="1"/>
      <c r="X65" s="1">
        <f t="shared" si="43"/>
        <v>-185.22000000000003</v>
      </c>
      <c r="Y65" s="1"/>
      <c r="Z65" s="5">
        <f t="shared" si="44"/>
        <v>-9.8000000000000018E-2</v>
      </c>
    </row>
    <row r="66" spans="1:26" s="24" customFormat="1" hidden="1" outlineLevel="2" x14ac:dyDescent="0.35">
      <c r="A66" s="29"/>
      <c r="B66" s="11" t="str">
        <f>CONCATENATE("          ", "6314", " - ", "LIABILITY INSURANCE")</f>
        <v xml:space="preserve">          6314 - LIABILITY INSURANCE</v>
      </c>
      <c r="C66" s="11"/>
      <c r="D66" s="7">
        <v>243.54</v>
      </c>
      <c r="E66" s="2"/>
      <c r="F66" s="6">
        <f t="shared" si="37"/>
        <v>0</v>
      </c>
      <c r="G66" s="2"/>
      <c r="H66" s="7">
        <v>270</v>
      </c>
      <c r="I66" s="2"/>
      <c r="J66" s="6">
        <f t="shared" si="38"/>
        <v>4.8010242184999465E-3</v>
      </c>
      <c r="K66" s="2"/>
      <c r="L66" s="7">
        <f t="shared" si="39"/>
        <v>-26.460000000000008</v>
      </c>
      <c r="M66" s="2"/>
      <c r="N66" s="6">
        <f t="shared" si="40"/>
        <v>-9.8000000000000032E-2</v>
      </c>
      <c r="O66" s="11"/>
      <c r="P66" s="7">
        <v>1704.78</v>
      </c>
      <c r="Q66" s="2"/>
      <c r="R66" s="6">
        <f t="shared" si="41"/>
        <v>0.65911454608017872</v>
      </c>
      <c r="S66" s="2"/>
      <c r="T66" s="7">
        <v>1890</v>
      </c>
      <c r="U66" s="2"/>
      <c r="V66" s="6">
        <f t="shared" si="42"/>
        <v>7.7922399185319253E-3</v>
      </c>
      <c r="W66" s="2"/>
      <c r="X66" s="7">
        <f t="shared" si="43"/>
        <v>-185.22000000000003</v>
      </c>
      <c r="Y66" s="2"/>
      <c r="Z66" s="6">
        <f t="shared" si="44"/>
        <v>-9.8000000000000018E-2</v>
      </c>
    </row>
    <row r="67" spans="1:26" s="28" customFormat="1" outlineLevel="1" collapsed="1" x14ac:dyDescent="0.35">
      <c r="A67" s="27"/>
      <c r="B67" s="14" t="str">
        <f>CONCATENATE("     ","Interest                                          ")</f>
        <v xml:space="preserve">     Interest                                          </v>
      </c>
      <c r="C67" s="14"/>
      <c r="D67" s="1">
        <f>SUM(OSRRefD22_11x_0)</f>
        <v>4044</v>
      </c>
      <c r="E67" s="1"/>
      <c r="F67" s="5">
        <f t="shared" si="37"/>
        <v>0</v>
      </c>
      <c r="G67" s="1"/>
      <c r="H67" s="1">
        <f>SUM(OSRRefH22_11x_0)</f>
        <v>4044</v>
      </c>
      <c r="I67" s="1"/>
      <c r="J67" s="5">
        <f t="shared" si="38"/>
        <v>7.190867385042142E-2</v>
      </c>
      <c r="K67" s="1"/>
      <c r="L67" s="1">
        <f t="shared" si="39"/>
        <v>0</v>
      </c>
      <c r="M67" s="1"/>
      <c r="N67" s="5">
        <f t="shared" si="40"/>
        <v>0</v>
      </c>
      <c r="O67" s="14"/>
      <c r="P67" s="1">
        <f>SUM(OSRRefP22_11x_0)</f>
        <v>28045.85</v>
      </c>
      <c r="Q67" s="1"/>
      <c r="R67" s="5">
        <f t="shared" si="41"/>
        <v>10.843292209072596</v>
      </c>
      <c r="S67" s="1"/>
      <c r="T67" s="1">
        <f>SUM(OSRRefT22_11x_0)</f>
        <v>28308</v>
      </c>
      <c r="U67" s="1"/>
      <c r="V67" s="5">
        <f t="shared" si="42"/>
        <v>0.1167104378909004</v>
      </c>
      <c r="W67" s="1"/>
      <c r="X67" s="1">
        <f t="shared" si="43"/>
        <v>-262.15000000000146</v>
      </c>
      <c r="Y67" s="1"/>
      <c r="Z67" s="5">
        <f t="shared" si="44"/>
        <v>-9.2606330365974793E-3</v>
      </c>
    </row>
    <row r="68" spans="1:26" s="24" customFormat="1" hidden="1" outlineLevel="2" x14ac:dyDescent="0.35">
      <c r="A68" s="29"/>
      <c r="B68" s="11" t="str">
        <f>CONCATENATE("          ", "6401", " - ", "INTEREST EXPENSE")</f>
        <v xml:space="preserve">          6401 - INTEREST EXPENSE</v>
      </c>
      <c r="C68" s="11"/>
      <c r="D68" s="7">
        <v>4044</v>
      </c>
      <c r="E68" s="2"/>
      <c r="F68" s="6">
        <f t="shared" si="37"/>
        <v>0</v>
      </c>
      <c r="G68" s="2"/>
      <c r="H68" s="7">
        <v>4044</v>
      </c>
      <c r="I68" s="2"/>
      <c r="J68" s="6">
        <f t="shared" si="38"/>
        <v>7.190867385042142E-2</v>
      </c>
      <c r="K68" s="2"/>
      <c r="L68" s="7">
        <f t="shared" si="39"/>
        <v>0</v>
      </c>
      <c r="M68" s="2"/>
      <c r="N68" s="6">
        <f t="shared" si="40"/>
        <v>0</v>
      </c>
      <c r="O68" s="11"/>
      <c r="P68" s="7">
        <v>28045.85</v>
      </c>
      <c r="Q68" s="2"/>
      <c r="R68" s="6">
        <f t="shared" si="41"/>
        <v>10.843292209072596</v>
      </c>
      <c r="S68" s="2"/>
      <c r="T68" s="7">
        <v>28308</v>
      </c>
      <c r="U68" s="2"/>
      <c r="V68" s="6">
        <f t="shared" si="42"/>
        <v>0.1167104378909004</v>
      </c>
      <c r="W68" s="2"/>
      <c r="X68" s="7">
        <f t="shared" si="43"/>
        <v>-262.15000000000146</v>
      </c>
      <c r="Y68" s="2"/>
      <c r="Z68" s="6">
        <f t="shared" si="44"/>
        <v>-9.2606330365974793E-3</v>
      </c>
    </row>
    <row r="69" spans="1:26" s="28" customFormat="1" outlineLevel="1" collapsed="1" x14ac:dyDescent="0.35">
      <c r="A69" s="27"/>
      <c r="B69" s="14" t="str">
        <f>CONCATENATE("     ","Rent                                              ")</f>
        <v xml:space="preserve">     Rent                                              </v>
      </c>
      <c r="C69" s="14"/>
      <c r="D69" s="1">
        <f>SUM(OSRRefD22_12x_0)</f>
        <v>0</v>
      </c>
      <c r="E69" s="1"/>
      <c r="F69" s="5">
        <f t="shared" si="37"/>
        <v>0</v>
      </c>
      <c r="G69" s="1"/>
      <c r="H69" s="1">
        <f>SUM(OSRRefH22_12x_0)</f>
        <v>0</v>
      </c>
      <c r="I69" s="1"/>
      <c r="J69" s="5">
        <f t="shared" si="38"/>
        <v>0</v>
      </c>
      <c r="K69" s="1"/>
      <c r="L69" s="1">
        <f t="shared" si="39"/>
        <v>0</v>
      </c>
      <c r="M69" s="1"/>
      <c r="N69" s="5">
        <f t="shared" si="40"/>
        <v>0</v>
      </c>
      <c r="O69" s="14"/>
      <c r="P69" s="1">
        <f>SUM(OSRRefP22_12x_0)</f>
        <v>0</v>
      </c>
      <c r="Q69" s="1"/>
      <c r="R69" s="5">
        <f t="shared" si="41"/>
        <v>0</v>
      </c>
      <c r="S69" s="1"/>
      <c r="T69" s="1">
        <f>SUM(OSRRefT22_12x_0)</f>
        <v>0</v>
      </c>
      <c r="U69" s="1"/>
      <c r="V69" s="5">
        <f t="shared" si="42"/>
        <v>0</v>
      </c>
      <c r="W69" s="1"/>
      <c r="X69" s="1">
        <f t="shared" si="43"/>
        <v>0</v>
      </c>
      <c r="Y69" s="1"/>
      <c r="Z69" s="5">
        <f t="shared" si="44"/>
        <v>0</v>
      </c>
    </row>
    <row r="70" spans="1:26" s="24" customFormat="1" hidden="1" outlineLevel="2" x14ac:dyDescent="0.35">
      <c r="A70" s="29"/>
      <c r="B70" s="11" t="str">
        <f>CONCATENATE("          ", "6273", " - ", "RENT")</f>
        <v xml:space="preserve">          6273 - RENT</v>
      </c>
      <c r="C70" s="11"/>
      <c r="D70" s="7"/>
      <c r="E70" s="2"/>
      <c r="F70" s="6">
        <f t="shared" si="37"/>
        <v>0</v>
      </c>
      <c r="G70" s="2"/>
      <c r="H70" s="7">
        <v>0</v>
      </c>
      <c r="I70" s="2"/>
      <c r="J70" s="6">
        <f t="shared" si="38"/>
        <v>0</v>
      </c>
      <c r="K70" s="2"/>
      <c r="L70" s="7">
        <f t="shared" si="39"/>
        <v>0</v>
      </c>
      <c r="M70" s="2"/>
      <c r="N70" s="6">
        <f t="shared" si="40"/>
        <v>0</v>
      </c>
      <c r="O70" s="11"/>
      <c r="P70" s="7"/>
      <c r="Q70" s="2"/>
      <c r="R70" s="6">
        <f t="shared" si="41"/>
        <v>0</v>
      </c>
      <c r="S70" s="2"/>
      <c r="T70" s="7">
        <v>0</v>
      </c>
      <c r="U70" s="2"/>
      <c r="V70" s="6">
        <f t="shared" si="42"/>
        <v>0</v>
      </c>
      <c r="W70" s="2"/>
      <c r="X70" s="7">
        <f t="shared" si="43"/>
        <v>0</v>
      </c>
      <c r="Y70" s="2"/>
      <c r="Z70" s="6">
        <f t="shared" si="44"/>
        <v>0</v>
      </c>
    </row>
    <row r="71" spans="1:26" s="28" customFormat="1" outlineLevel="1" collapsed="1" x14ac:dyDescent="0.35">
      <c r="A71" s="27"/>
      <c r="B71" s="14" t="str">
        <f>CONCATENATE("     ","Repair and Maintenance                            ")</f>
        <v xml:space="preserve">     Repair and Maintenance                            </v>
      </c>
      <c r="C71" s="14"/>
      <c r="D71" s="1">
        <f>SUM(OSRRefD22_13x_0)</f>
        <v>0</v>
      </c>
      <c r="E71" s="1"/>
      <c r="F71" s="5">
        <f t="shared" si="37"/>
        <v>0</v>
      </c>
      <c r="G71" s="1"/>
      <c r="H71" s="1">
        <f>SUM(OSRRefH22_13x_0)</f>
        <v>327</v>
      </c>
      <c r="I71" s="1"/>
      <c r="J71" s="5">
        <f t="shared" si="38"/>
        <v>5.8145737757388247E-3</v>
      </c>
      <c r="K71" s="1"/>
      <c r="L71" s="1">
        <f t="shared" si="39"/>
        <v>-327</v>
      </c>
      <c r="M71" s="1"/>
      <c r="N71" s="5">
        <f t="shared" si="40"/>
        <v>-1</v>
      </c>
      <c r="O71" s="14"/>
      <c r="P71" s="1">
        <f>SUM(OSRRefP22_13x_0)</f>
        <v>2291.85</v>
      </c>
      <c r="Q71" s="1"/>
      <c r="R71" s="5">
        <f t="shared" si="41"/>
        <v>0.88609185492195919</v>
      </c>
      <c r="S71" s="1"/>
      <c r="T71" s="1">
        <f>SUM(OSRRefT22_13x_0)</f>
        <v>2787</v>
      </c>
      <c r="U71" s="1"/>
      <c r="V71" s="5">
        <f t="shared" si="42"/>
        <v>1.149046172113676E-2</v>
      </c>
      <c r="W71" s="1"/>
      <c r="X71" s="1">
        <f t="shared" si="43"/>
        <v>-495.15000000000009</v>
      </c>
      <c r="Y71" s="1"/>
      <c r="Z71" s="5">
        <f t="shared" si="44"/>
        <v>-0.17766415500538216</v>
      </c>
    </row>
    <row r="72" spans="1:26" s="24" customFormat="1" hidden="1" outlineLevel="2" x14ac:dyDescent="0.35">
      <c r="A72" s="29"/>
      <c r="B72" s="11" t="str">
        <f>CONCATENATE("          ", "6371", " - ", "COMPUTER SOFTWARE MAINTENANCE")</f>
        <v xml:space="preserve">          6371 - COMPUTER SOFTWARE MAINTENANCE</v>
      </c>
      <c r="C72" s="11"/>
      <c r="D72" s="7"/>
      <c r="E72" s="2"/>
      <c r="F72" s="6">
        <f t="shared" si="37"/>
        <v>0</v>
      </c>
      <c r="G72" s="2"/>
      <c r="H72" s="7"/>
      <c r="I72" s="2"/>
      <c r="J72" s="6">
        <f t="shared" si="38"/>
        <v>0</v>
      </c>
      <c r="K72" s="2"/>
      <c r="L72" s="7">
        <f t="shared" si="39"/>
        <v>0</v>
      </c>
      <c r="M72" s="2"/>
      <c r="N72" s="6">
        <f t="shared" si="40"/>
        <v>0</v>
      </c>
      <c r="O72" s="11"/>
      <c r="P72" s="7"/>
      <c r="Q72" s="2"/>
      <c r="R72" s="6">
        <f t="shared" si="41"/>
        <v>0</v>
      </c>
      <c r="S72" s="2"/>
      <c r="T72" s="7">
        <v>43</v>
      </c>
      <c r="U72" s="2"/>
      <c r="V72" s="6">
        <f t="shared" si="42"/>
        <v>1.7728376534226073E-4</v>
      </c>
      <c r="W72" s="2"/>
      <c r="X72" s="7">
        <f t="shared" si="43"/>
        <v>-43</v>
      </c>
      <c r="Y72" s="2"/>
      <c r="Z72" s="6">
        <f t="shared" si="44"/>
        <v>-1</v>
      </c>
    </row>
    <row r="73" spans="1:26" s="24" customFormat="1" hidden="1" outlineLevel="2" x14ac:dyDescent="0.35">
      <c r="A73" s="29"/>
      <c r="B73" s="11" t="str">
        <f>CONCATENATE("          ", "6372", " - ", "COMPUTER HARDWARE MAINTENANCE")</f>
        <v xml:space="preserve">          6372 - COMPUTER HARDWARE MAINTENANCE</v>
      </c>
      <c r="C73" s="11"/>
      <c r="D73" s="7"/>
      <c r="E73" s="2"/>
      <c r="F73" s="6">
        <f t="shared" si="37"/>
        <v>0</v>
      </c>
      <c r="G73" s="2"/>
      <c r="H73" s="7"/>
      <c r="I73" s="2"/>
      <c r="J73" s="6">
        <f t="shared" si="38"/>
        <v>0</v>
      </c>
      <c r="K73" s="2"/>
      <c r="L73" s="7">
        <f t="shared" si="39"/>
        <v>0</v>
      </c>
      <c r="M73" s="2"/>
      <c r="N73" s="6">
        <f t="shared" si="40"/>
        <v>0</v>
      </c>
      <c r="O73" s="11"/>
      <c r="P73" s="7"/>
      <c r="Q73" s="2"/>
      <c r="R73" s="6">
        <f t="shared" si="41"/>
        <v>0</v>
      </c>
      <c r="S73" s="2"/>
      <c r="T73" s="7">
        <v>437</v>
      </c>
      <c r="U73" s="2"/>
      <c r="V73" s="6">
        <f t="shared" si="42"/>
        <v>1.8016978012690219E-3</v>
      </c>
      <c r="W73" s="2"/>
      <c r="X73" s="7">
        <f t="shared" si="43"/>
        <v>-437</v>
      </c>
      <c r="Y73" s="2"/>
      <c r="Z73" s="6">
        <f t="shared" si="44"/>
        <v>-1</v>
      </c>
    </row>
    <row r="74" spans="1:26" s="24" customFormat="1" hidden="1" outlineLevel="2" x14ac:dyDescent="0.35">
      <c r="A74" s="29"/>
      <c r="B74" s="11" t="str">
        <f>CONCATENATE("          ", "6373", " - ", "MAINTENANCE CONTRACTS")</f>
        <v xml:space="preserve">          6373 - MAINTENANCE CONTRACTS</v>
      </c>
      <c r="C74" s="11"/>
      <c r="D74" s="7"/>
      <c r="E74" s="2"/>
      <c r="F74" s="6">
        <f t="shared" si="37"/>
        <v>0</v>
      </c>
      <c r="G74" s="2"/>
      <c r="H74" s="7">
        <v>21</v>
      </c>
      <c r="I74" s="2"/>
      <c r="J74" s="6">
        <f t="shared" si="38"/>
        <v>3.734129947722181E-4</v>
      </c>
      <c r="K74" s="2"/>
      <c r="L74" s="7">
        <f t="shared" si="39"/>
        <v>-21</v>
      </c>
      <c r="M74" s="2"/>
      <c r="N74" s="6">
        <f t="shared" si="40"/>
        <v>-1</v>
      </c>
      <c r="O74" s="11"/>
      <c r="P74" s="7">
        <v>956.6</v>
      </c>
      <c r="Q74" s="2"/>
      <c r="R74" s="6">
        <f t="shared" si="41"/>
        <v>0.36984770749322432</v>
      </c>
      <c r="S74" s="2"/>
      <c r="T74" s="7">
        <v>231</v>
      </c>
      <c r="U74" s="2"/>
      <c r="V74" s="6">
        <f t="shared" si="42"/>
        <v>9.5238487893167974E-4</v>
      </c>
      <c r="W74" s="2"/>
      <c r="X74" s="7">
        <f t="shared" si="43"/>
        <v>725.6</v>
      </c>
      <c r="Y74" s="2"/>
      <c r="Z74" s="6">
        <f t="shared" si="44"/>
        <v>3.1411255411255414</v>
      </c>
    </row>
    <row r="75" spans="1:26" s="24" customFormat="1" hidden="1" outlineLevel="2" x14ac:dyDescent="0.35">
      <c r="A75" s="29"/>
      <c r="B75" s="11" t="str">
        <f>CONCATENATE("          ", "6375", " - ", "OUTSIDE REPAIRS &amp; MAINTENANCE")</f>
        <v xml:space="preserve">          6375 - OUTSIDE REPAIRS &amp; MAINTENANCE</v>
      </c>
      <c r="C75" s="11"/>
      <c r="D75" s="7"/>
      <c r="E75" s="2"/>
      <c r="F75" s="6">
        <f t="shared" si="37"/>
        <v>0</v>
      </c>
      <c r="G75" s="2"/>
      <c r="H75" s="7">
        <v>306</v>
      </c>
      <c r="I75" s="2"/>
      <c r="J75" s="6">
        <f t="shared" si="38"/>
        <v>5.4411607809666061E-3</v>
      </c>
      <c r="K75" s="2"/>
      <c r="L75" s="7">
        <f t="shared" si="39"/>
        <v>-306</v>
      </c>
      <c r="M75" s="2"/>
      <c r="N75" s="6">
        <f t="shared" si="40"/>
        <v>-1</v>
      </c>
      <c r="O75" s="11"/>
      <c r="P75" s="7">
        <v>1335.25</v>
      </c>
      <c r="Q75" s="2"/>
      <c r="R75" s="6">
        <f t="shared" si="41"/>
        <v>0.51624414742873481</v>
      </c>
      <c r="S75" s="2"/>
      <c r="T75" s="7">
        <v>2076</v>
      </c>
      <c r="U75" s="2"/>
      <c r="V75" s="6">
        <f t="shared" si="42"/>
        <v>8.559095275593797E-3</v>
      </c>
      <c r="W75" s="2"/>
      <c r="X75" s="7">
        <f t="shared" si="43"/>
        <v>-740.75</v>
      </c>
      <c r="Y75" s="2"/>
      <c r="Z75" s="6">
        <f t="shared" si="44"/>
        <v>-0.35681599229287092</v>
      </c>
    </row>
    <row r="76" spans="1:26" s="28" customFormat="1" outlineLevel="1" collapsed="1" x14ac:dyDescent="0.35">
      <c r="A76" s="27"/>
      <c r="B76" s="14" t="str">
        <f>CONCATENATE("     ","Royalty &amp; Commissions                             ")</f>
        <v xml:space="preserve">     Royalty &amp; Commissions                             </v>
      </c>
      <c r="C76" s="14"/>
      <c r="D76" s="1">
        <f>SUM(OSRRefD22_14x_0)</f>
        <v>0</v>
      </c>
      <c r="E76" s="1"/>
      <c r="F76" s="5">
        <f t="shared" ref="F76:F78" si="45">IF(D$12=0,0,D76/D$12)</f>
        <v>0</v>
      </c>
      <c r="G76" s="1"/>
      <c r="H76" s="1">
        <f>SUM(OSRRefH22_14x_0)</f>
        <v>928</v>
      </c>
      <c r="I76" s="1"/>
      <c r="J76" s="5">
        <f t="shared" ref="J76:J78" si="46">IF(H$12=0,0,H76/H$12)</f>
        <v>1.6501298054696113E-2</v>
      </c>
      <c r="K76" s="1"/>
      <c r="L76" s="1">
        <f t="shared" ref="L76:L78" si="47">+D76-H76</f>
        <v>-928</v>
      </c>
      <c r="M76" s="1"/>
      <c r="N76" s="5">
        <f t="shared" ref="N76:N78" si="48">IF(H76=0,0,L76/H76)</f>
        <v>-1</v>
      </c>
      <c r="O76" s="14"/>
      <c r="P76" s="1">
        <f>SUM(OSRRefP22_14x_0)</f>
        <v>185.7</v>
      </c>
      <c r="Q76" s="1"/>
      <c r="R76" s="5">
        <f t="shared" ref="R76:R78" si="49">IF(P$12=0,0,P76/P$12)</f>
        <v>7.1796695882805517E-2</v>
      </c>
      <c r="S76" s="1"/>
      <c r="T76" s="1">
        <f>SUM(OSRRefT22_14x_0)</f>
        <v>4086</v>
      </c>
      <c r="U76" s="1"/>
      <c r="V76" s="5">
        <f t="shared" ref="V76:V78" si="50">IF(T$12=0,0,T76/T$12)</f>
        <v>1.6846080585778543E-2</v>
      </c>
      <c r="W76" s="1"/>
      <c r="X76" s="1">
        <f t="shared" ref="X76:X78" si="51">+P76-T76</f>
        <v>-3900.3</v>
      </c>
      <c r="Y76" s="1"/>
      <c r="Z76" s="5">
        <f t="shared" ref="Z76:Z78" si="52">IF(T76=0,0,X76/T76)</f>
        <v>-0.95455212922173283</v>
      </c>
    </row>
    <row r="77" spans="1:26" s="24" customFormat="1" hidden="1" outlineLevel="2" x14ac:dyDescent="0.35">
      <c r="A77" s="29"/>
      <c r="B77" s="11" t="str">
        <f>CONCATENATE("          ", "6254", " - ", "ROYALTY &amp; COMMISSIONS")</f>
        <v xml:space="preserve">          6254 - ROYALTY &amp; COMMISSIONS</v>
      </c>
      <c r="C77" s="11"/>
      <c r="D77" s="7"/>
      <c r="E77" s="2"/>
      <c r="F77" s="6">
        <f t="shared" si="45"/>
        <v>0</v>
      </c>
      <c r="G77" s="2"/>
      <c r="H77" s="7"/>
      <c r="I77" s="2"/>
      <c r="J77" s="6">
        <f t="shared" si="46"/>
        <v>0</v>
      </c>
      <c r="K77" s="2"/>
      <c r="L77" s="7">
        <f t="shared" si="47"/>
        <v>0</v>
      </c>
      <c r="M77" s="2"/>
      <c r="N77" s="6">
        <f t="shared" si="48"/>
        <v>0</v>
      </c>
      <c r="O77" s="11"/>
      <c r="P77" s="7">
        <v>185.7</v>
      </c>
      <c r="Q77" s="2"/>
      <c r="R77" s="6">
        <f t="shared" si="49"/>
        <v>7.1796695882805517E-2</v>
      </c>
      <c r="S77" s="2"/>
      <c r="T77" s="7"/>
      <c r="U77" s="2"/>
      <c r="V77" s="6">
        <f t="shared" si="50"/>
        <v>0</v>
      </c>
      <c r="W77" s="2"/>
      <c r="X77" s="7">
        <f t="shared" si="51"/>
        <v>185.7</v>
      </c>
      <c r="Y77" s="2"/>
      <c r="Z77" s="6">
        <f t="shared" si="52"/>
        <v>0</v>
      </c>
    </row>
    <row r="78" spans="1:26" s="24" customFormat="1" hidden="1" outlineLevel="2" x14ac:dyDescent="0.35">
      <c r="A78" s="29"/>
      <c r="B78" s="11" t="str">
        <f>CONCATENATE("          ", "6259", " - ", "ROYALTY &amp; COMMISSIONS")</f>
        <v xml:space="preserve">          6259 - ROYALTY &amp; COMMISSIONS</v>
      </c>
      <c r="C78" s="11"/>
      <c r="D78" s="7"/>
      <c r="E78" s="2"/>
      <c r="F78" s="6">
        <f t="shared" si="45"/>
        <v>0</v>
      </c>
      <c r="G78" s="2"/>
      <c r="H78" s="7">
        <v>928</v>
      </c>
      <c r="I78" s="2"/>
      <c r="J78" s="6">
        <f t="shared" si="46"/>
        <v>1.6501298054696113E-2</v>
      </c>
      <c r="K78" s="2"/>
      <c r="L78" s="7">
        <f t="shared" si="47"/>
        <v>-928</v>
      </c>
      <c r="M78" s="2"/>
      <c r="N78" s="6">
        <f t="shared" si="48"/>
        <v>-1</v>
      </c>
      <c r="O78" s="11"/>
      <c r="P78" s="7"/>
      <c r="Q78" s="2"/>
      <c r="R78" s="6">
        <f t="shared" si="49"/>
        <v>0</v>
      </c>
      <c r="S78" s="2"/>
      <c r="T78" s="7">
        <v>4086</v>
      </c>
      <c r="U78" s="2"/>
      <c r="V78" s="6">
        <f t="shared" si="50"/>
        <v>1.6846080585778543E-2</v>
      </c>
      <c r="W78" s="2"/>
      <c r="X78" s="7">
        <f t="shared" si="51"/>
        <v>-4086</v>
      </c>
      <c r="Y78" s="2"/>
      <c r="Z78" s="6">
        <f t="shared" si="52"/>
        <v>-1</v>
      </c>
    </row>
    <row r="79" spans="1:26" s="28" customFormat="1" outlineLevel="1" collapsed="1" x14ac:dyDescent="0.35">
      <c r="A79" s="27"/>
      <c r="B79" s="14" t="str">
        <f>CONCATENATE("     ","Services                                          ")</f>
        <v xml:space="preserve">     Services                                          </v>
      </c>
      <c r="C79" s="14"/>
      <c r="D79" s="1">
        <f>SUM(OSRRefD22_15x_0)</f>
        <v>1060.33</v>
      </c>
      <c r="E79" s="1"/>
      <c r="F79" s="5">
        <f t="shared" ref="F79:F83" si="53">IF(D$12=0,0,D79/D$12)</f>
        <v>0</v>
      </c>
      <c r="G79" s="1"/>
      <c r="H79" s="1">
        <f>SUM(OSRRefH22_15x_0)</f>
        <v>875</v>
      </c>
      <c r="I79" s="1"/>
      <c r="J79" s="5">
        <f t="shared" ref="J79:J83" si="54">IF(H$12=0,0,H79/H$12)</f>
        <v>1.5558874782175753E-2</v>
      </c>
      <c r="K79" s="1"/>
      <c r="L79" s="1">
        <f t="shared" ref="L79:L83" si="55">+D79-H79</f>
        <v>185.32999999999993</v>
      </c>
      <c r="M79" s="1"/>
      <c r="N79" s="5">
        <f t="shared" ref="N79:N83" si="56">IF(H79=0,0,L79/H79)</f>
        <v>0.21180571428571421</v>
      </c>
      <c r="O79" s="14"/>
      <c r="P79" s="1">
        <f>SUM(OSRRefP22_15x_0)</f>
        <v>1414.2199999999998</v>
      </c>
      <c r="Q79" s="1"/>
      <c r="R79" s="5">
        <f t="shared" ref="R79:R83" si="57">IF(P$12=0,0,P79/P$12)</f>
        <v>0.5467761079772816</v>
      </c>
      <c r="S79" s="1"/>
      <c r="T79" s="1">
        <f>SUM(OSRRefT22_15x_0)</f>
        <v>6707</v>
      </c>
      <c r="U79" s="1"/>
      <c r="V79" s="5">
        <f t="shared" ref="V79:V83" si="58">IF(T$12=0,0,T79/T$12)</f>
        <v>2.7652144515128901E-2</v>
      </c>
      <c r="W79" s="1"/>
      <c r="X79" s="1">
        <f t="shared" ref="X79:X83" si="59">+P79-T79</f>
        <v>-5292.7800000000007</v>
      </c>
      <c r="Y79" s="1"/>
      <c r="Z79" s="5">
        <f t="shared" ref="Z79:Z83" si="60">IF(T79=0,0,X79/T79)</f>
        <v>-0.78914268674519172</v>
      </c>
    </row>
    <row r="80" spans="1:26" s="24" customFormat="1" hidden="1" outlineLevel="2" x14ac:dyDescent="0.35">
      <c r="A80" s="29"/>
      <c r="B80" s="11" t="str">
        <f>CONCATENATE("          ", "6282", " - ", "JANITORIAL/EXTERMINATOR EXPENS")</f>
        <v xml:space="preserve">          6282 - JANITORIAL/EXTERMINATOR EXPENS</v>
      </c>
      <c r="C80" s="11"/>
      <c r="D80" s="7">
        <v>771.33</v>
      </c>
      <c r="E80" s="2"/>
      <c r="F80" s="6">
        <f t="shared" si="53"/>
        <v>0</v>
      </c>
      <c r="G80" s="2"/>
      <c r="H80" s="7"/>
      <c r="I80" s="2"/>
      <c r="J80" s="6">
        <f t="shared" si="54"/>
        <v>0</v>
      </c>
      <c r="K80" s="2"/>
      <c r="L80" s="7">
        <f t="shared" si="55"/>
        <v>771.33</v>
      </c>
      <c r="M80" s="2"/>
      <c r="N80" s="6">
        <f t="shared" si="56"/>
        <v>0</v>
      </c>
      <c r="O80" s="11"/>
      <c r="P80" s="7">
        <v>1351.82</v>
      </c>
      <c r="Q80" s="2"/>
      <c r="R80" s="6">
        <f t="shared" si="57"/>
        <v>0.52265056234945695</v>
      </c>
      <c r="S80" s="2"/>
      <c r="T80" s="7">
        <v>1101</v>
      </c>
      <c r="U80" s="2"/>
      <c r="V80" s="6">
        <f t="shared" si="58"/>
        <v>4.5392889684146296E-3</v>
      </c>
      <c r="W80" s="2"/>
      <c r="X80" s="7">
        <f t="shared" si="59"/>
        <v>250.81999999999994</v>
      </c>
      <c r="Y80" s="2"/>
      <c r="Z80" s="6">
        <f t="shared" si="60"/>
        <v>0.22781108083560395</v>
      </c>
    </row>
    <row r="81" spans="1:26" s="24" customFormat="1" hidden="1" outlineLevel="2" x14ac:dyDescent="0.35">
      <c r="A81" s="29"/>
      <c r="B81" s="11" t="str">
        <f>CONCATENATE("          ", "6284", " - ", "TRASH REMOVAL EXPENSE")</f>
        <v xml:space="preserve">          6284 - TRASH REMOVAL EXPENSE</v>
      </c>
      <c r="C81" s="11"/>
      <c r="D81" s="7">
        <v>289</v>
      </c>
      <c r="E81" s="2"/>
      <c r="F81" s="6">
        <f t="shared" si="53"/>
        <v>0</v>
      </c>
      <c r="G81" s="2"/>
      <c r="H81" s="7">
        <v>289</v>
      </c>
      <c r="I81" s="2"/>
      <c r="J81" s="6">
        <f t="shared" si="54"/>
        <v>5.1388740709129056E-3</v>
      </c>
      <c r="K81" s="2"/>
      <c r="L81" s="7">
        <f t="shared" si="55"/>
        <v>0</v>
      </c>
      <c r="M81" s="2"/>
      <c r="N81" s="6">
        <f t="shared" si="56"/>
        <v>0</v>
      </c>
      <c r="O81" s="11"/>
      <c r="P81" s="7">
        <v>867</v>
      </c>
      <c r="Q81" s="2"/>
      <c r="R81" s="6">
        <f t="shared" si="57"/>
        <v>0.33520589838660408</v>
      </c>
      <c r="S81" s="2"/>
      <c r="T81" s="7">
        <v>2022</v>
      </c>
      <c r="U81" s="2"/>
      <c r="V81" s="6">
        <f t="shared" si="58"/>
        <v>8.3364598493500287E-3</v>
      </c>
      <c r="W81" s="2"/>
      <c r="X81" s="7">
        <f t="shared" si="59"/>
        <v>-1155</v>
      </c>
      <c r="Y81" s="2"/>
      <c r="Z81" s="6">
        <f t="shared" si="60"/>
        <v>-0.57121661721068251</v>
      </c>
    </row>
    <row r="82" spans="1:26" s="24" customFormat="1" hidden="1" outlineLevel="2" x14ac:dyDescent="0.35">
      <c r="A82" s="29"/>
      <c r="B82" s="11" t="str">
        <f>CONCATENATE("          ", "6285", " - ", "JANITORIAL SERVICES")</f>
        <v xml:space="preserve">          6285 - JANITORIAL SERVICES</v>
      </c>
      <c r="C82" s="11"/>
      <c r="D82" s="7"/>
      <c r="E82" s="2"/>
      <c r="F82" s="6">
        <f t="shared" si="53"/>
        <v>0</v>
      </c>
      <c r="G82" s="2"/>
      <c r="H82" s="7">
        <v>450</v>
      </c>
      <c r="I82" s="2"/>
      <c r="J82" s="6">
        <f t="shared" si="54"/>
        <v>8.0017070308332442E-3</v>
      </c>
      <c r="K82" s="2"/>
      <c r="L82" s="7">
        <f t="shared" si="55"/>
        <v>-450</v>
      </c>
      <c r="M82" s="2"/>
      <c r="N82" s="6">
        <f t="shared" si="56"/>
        <v>-1</v>
      </c>
      <c r="O82" s="11"/>
      <c r="P82" s="7">
        <v>-804.6</v>
      </c>
      <c r="Q82" s="2"/>
      <c r="R82" s="6">
        <f t="shared" si="57"/>
        <v>-0.31108035275877932</v>
      </c>
      <c r="S82" s="2"/>
      <c r="T82" s="7">
        <v>2863</v>
      </c>
      <c r="U82" s="2"/>
      <c r="V82" s="6">
        <f t="shared" si="58"/>
        <v>1.1803800469183546E-2</v>
      </c>
      <c r="W82" s="2"/>
      <c r="X82" s="7">
        <f t="shared" si="59"/>
        <v>-3667.6</v>
      </c>
      <c r="Y82" s="2"/>
      <c r="Z82" s="6">
        <f t="shared" si="60"/>
        <v>-1.2810338805448829</v>
      </c>
    </row>
    <row r="83" spans="1:26" s="24" customFormat="1" hidden="1" outlineLevel="2" x14ac:dyDescent="0.35">
      <c r="A83" s="29"/>
      <c r="B83" s="11" t="str">
        <f>CONCATENATE("          ", "6286", " - ", "LAUNDRY EXPENSE")</f>
        <v xml:space="preserve">          6286 - LAUNDRY EXPENSE</v>
      </c>
      <c r="C83" s="11"/>
      <c r="D83" s="7"/>
      <c r="E83" s="2"/>
      <c r="F83" s="6">
        <f t="shared" si="53"/>
        <v>0</v>
      </c>
      <c r="G83" s="2"/>
      <c r="H83" s="7">
        <v>136</v>
      </c>
      <c r="I83" s="2"/>
      <c r="J83" s="6">
        <f t="shared" si="54"/>
        <v>2.4182936804296026E-3</v>
      </c>
      <c r="K83" s="2"/>
      <c r="L83" s="7">
        <f t="shared" si="55"/>
        <v>-136</v>
      </c>
      <c r="M83" s="2"/>
      <c r="N83" s="6">
        <f t="shared" si="56"/>
        <v>-1</v>
      </c>
      <c r="O83" s="11"/>
      <c r="P83" s="7"/>
      <c r="Q83" s="2"/>
      <c r="R83" s="6">
        <f t="shared" si="57"/>
        <v>0</v>
      </c>
      <c r="S83" s="2"/>
      <c r="T83" s="7">
        <v>721</v>
      </c>
      <c r="U83" s="2"/>
      <c r="V83" s="6">
        <f t="shared" si="58"/>
        <v>2.9725952281806976E-3</v>
      </c>
      <c r="W83" s="2"/>
      <c r="X83" s="7">
        <f t="shared" si="59"/>
        <v>-721</v>
      </c>
      <c r="Y83" s="2"/>
      <c r="Z83" s="6">
        <f t="shared" si="60"/>
        <v>-1</v>
      </c>
    </row>
    <row r="84" spans="1:26" s="28" customFormat="1" outlineLevel="1" collapsed="1" x14ac:dyDescent="0.35">
      <c r="A84" s="27"/>
      <c r="B84" s="14" t="str">
        <f>CONCATENATE("     ","Subscriptions &amp; Dues                              ")</f>
        <v xml:space="preserve">     Subscriptions &amp; Dues                              </v>
      </c>
      <c r="C84" s="14"/>
      <c r="D84" s="1">
        <f>SUM(OSRRefD22_16x_0)</f>
        <v>0</v>
      </c>
      <c r="E84" s="1"/>
      <c r="F84" s="5">
        <f t="shared" ref="F84:F93" si="61">IF(D$12=0,0,D84/D$12)</f>
        <v>0</v>
      </c>
      <c r="G84" s="1"/>
      <c r="H84" s="1">
        <f>SUM(OSRRefH22_16x_0)</f>
        <v>176</v>
      </c>
      <c r="I84" s="1"/>
      <c r="J84" s="5">
        <f t="shared" ref="J84:J93" si="62">IF(H$12=0,0,H84/H$12)</f>
        <v>3.1295565276147799E-3</v>
      </c>
      <c r="K84" s="1"/>
      <c r="L84" s="1">
        <f t="shared" ref="L84:L93" si="63">+D84-H84</f>
        <v>-176</v>
      </c>
      <c r="M84" s="1"/>
      <c r="N84" s="5">
        <f t="shared" ref="N84:N93" si="64">IF(H84=0,0,L84/H84)</f>
        <v>-1</v>
      </c>
      <c r="O84" s="14"/>
      <c r="P84" s="1">
        <f>SUM(OSRRefP22_16x_0)</f>
        <v>0</v>
      </c>
      <c r="Q84" s="1"/>
      <c r="R84" s="5">
        <f t="shared" ref="R84:R93" si="65">IF(P$12=0,0,P84/P$12)</f>
        <v>0</v>
      </c>
      <c r="S84" s="1"/>
      <c r="T84" s="1">
        <f>SUM(OSRRefT22_16x_0)</f>
        <v>1232</v>
      </c>
      <c r="U84" s="1"/>
      <c r="V84" s="5">
        <f t="shared" ref="V84:V93" si="66">IF(T$12=0,0,T84/T$12)</f>
        <v>5.0793860209689592E-3</v>
      </c>
      <c r="W84" s="1"/>
      <c r="X84" s="1">
        <f t="shared" ref="X84:X93" si="67">+P84-T84</f>
        <v>-1232</v>
      </c>
      <c r="Y84" s="1"/>
      <c r="Z84" s="5">
        <f t="shared" ref="Z84:Z93" si="68">IF(T84=0,0,X84/T84)</f>
        <v>-1</v>
      </c>
    </row>
    <row r="85" spans="1:26" s="24" customFormat="1" hidden="1" outlineLevel="2" x14ac:dyDescent="0.35">
      <c r="A85" s="29"/>
      <c r="B85" s="11" t="str">
        <f>CONCATENATE("          ", "6275", " - ", "SUBSCRIPTIONS")</f>
        <v xml:space="preserve">          6275 - SUBSCRIPTIONS</v>
      </c>
      <c r="C85" s="11"/>
      <c r="D85" s="7"/>
      <c r="E85" s="2"/>
      <c r="F85" s="6">
        <f t="shared" si="61"/>
        <v>0</v>
      </c>
      <c r="G85" s="2"/>
      <c r="H85" s="7">
        <v>176</v>
      </c>
      <c r="I85" s="2"/>
      <c r="J85" s="6">
        <f t="shared" si="62"/>
        <v>3.1295565276147799E-3</v>
      </c>
      <c r="K85" s="2"/>
      <c r="L85" s="7">
        <f t="shared" si="63"/>
        <v>-176</v>
      </c>
      <c r="M85" s="2"/>
      <c r="N85" s="6">
        <f t="shared" si="64"/>
        <v>-1</v>
      </c>
      <c r="O85" s="11"/>
      <c r="P85" s="7"/>
      <c r="Q85" s="2"/>
      <c r="R85" s="6">
        <f t="shared" si="65"/>
        <v>0</v>
      </c>
      <c r="S85" s="2"/>
      <c r="T85" s="7">
        <v>1232</v>
      </c>
      <c r="U85" s="2"/>
      <c r="V85" s="6">
        <f t="shared" si="66"/>
        <v>5.0793860209689592E-3</v>
      </c>
      <c r="W85" s="2"/>
      <c r="X85" s="7">
        <f t="shared" si="67"/>
        <v>-1232</v>
      </c>
      <c r="Y85" s="2"/>
      <c r="Z85" s="6">
        <f t="shared" si="68"/>
        <v>-1</v>
      </c>
    </row>
    <row r="86" spans="1:26" s="28" customFormat="1" outlineLevel="1" collapsed="1" x14ac:dyDescent="0.35">
      <c r="A86" s="27"/>
      <c r="B86" s="14" t="str">
        <f>CONCATENATE("     ","Supplies                                          ")</f>
        <v xml:space="preserve">     Supplies                                          </v>
      </c>
      <c r="C86" s="14"/>
      <c r="D86" s="1">
        <f>SUM(OSRRefD22_17x_0)</f>
        <v>0</v>
      </c>
      <c r="E86" s="1"/>
      <c r="F86" s="5">
        <f t="shared" si="61"/>
        <v>0</v>
      </c>
      <c r="G86" s="1"/>
      <c r="H86" s="1">
        <f>SUM(OSRRefH22_17x_0)</f>
        <v>2332</v>
      </c>
      <c r="I86" s="1"/>
      <c r="J86" s="5">
        <f t="shared" si="62"/>
        <v>4.1466623990895839E-2</v>
      </c>
      <c r="K86" s="1"/>
      <c r="L86" s="1">
        <f t="shared" si="63"/>
        <v>-2332</v>
      </c>
      <c r="M86" s="1"/>
      <c r="N86" s="5">
        <f t="shared" si="64"/>
        <v>-1</v>
      </c>
      <c r="O86" s="14"/>
      <c r="P86" s="1">
        <f>SUM(OSRRefP22_17x_0)</f>
        <v>1094.0899999999999</v>
      </c>
      <c r="Q86" s="1"/>
      <c r="R86" s="5">
        <f t="shared" si="65"/>
        <v>0.42300509961453248</v>
      </c>
      <c r="S86" s="1"/>
      <c r="T86" s="1">
        <f>SUM(OSRRefT22_17x_0)</f>
        <v>17381</v>
      </c>
      <c r="U86" s="1"/>
      <c r="V86" s="5">
        <f t="shared" si="66"/>
        <v>7.1659747102647303E-2</v>
      </c>
      <c r="W86" s="1"/>
      <c r="X86" s="1">
        <f t="shared" si="67"/>
        <v>-16286.91</v>
      </c>
      <c r="Y86" s="1"/>
      <c r="Z86" s="5">
        <f t="shared" si="68"/>
        <v>-0.9370525286232092</v>
      </c>
    </row>
    <row r="87" spans="1:26" s="24" customFormat="1" hidden="1" outlineLevel="2" x14ac:dyDescent="0.35">
      <c r="A87" s="29"/>
      <c r="B87" s="11" t="str">
        <f>CONCATENATE("          ", "6234", " - ", "EXPENDABLE SUPPLIES &amp; EQUIPMEN")</f>
        <v xml:space="preserve">          6234 - EXPENDABLE SUPPLIES &amp; EQUIPMEN</v>
      </c>
      <c r="C87" s="11"/>
      <c r="D87" s="7"/>
      <c r="E87" s="2"/>
      <c r="F87" s="6">
        <f t="shared" si="61"/>
        <v>0</v>
      </c>
      <c r="G87" s="2"/>
      <c r="H87" s="7"/>
      <c r="I87" s="2"/>
      <c r="J87" s="6">
        <f t="shared" si="62"/>
        <v>0</v>
      </c>
      <c r="K87" s="2"/>
      <c r="L87" s="7">
        <f t="shared" si="63"/>
        <v>0</v>
      </c>
      <c r="M87" s="2"/>
      <c r="N87" s="6">
        <f t="shared" si="64"/>
        <v>0</v>
      </c>
      <c r="O87" s="11"/>
      <c r="P87" s="7">
        <v>316.67</v>
      </c>
      <c r="Q87" s="2"/>
      <c r="R87" s="6">
        <f t="shared" si="65"/>
        <v>0.12243327778787304</v>
      </c>
      <c r="S87" s="2"/>
      <c r="T87" s="7">
        <v>28</v>
      </c>
      <c r="U87" s="2"/>
      <c r="V87" s="6">
        <f t="shared" si="66"/>
        <v>1.1544059138565816E-4</v>
      </c>
      <c r="W87" s="2"/>
      <c r="X87" s="7">
        <f t="shared" si="67"/>
        <v>288.67</v>
      </c>
      <c r="Y87" s="2"/>
      <c r="Z87" s="6">
        <f t="shared" si="68"/>
        <v>10.309642857142858</v>
      </c>
    </row>
    <row r="88" spans="1:26" s="24" customFormat="1" hidden="1" outlineLevel="2" x14ac:dyDescent="0.35">
      <c r="A88" s="29"/>
      <c r="B88" s="11" t="str">
        <f>CONCATENATE("          ", "6235", " - ", "COVID-19 EXPENSES")</f>
        <v xml:space="preserve">          6235 - COVID-19 EXPENSES</v>
      </c>
      <c r="C88" s="11"/>
      <c r="D88" s="7"/>
      <c r="E88" s="2"/>
      <c r="F88" s="6">
        <f t="shared" si="61"/>
        <v>0</v>
      </c>
      <c r="G88" s="2"/>
      <c r="H88" s="7">
        <v>400</v>
      </c>
      <c r="I88" s="2"/>
      <c r="J88" s="6">
        <f t="shared" si="62"/>
        <v>7.1126284718517731E-3</v>
      </c>
      <c r="K88" s="2"/>
      <c r="L88" s="7">
        <f t="shared" si="63"/>
        <v>-400</v>
      </c>
      <c r="M88" s="2"/>
      <c r="N88" s="6">
        <f t="shared" si="64"/>
        <v>-1</v>
      </c>
      <c r="O88" s="11"/>
      <c r="P88" s="7">
        <v>207.27</v>
      </c>
      <c r="Q88" s="2"/>
      <c r="R88" s="6">
        <f t="shared" si="65"/>
        <v>8.0136247472423802E-2</v>
      </c>
      <c r="S88" s="2"/>
      <c r="T88" s="7">
        <v>3300</v>
      </c>
      <c r="U88" s="2"/>
      <c r="V88" s="6">
        <f t="shared" si="66"/>
        <v>1.3605498270452569E-2</v>
      </c>
      <c r="W88" s="2"/>
      <c r="X88" s="7">
        <f t="shared" si="67"/>
        <v>-3092.73</v>
      </c>
      <c r="Y88" s="2"/>
      <c r="Z88" s="6">
        <f t="shared" si="68"/>
        <v>-0.93719090909090907</v>
      </c>
    </row>
    <row r="89" spans="1:26" s="24" customFormat="1" hidden="1" outlineLevel="2" x14ac:dyDescent="0.35">
      <c r="A89" s="29"/>
      <c r="B89" s="11" t="str">
        <f>CONCATENATE("          ", "6237", " - ", "JANITORIAL SUPPLIES")</f>
        <v xml:space="preserve">          6237 - JANITORIAL SUPPLIES</v>
      </c>
      <c r="C89" s="11"/>
      <c r="D89" s="7"/>
      <c r="E89" s="2"/>
      <c r="F89" s="6">
        <f t="shared" si="61"/>
        <v>0</v>
      </c>
      <c r="G89" s="2"/>
      <c r="H89" s="7">
        <v>291</v>
      </c>
      <c r="I89" s="2"/>
      <c r="J89" s="6">
        <f t="shared" si="62"/>
        <v>5.1744372132721643E-3</v>
      </c>
      <c r="K89" s="2"/>
      <c r="L89" s="7">
        <f t="shared" si="63"/>
        <v>-291</v>
      </c>
      <c r="M89" s="2"/>
      <c r="N89" s="6">
        <f t="shared" si="64"/>
        <v>-1</v>
      </c>
      <c r="O89" s="11"/>
      <c r="P89" s="7">
        <v>317.57</v>
      </c>
      <c r="Q89" s="2"/>
      <c r="R89" s="6">
        <f t="shared" si="65"/>
        <v>0.12278124238827436</v>
      </c>
      <c r="S89" s="2"/>
      <c r="T89" s="7">
        <v>691</v>
      </c>
      <c r="U89" s="2"/>
      <c r="V89" s="6">
        <f t="shared" si="66"/>
        <v>2.8489088802674924E-3</v>
      </c>
      <c r="W89" s="2"/>
      <c r="X89" s="7">
        <f t="shared" si="67"/>
        <v>-373.43</v>
      </c>
      <c r="Y89" s="2"/>
      <c r="Z89" s="6">
        <f t="shared" si="68"/>
        <v>-0.54041968162083942</v>
      </c>
    </row>
    <row r="90" spans="1:26" s="24" customFormat="1" hidden="1" outlineLevel="2" x14ac:dyDescent="0.35">
      <c r="A90" s="29"/>
      <c r="B90" s="11" t="str">
        <f>CONCATENATE("          ", "6241", " - ", "OFFICE EXPENSE")</f>
        <v xml:space="preserve">          6241 - OFFICE EXPENSE</v>
      </c>
      <c r="C90" s="11"/>
      <c r="D90" s="7"/>
      <c r="E90" s="2"/>
      <c r="F90" s="6">
        <f t="shared" si="61"/>
        <v>0</v>
      </c>
      <c r="G90" s="2"/>
      <c r="H90" s="7"/>
      <c r="I90" s="2"/>
      <c r="J90" s="6">
        <f t="shared" si="62"/>
        <v>0</v>
      </c>
      <c r="K90" s="2"/>
      <c r="L90" s="7">
        <f t="shared" si="63"/>
        <v>0</v>
      </c>
      <c r="M90" s="2"/>
      <c r="N90" s="6">
        <f t="shared" si="64"/>
        <v>0</v>
      </c>
      <c r="O90" s="11"/>
      <c r="P90" s="7">
        <v>131.30000000000001</v>
      </c>
      <c r="Q90" s="2"/>
      <c r="R90" s="6">
        <f t="shared" si="65"/>
        <v>5.0764168925214674E-2</v>
      </c>
      <c r="S90" s="2"/>
      <c r="T90" s="7"/>
      <c r="U90" s="2"/>
      <c r="V90" s="6">
        <f t="shared" si="66"/>
        <v>0</v>
      </c>
      <c r="W90" s="2"/>
      <c r="X90" s="7">
        <f t="shared" si="67"/>
        <v>131.30000000000001</v>
      </c>
      <c r="Y90" s="2"/>
      <c r="Z90" s="6">
        <f t="shared" si="68"/>
        <v>0</v>
      </c>
    </row>
    <row r="91" spans="1:26" s="24" customFormat="1" hidden="1" outlineLevel="2" x14ac:dyDescent="0.35">
      <c r="A91" s="29"/>
      <c r="B91" s="11" t="str">
        <f>CONCATENATE("          ", "6243", " - ", "PAPER SUPPLIES")</f>
        <v xml:space="preserve">          6243 - PAPER SUPPLIES</v>
      </c>
      <c r="C91" s="11"/>
      <c r="D91" s="7"/>
      <c r="E91" s="2"/>
      <c r="F91" s="6">
        <f t="shared" si="61"/>
        <v>0</v>
      </c>
      <c r="G91" s="2"/>
      <c r="H91" s="7">
        <v>454</v>
      </c>
      <c r="I91" s="2"/>
      <c r="J91" s="6">
        <f t="shared" si="62"/>
        <v>8.0728333155517615E-3</v>
      </c>
      <c r="K91" s="2"/>
      <c r="L91" s="7">
        <f t="shared" si="63"/>
        <v>-454</v>
      </c>
      <c r="M91" s="2"/>
      <c r="N91" s="6">
        <f t="shared" si="64"/>
        <v>-1</v>
      </c>
      <c r="O91" s="11"/>
      <c r="P91" s="7"/>
      <c r="Q91" s="2"/>
      <c r="R91" s="6">
        <f t="shared" si="65"/>
        <v>0</v>
      </c>
      <c r="S91" s="2"/>
      <c r="T91" s="7">
        <v>1130</v>
      </c>
      <c r="U91" s="2"/>
      <c r="V91" s="6">
        <f t="shared" si="66"/>
        <v>4.6588524380640614E-3</v>
      </c>
      <c r="W91" s="2"/>
      <c r="X91" s="7">
        <f t="shared" si="67"/>
        <v>-1130</v>
      </c>
      <c r="Y91" s="2"/>
      <c r="Z91" s="6">
        <f t="shared" si="68"/>
        <v>-1</v>
      </c>
    </row>
    <row r="92" spans="1:26" s="24" customFormat="1" hidden="1" outlineLevel="2" x14ac:dyDescent="0.35">
      <c r="A92" s="29"/>
      <c r="B92" s="11" t="str">
        <f>CONCATENATE("          ", "6247", " - ", "STORE SUPPLIES")</f>
        <v xml:space="preserve">          6247 - STORE SUPPLIES</v>
      </c>
      <c r="C92" s="11"/>
      <c r="D92" s="7"/>
      <c r="E92" s="2"/>
      <c r="F92" s="6">
        <f t="shared" si="61"/>
        <v>0</v>
      </c>
      <c r="G92" s="2"/>
      <c r="H92" s="7">
        <v>1087</v>
      </c>
      <c r="I92" s="2"/>
      <c r="J92" s="6">
        <f t="shared" si="62"/>
        <v>1.9328567872257191E-2</v>
      </c>
      <c r="K92" s="2"/>
      <c r="L92" s="7">
        <f t="shared" si="63"/>
        <v>-1087</v>
      </c>
      <c r="M92" s="2"/>
      <c r="N92" s="6">
        <f t="shared" si="64"/>
        <v>-1</v>
      </c>
      <c r="O92" s="11"/>
      <c r="P92" s="7">
        <v>121.28</v>
      </c>
      <c r="Q92" s="2"/>
      <c r="R92" s="6">
        <f t="shared" si="65"/>
        <v>4.6890163040746648E-2</v>
      </c>
      <c r="S92" s="2"/>
      <c r="T92" s="7">
        <v>12032</v>
      </c>
      <c r="U92" s="2"/>
      <c r="V92" s="6">
        <f t="shared" si="66"/>
        <v>4.960647126972282E-2</v>
      </c>
      <c r="W92" s="2"/>
      <c r="X92" s="7">
        <f t="shared" si="67"/>
        <v>-11910.72</v>
      </c>
      <c r="Y92" s="2"/>
      <c r="Z92" s="6">
        <f t="shared" si="68"/>
        <v>-0.98992021276595743</v>
      </c>
    </row>
    <row r="93" spans="1:26" s="24" customFormat="1" hidden="1" outlineLevel="2" x14ac:dyDescent="0.35">
      <c r="A93" s="29"/>
      <c r="B93" s="11" t="str">
        <f>CONCATENATE("          ", "6248", " - ", "UNIFORMS")</f>
        <v xml:space="preserve">          6248 - UNIFORMS</v>
      </c>
      <c r="C93" s="11"/>
      <c r="D93" s="7"/>
      <c r="E93" s="2"/>
      <c r="F93" s="6">
        <f t="shared" si="61"/>
        <v>0</v>
      </c>
      <c r="G93" s="2"/>
      <c r="H93" s="7">
        <v>100</v>
      </c>
      <c r="I93" s="2"/>
      <c r="J93" s="6">
        <f t="shared" si="62"/>
        <v>1.7781571179629433E-3</v>
      </c>
      <c r="K93" s="2"/>
      <c r="L93" s="7">
        <f t="shared" si="63"/>
        <v>-100</v>
      </c>
      <c r="M93" s="2"/>
      <c r="N93" s="6">
        <f t="shared" si="64"/>
        <v>-1</v>
      </c>
      <c r="O93" s="11"/>
      <c r="P93" s="7"/>
      <c r="Q93" s="2"/>
      <c r="R93" s="6">
        <f t="shared" si="65"/>
        <v>0</v>
      </c>
      <c r="S93" s="2"/>
      <c r="T93" s="7">
        <v>200</v>
      </c>
      <c r="U93" s="2"/>
      <c r="V93" s="6">
        <f t="shared" si="66"/>
        <v>8.2457565275470112E-4</v>
      </c>
      <c r="W93" s="2"/>
      <c r="X93" s="7">
        <f t="shared" si="67"/>
        <v>-200</v>
      </c>
      <c r="Y93" s="2"/>
      <c r="Z93" s="6">
        <f t="shared" si="68"/>
        <v>-1</v>
      </c>
    </row>
    <row r="94" spans="1:26" s="28" customFormat="1" outlineLevel="1" collapsed="1" x14ac:dyDescent="0.35">
      <c r="A94" s="27"/>
      <c r="B94" s="14" t="str">
        <f>CONCATENATE("     ","Telephone/Data Lines                              ")</f>
        <v xml:space="preserve">     Telephone/Data Lines                              </v>
      </c>
      <c r="C94" s="14"/>
      <c r="D94" s="1">
        <f>SUM(OSRRefD22_18x_0)</f>
        <v>325.5</v>
      </c>
      <c r="E94" s="1"/>
      <c r="F94" s="5">
        <f t="shared" ref="F94:F96" si="69">IF(D$12=0,0,D94/D$12)</f>
        <v>0</v>
      </c>
      <c r="G94" s="1"/>
      <c r="H94" s="1">
        <f>SUM(OSRRefH22_18x_0)</f>
        <v>385</v>
      </c>
      <c r="I94" s="1"/>
      <c r="J94" s="5">
        <f t="shared" ref="J94:J96" si="70">IF(H$12=0,0,H94/H$12)</f>
        <v>6.8459049041573313E-3</v>
      </c>
      <c r="K94" s="1"/>
      <c r="L94" s="1">
        <f t="shared" ref="L94:L96" si="71">+D94-H94</f>
        <v>-59.5</v>
      </c>
      <c r="M94" s="1"/>
      <c r="N94" s="5">
        <f t="shared" ref="N94:N96" si="72">IF(H94=0,0,L94/H94)</f>
        <v>-0.15454545454545454</v>
      </c>
      <c r="O94" s="14"/>
      <c r="P94" s="1">
        <f>SUM(OSRRefP22_18x_0)</f>
        <v>2985.79</v>
      </c>
      <c r="Q94" s="1"/>
      <c r="R94" s="5">
        <f t="shared" ref="R94:R96" si="73">IF(P$12=0,0,P94/P$12)</f>
        <v>1.1543880269247273</v>
      </c>
      <c r="S94" s="1"/>
      <c r="T94" s="1">
        <f>SUM(OSRRefT22_18x_0)</f>
        <v>2090</v>
      </c>
      <c r="U94" s="1"/>
      <c r="V94" s="5">
        <f t="shared" ref="V94:V96" si="74">IF(T$12=0,0,T94/T$12)</f>
        <v>8.6168155712866273E-3</v>
      </c>
      <c r="W94" s="1"/>
      <c r="X94" s="1">
        <f t="shared" ref="X94:X96" si="75">+P94-T94</f>
        <v>895.79</v>
      </c>
      <c r="Y94" s="1"/>
      <c r="Z94" s="5">
        <f t="shared" ref="Z94:Z96" si="76">IF(T94=0,0,X94/T94)</f>
        <v>0.42860765550239233</v>
      </c>
    </row>
    <row r="95" spans="1:26" s="24" customFormat="1" hidden="1" outlineLevel="2" x14ac:dyDescent="0.35">
      <c r="A95" s="29"/>
      <c r="B95" s="11" t="str">
        <f>CONCATENATE("          ", "6303", " - ", "DATA PHONE LINES")</f>
        <v xml:space="preserve">          6303 - DATA PHONE LINES</v>
      </c>
      <c r="C95" s="11"/>
      <c r="D95" s="7"/>
      <c r="E95" s="2"/>
      <c r="F95" s="6">
        <f t="shared" si="69"/>
        <v>0</v>
      </c>
      <c r="G95" s="2"/>
      <c r="H95" s="7">
        <v>235</v>
      </c>
      <c r="I95" s="2"/>
      <c r="J95" s="6">
        <f t="shared" si="70"/>
        <v>4.1786692272129163E-3</v>
      </c>
      <c r="K95" s="2"/>
      <c r="L95" s="7">
        <f t="shared" si="71"/>
        <v>-235</v>
      </c>
      <c r="M95" s="2"/>
      <c r="N95" s="6">
        <f t="shared" si="72"/>
        <v>-1</v>
      </c>
      <c r="O95" s="11"/>
      <c r="P95" s="7"/>
      <c r="Q95" s="2"/>
      <c r="R95" s="6">
        <f t="shared" si="73"/>
        <v>0</v>
      </c>
      <c r="S95" s="2"/>
      <c r="T95" s="7">
        <v>1640</v>
      </c>
      <c r="U95" s="2"/>
      <c r="V95" s="6">
        <f t="shared" si="74"/>
        <v>6.7615203525885495E-3</v>
      </c>
      <c r="W95" s="2"/>
      <c r="X95" s="7">
        <f t="shared" si="75"/>
        <v>-1640</v>
      </c>
      <c r="Y95" s="2"/>
      <c r="Z95" s="6">
        <f t="shared" si="76"/>
        <v>-1</v>
      </c>
    </row>
    <row r="96" spans="1:26" s="24" customFormat="1" hidden="1" outlineLevel="2" x14ac:dyDescent="0.35">
      <c r="A96" s="29"/>
      <c r="B96" s="11" t="str">
        <f>CONCATENATE("          ", "6309", " - ", "TELEPHONE")</f>
        <v xml:space="preserve">          6309 - TELEPHONE</v>
      </c>
      <c r="C96" s="11"/>
      <c r="D96" s="7">
        <v>325.5</v>
      </c>
      <c r="E96" s="2"/>
      <c r="F96" s="6">
        <f t="shared" si="69"/>
        <v>0</v>
      </c>
      <c r="G96" s="2"/>
      <c r="H96" s="7">
        <v>150</v>
      </c>
      <c r="I96" s="2"/>
      <c r="J96" s="6">
        <f t="shared" si="70"/>
        <v>2.667235676944415E-3</v>
      </c>
      <c r="K96" s="2"/>
      <c r="L96" s="7">
        <f t="shared" si="71"/>
        <v>175.5</v>
      </c>
      <c r="M96" s="2"/>
      <c r="N96" s="6">
        <f t="shared" si="72"/>
        <v>1.17</v>
      </c>
      <c r="O96" s="11"/>
      <c r="P96" s="7">
        <v>2985.79</v>
      </c>
      <c r="Q96" s="2"/>
      <c r="R96" s="6">
        <f t="shared" si="73"/>
        <v>1.1543880269247273</v>
      </c>
      <c r="S96" s="2"/>
      <c r="T96" s="7">
        <v>450</v>
      </c>
      <c r="U96" s="2"/>
      <c r="V96" s="6">
        <f t="shared" si="74"/>
        <v>1.8552952186980775E-3</v>
      </c>
      <c r="W96" s="2"/>
      <c r="X96" s="7">
        <f t="shared" si="75"/>
        <v>2535.79</v>
      </c>
      <c r="Y96" s="2"/>
      <c r="Z96" s="6">
        <f t="shared" si="76"/>
        <v>5.6350888888888884</v>
      </c>
    </row>
    <row r="97" spans="1:26" s="28" customFormat="1" outlineLevel="1" collapsed="1" x14ac:dyDescent="0.35">
      <c r="A97" s="27"/>
      <c r="B97" s="14" t="str">
        <f>CONCATENATE("     ","Training                                          ")</f>
        <v xml:space="preserve">     Training                                          </v>
      </c>
      <c r="C97" s="14"/>
      <c r="D97" s="1">
        <f>SUM(OSRRefD22_19x_0)</f>
        <v>0</v>
      </c>
      <c r="E97" s="1"/>
      <c r="F97" s="5">
        <f t="shared" ref="F97:F102" si="77">IF(D$12=0,0,D97/D$12)</f>
        <v>0</v>
      </c>
      <c r="G97" s="1"/>
      <c r="H97" s="1">
        <f>SUM(OSRRefH22_19x_0)</f>
        <v>120</v>
      </c>
      <c r="I97" s="1"/>
      <c r="J97" s="5">
        <f t="shared" ref="J97:J102" si="78">IF(H$12=0,0,H97/H$12)</f>
        <v>2.1337885415555319E-3</v>
      </c>
      <c r="K97" s="1"/>
      <c r="L97" s="1">
        <f t="shared" ref="L97:L102" si="79">+D97-H97</f>
        <v>-120</v>
      </c>
      <c r="M97" s="1"/>
      <c r="N97" s="5">
        <f t="shared" ref="N97:N102" si="80">IF(H97=0,0,L97/H97)</f>
        <v>-1</v>
      </c>
      <c r="O97" s="14"/>
      <c r="P97" s="1">
        <f>SUM(OSRRefP22_19x_0)</f>
        <v>0</v>
      </c>
      <c r="Q97" s="1"/>
      <c r="R97" s="5">
        <f t="shared" ref="R97:R102" si="81">IF(P$12=0,0,P97/P$12)</f>
        <v>0</v>
      </c>
      <c r="S97" s="1"/>
      <c r="T97" s="1">
        <f>SUM(OSRRefT22_19x_0)</f>
        <v>240</v>
      </c>
      <c r="U97" s="1"/>
      <c r="V97" s="5">
        <f t="shared" ref="V97:V102" si="82">IF(T$12=0,0,T97/T$12)</f>
        <v>9.8949078330564126E-4</v>
      </c>
      <c r="W97" s="1"/>
      <c r="X97" s="1">
        <f t="shared" ref="X97:X102" si="83">+P97-T97</f>
        <v>-240</v>
      </c>
      <c r="Y97" s="1"/>
      <c r="Z97" s="5">
        <f t="shared" ref="Z97:Z102" si="84">IF(T97=0,0,X97/T97)</f>
        <v>-1</v>
      </c>
    </row>
    <row r="98" spans="1:26" s="24" customFormat="1" hidden="1" outlineLevel="2" x14ac:dyDescent="0.35">
      <c r="A98" s="29"/>
      <c r="B98" s="11" t="str">
        <f>CONCATENATE("          ", "6376", " - ", "TRAINING")</f>
        <v xml:space="preserve">          6376 - TRAINING</v>
      </c>
      <c r="C98" s="11"/>
      <c r="D98" s="7"/>
      <c r="E98" s="2"/>
      <c r="F98" s="6">
        <f t="shared" si="77"/>
        <v>0</v>
      </c>
      <c r="G98" s="2"/>
      <c r="H98" s="7">
        <v>120</v>
      </c>
      <c r="I98" s="2"/>
      <c r="J98" s="6">
        <f t="shared" si="78"/>
        <v>2.1337885415555319E-3</v>
      </c>
      <c r="K98" s="2"/>
      <c r="L98" s="7">
        <f t="shared" si="79"/>
        <v>-120</v>
      </c>
      <c r="M98" s="2"/>
      <c r="N98" s="6">
        <f t="shared" si="80"/>
        <v>-1</v>
      </c>
      <c r="O98" s="11"/>
      <c r="P98" s="7"/>
      <c r="Q98" s="2"/>
      <c r="R98" s="6">
        <f t="shared" si="81"/>
        <v>0</v>
      </c>
      <c r="S98" s="2"/>
      <c r="T98" s="7">
        <v>240</v>
      </c>
      <c r="U98" s="2"/>
      <c r="V98" s="6">
        <f t="shared" si="82"/>
        <v>9.8949078330564126E-4</v>
      </c>
      <c r="W98" s="2"/>
      <c r="X98" s="7">
        <f t="shared" si="83"/>
        <v>-240</v>
      </c>
      <c r="Y98" s="2"/>
      <c r="Z98" s="6">
        <f t="shared" si="84"/>
        <v>-1</v>
      </c>
    </row>
    <row r="99" spans="1:26" s="28" customFormat="1" outlineLevel="1" collapsed="1" x14ac:dyDescent="0.35">
      <c r="A99" s="27"/>
      <c r="B99" s="14" t="str">
        <f>CONCATENATE("     ","Travel                                            ")</f>
        <v xml:space="preserve">     Travel                                            </v>
      </c>
      <c r="C99" s="14"/>
      <c r="D99" s="1">
        <f>SUM(OSRRefD22_20x_0)</f>
        <v>0</v>
      </c>
      <c r="E99" s="1"/>
      <c r="F99" s="5">
        <f t="shared" si="77"/>
        <v>0</v>
      </c>
      <c r="G99" s="1"/>
      <c r="H99" s="1">
        <f>SUM(OSRRefH22_20x_0)</f>
        <v>0</v>
      </c>
      <c r="I99" s="1"/>
      <c r="J99" s="5">
        <f t="shared" si="78"/>
        <v>0</v>
      </c>
      <c r="K99" s="1"/>
      <c r="L99" s="1">
        <f t="shared" si="79"/>
        <v>0</v>
      </c>
      <c r="M99" s="1"/>
      <c r="N99" s="5">
        <f t="shared" si="80"/>
        <v>0</v>
      </c>
      <c r="O99" s="14"/>
      <c r="P99" s="1">
        <f>SUM(OSRRefP22_20x_0)</f>
        <v>0</v>
      </c>
      <c r="Q99" s="1"/>
      <c r="R99" s="5">
        <f t="shared" si="81"/>
        <v>0</v>
      </c>
      <c r="S99" s="1"/>
      <c r="T99" s="1">
        <f>SUM(OSRRefT22_20x_0)</f>
        <v>1500</v>
      </c>
      <c r="U99" s="1"/>
      <c r="V99" s="5">
        <f t="shared" si="82"/>
        <v>6.184317395660258E-3</v>
      </c>
      <c r="W99" s="1"/>
      <c r="X99" s="1">
        <f t="shared" si="83"/>
        <v>-1500</v>
      </c>
      <c r="Y99" s="1"/>
      <c r="Z99" s="5">
        <f t="shared" si="84"/>
        <v>-1</v>
      </c>
    </row>
    <row r="100" spans="1:26" s="24" customFormat="1" hidden="1" outlineLevel="2" x14ac:dyDescent="0.35">
      <c r="A100" s="29"/>
      <c r="B100" s="11" t="str">
        <f>CONCATENATE("          ", "6292", " - ", "TRAVEL/CONFERENCE")</f>
        <v xml:space="preserve">          6292 - TRAVEL/CONFERENCE</v>
      </c>
      <c r="C100" s="11"/>
      <c r="D100" s="7"/>
      <c r="E100" s="2"/>
      <c r="F100" s="6">
        <f t="shared" si="77"/>
        <v>0</v>
      </c>
      <c r="G100" s="2"/>
      <c r="H100" s="7"/>
      <c r="I100" s="2"/>
      <c r="J100" s="6">
        <f t="shared" si="78"/>
        <v>0</v>
      </c>
      <c r="K100" s="2"/>
      <c r="L100" s="7">
        <f t="shared" si="79"/>
        <v>0</v>
      </c>
      <c r="M100" s="2"/>
      <c r="N100" s="6">
        <f t="shared" si="80"/>
        <v>0</v>
      </c>
      <c r="O100" s="11"/>
      <c r="P100" s="7"/>
      <c r="Q100" s="2"/>
      <c r="R100" s="6">
        <f t="shared" si="81"/>
        <v>0</v>
      </c>
      <c r="S100" s="2"/>
      <c r="T100" s="7">
        <v>1500</v>
      </c>
      <c r="U100" s="2"/>
      <c r="V100" s="6">
        <f t="shared" si="82"/>
        <v>6.184317395660258E-3</v>
      </c>
      <c r="W100" s="2"/>
      <c r="X100" s="7">
        <f t="shared" si="83"/>
        <v>-1500</v>
      </c>
      <c r="Y100" s="2"/>
      <c r="Z100" s="6">
        <f t="shared" si="84"/>
        <v>-1</v>
      </c>
    </row>
    <row r="101" spans="1:26" s="28" customFormat="1" outlineLevel="1" collapsed="1" x14ac:dyDescent="0.35">
      <c r="A101" s="27"/>
      <c r="B101" s="14" t="str">
        <f>CONCATENATE("     ","Utilities                                         ")</f>
        <v xml:space="preserve">     Utilities                                         </v>
      </c>
      <c r="C101" s="14"/>
      <c r="D101" s="1">
        <f>SUM(OSRRefD22_21x_0)</f>
        <v>1136</v>
      </c>
      <c r="E101" s="1"/>
      <c r="F101" s="5">
        <f t="shared" si="77"/>
        <v>0</v>
      </c>
      <c r="G101" s="1"/>
      <c r="H101" s="1">
        <f>SUM(OSRRefH22_21x_0)</f>
        <v>928</v>
      </c>
      <c r="I101" s="1"/>
      <c r="J101" s="5">
        <f t="shared" si="78"/>
        <v>1.6501298054696113E-2</v>
      </c>
      <c r="K101" s="1"/>
      <c r="L101" s="1">
        <f t="shared" si="79"/>
        <v>208</v>
      </c>
      <c r="M101" s="1"/>
      <c r="N101" s="5">
        <f t="shared" si="80"/>
        <v>0.22413793103448276</v>
      </c>
      <c r="O101" s="14"/>
      <c r="P101" s="1">
        <f>SUM(OSRRefP22_21x_0)</f>
        <v>4694</v>
      </c>
      <c r="Q101" s="1"/>
      <c r="R101" s="5">
        <f t="shared" si="81"/>
        <v>1.8148287047597689</v>
      </c>
      <c r="S101" s="1"/>
      <c r="T101" s="1">
        <f>SUM(OSRRefT22_21x_0)</f>
        <v>6244</v>
      </c>
      <c r="U101" s="1"/>
      <c r="V101" s="5">
        <f t="shared" si="82"/>
        <v>2.5743251879001769E-2</v>
      </c>
      <c r="W101" s="1"/>
      <c r="X101" s="1">
        <f t="shared" si="83"/>
        <v>-1550</v>
      </c>
      <c r="Y101" s="1"/>
      <c r="Z101" s="5">
        <f t="shared" si="84"/>
        <v>-0.24823830877642536</v>
      </c>
    </row>
    <row r="102" spans="1:26" s="24" customFormat="1" hidden="1" outlineLevel="2" x14ac:dyDescent="0.35">
      <c r="A102" s="29"/>
      <c r="B102" s="11" t="str">
        <f>CONCATENATE("          ", "6274", " - ", "UTILITIES")</f>
        <v xml:space="preserve">          6274 - UTILITIES</v>
      </c>
      <c r="C102" s="11"/>
      <c r="D102" s="7">
        <v>1136</v>
      </c>
      <c r="E102" s="2"/>
      <c r="F102" s="6">
        <f t="shared" si="77"/>
        <v>0</v>
      </c>
      <c r="G102" s="2"/>
      <c r="H102" s="7">
        <v>928</v>
      </c>
      <c r="I102" s="2"/>
      <c r="J102" s="6">
        <f t="shared" si="78"/>
        <v>1.6501298054696113E-2</v>
      </c>
      <c r="K102" s="2"/>
      <c r="L102" s="7">
        <f t="shared" si="79"/>
        <v>208</v>
      </c>
      <c r="M102" s="2"/>
      <c r="N102" s="6">
        <f t="shared" si="80"/>
        <v>0.22413793103448276</v>
      </c>
      <c r="O102" s="11"/>
      <c r="P102" s="7">
        <v>4694</v>
      </c>
      <c r="Q102" s="2"/>
      <c r="R102" s="6">
        <f t="shared" si="81"/>
        <v>1.8148287047597689</v>
      </c>
      <c r="S102" s="2"/>
      <c r="T102" s="7">
        <v>6244</v>
      </c>
      <c r="U102" s="2"/>
      <c r="V102" s="6">
        <f t="shared" si="82"/>
        <v>2.5743251879001769E-2</v>
      </c>
      <c r="W102" s="2"/>
      <c r="X102" s="7">
        <f t="shared" si="83"/>
        <v>-1550</v>
      </c>
      <c r="Y102" s="2"/>
      <c r="Z102" s="6">
        <f t="shared" si="84"/>
        <v>-0.24823830877642536</v>
      </c>
    </row>
    <row r="103" spans="1:26" s="55" customFormat="1" x14ac:dyDescent="0.35">
      <c r="A103" s="36"/>
      <c r="B103" s="36"/>
      <c r="C103" s="36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6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x14ac:dyDescent="0.35">
      <c r="A104" s="10"/>
      <c r="B104" s="25" t="s">
        <v>0</v>
      </c>
      <c r="C104" s="10"/>
      <c r="D104" s="4">
        <f>SUM(0)</f>
        <v>0</v>
      </c>
      <c r="E104" s="4"/>
      <c r="F104" s="12">
        <f>IF(D$12=0,0,D104/D$12)</f>
        <v>0</v>
      </c>
      <c r="G104" s="4"/>
      <c r="H104" s="4">
        <f>SUM(0)</f>
        <v>0</v>
      </c>
      <c r="I104" s="4"/>
      <c r="J104" s="12">
        <f>IF(H$12=0,0,H104/H$12)</f>
        <v>0</v>
      </c>
      <c r="K104" s="4"/>
      <c r="L104" s="4">
        <f>+D104-H104</f>
        <v>0</v>
      </c>
      <c r="M104" s="4"/>
      <c r="N104" s="12">
        <f>IF(H104=0,0,L104/H104)</f>
        <v>0</v>
      </c>
      <c r="O104" s="10"/>
      <c r="P104" s="4">
        <f>SUM(0)</f>
        <v>0</v>
      </c>
      <c r="Q104" s="4"/>
      <c r="R104" s="12">
        <f>IF(P$12=0,0,P104/P$12)</f>
        <v>0</v>
      </c>
      <c r="S104" s="4"/>
      <c r="T104" s="4">
        <f>SUM(0)</f>
        <v>0</v>
      </c>
      <c r="U104" s="4"/>
      <c r="V104" s="12">
        <f>IF(T$12=0,0,T104/T$12)</f>
        <v>0</v>
      </c>
      <c r="W104" s="4"/>
      <c r="X104" s="4">
        <f>+P104-T104</f>
        <v>0</v>
      </c>
      <c r="Y104" s="4"/>
      <c r="Z104" s="12">
        <f>IF(T104=0,0,X104/T104)</f>
        <v>0</v>
      </c>
    </row>
    <row r="105" spans="1:26" x14ac:dyDescent="0.3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35">
      <c r="A106" s="10"/>
      <c r="B106" s="26" t="s">
        <v>3</v>
      </c>
      <c r="C106" s="26"/>
      <c r="D106" s="19">
        <f>+D24-D26+D104</f>
        <v>-15691.240000000002</v>
      </c>
      <c r="E106" s="13"/>
      <c r="F106" s="21">
        <f>IF(D$12=0,0,D106/D$12)</f>
        <v>0</v>
      </c>
      <c r="G106" s="13"/>
      <c r="H106" s="19">
        <f>+H24-H26+H104</f>
        <v>-33437.294231799999</v>
      </c>
      <c r="I106" s="13"/>
      <c r="J106" s="21">
        <f>IF(H$12=0,0,H106/H$12)</f>
        <v>-0.59456762743696434</v>
      </c>
      <c r="K106" s="16"/>
      <c r="L106" s="19">
        <f>+D106-H106</f>
        <v>17746.054231799997</v>
      </c>
      <c r="M106" s="16"/>
      <c r="N106" s="21">
        <f>IF(H106=0,0,L106/H106)</f>
        <v>-0.53072638320486165</v>
      </c>
      <c r="O106" s="25"/>
      <c r="P106" s="19">
        <f>+P24-P26+P104</f>
        <v>-194248.37999999998</v>
      </c>
      <c r="Q106" s="13"/>
      <c r="R106" s="21">
        <f>IF(P$12=0,0,P106/P$12)</f>
        <v>-75.101733250337318</v>
      </c>
      <c r="S106" s="13"/>
      <c r="T106" s="19">
        <f>+T24-T26+T104</f>
        <v>-228601.34043370001</v>
      </c>
      <c r="U106" s="13"/>
      <c r="V106" s="21">
        <f>IF(T$12=0,0,T106/T$12)</f>
        <v>-0.94249549754358919</v>
      </c>
      <c r="W106" s="16"/>
      <c r="X106" s="19">
        <f>+P106-T106</f>
        <v>34352.960433700035</v>
      </c>
      <c r="Y106" s="16"/>
      <c r="Z106" s="21">
        <f>IF(T106=0,0,X106/T106)</f>
        <v>-0.15027453631079313</v>
      </c>
    </row>
    <row r="107" spans="1:26" x14ac:dyDescent="0.35">
      <c r="A107" s="9"/>
      <c r="B107" s="10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35">
      <c r="A108" s="52"/>
      <c r="B108" s="10" t="s">
        <v>14</v>
      </c>
      <c r="C108" s="10"/>
      <c r="D108" s="4">
        <v>-9.0399999999999991</v>
      </c>
      <c r="E108" s="4"/>
      <c r="F108" s="12">
        <f>IF(D$12=0,0,D108/D$12)</f>
        <v>0</v>
      </c>
      <c r="G108" s="4"/>
      <c r="H108" s="4">
        <v>6751</v>
      </c>
      <c r="I108" s="4"/>
      <c r="J108" s="12">
        <f>IF(H$12=0,0,H108/H$12)</f>
        <v>0.1200433870336783</v>
      </c>
      <c r="K108" s="4"/>
      <c r="L108" s="4">
        <f>+D108-H108</f>
        <v>-6760.04</v>
      </c>
      <c r="M108" s="4"/>
      <c r="N108" s="12">
        <f>IF(H108=0,0,L108/H108)</f>
        <v>-1.0013390608798696</v>
      </c>
      <c r="O108" s="10"/>
      <c r="P108" s="4">
        <v>469.51</v>
      </c>
      <c r="Q108" s="4"/>
      <c r="R108" s="12">
        <f>IF(P$12=0,0,P108/P$12)</f>
        <v>0.18152539948269261</v>
      </c>
      <c r="S108" s="4"/>
      <c r="T108" s="4">
        <v>42091</v>
      </c>
      <c r="U108" s="4"/>
      <c r="V108" s="12">
        <f>IF(T$12=0,0,T108/T$12)</f>
        <v>0.17353606900049062</v>
      </c>
      <c r="W108" s="4"/>
      <c r="X108" s="4">
        <f>+P108-T108</f>
        <v>-41621.49</v>
      </c>
      <c r="Y108" s="4"/>
      <c r="Z108" s="12">
        <f>IF(T108=0,0,X108/T108)</f>
        <v>-0.98884535886531555</v>
      </c>
    </row>
    <row r="109" spans="1:26" x14ac:dyDescent="0.3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" thickBot="1" x14ac:dyDescent="0.4">
      <c r="A110" s="10"/>
      <c r="B110" s="26" t="s">
        <v>4</v>
      </c>
      <c r="C110" s="26"/>
      <c r="D110" s="33">
        <f>+D106-D108</f>
        <v>-15682.2</v>
      </c>
      <c r="E110" s="13"/>
      <c r="F110" s="31">
        <f>IF(D$12=0,0,D110/D$12)</f>
        <v>0</v>
      </c>
      <c r="G110" s="13"/>
      <c r="H110" s="33">
        <f>+H106-H108</f>
        <v>-40188.294231799999</v>
      </c>
      <c r="I110" s="13"/>
      <c r="J110" s="31">
        <f>IF(H$12=0,0,H110/H$12)</f>
        <v>-0.71461101447064257</v>
      </c>
      <c r="K110" s="16"/>
      <c r="L110" s="33">
        <f>D110-H110</f>
        <v>24506.094231799998</v>
      </c>
      <c r="M110" s="16"/>
      <c r="N110" s="31">
        <f>IF(H110=0,0,L110/H110)</f>
        <v>-0.60978189545574035</v>
      </c>
      <c r="O110" s="25"/>
      <c r="P110" s="33">
        <f>+P106-P108</f>
        <v>-194717.88999999998</v>
      </c>
      <c r="Q110" s="13"/>
      <c r="R110" s="31">
        <f>IF(P$12=0,0,P110/P$12)</f>
        <v>-75.283258649820013</v>
      </c>
      <c r="S110" s="13"/>
      <c r="T110" s="33">
        <f>+T106-T108</f>
        <v>-270692.34043370001</v>
      </c>
      <c r="U110" s="13"/>
      <c r="V110" s="31">
        <f>IF(T$12=0,0,T110/T$12)</f>
        <v>-1.1160315665440799</v>
      </c>
      <c r="W110" s="16"/>
      <c r="X110" s="33">
        <f>P110-T110</f>
        <v>75974.450433700025</v>
      </c>
      <c r="Y110" s="16"/>
      <c r="Z110" s="31">
        <f>IF(T110=0,0,X110/T110)</f>
        <v>-0.2806671600384949</v>
      </c>
    </row>
    <row r="111" spans="1:26" ht="15" thickTop="1" x14ac:dyDescent="0.3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x14ac:dyDescent="0.3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" thickBot="1" x14ac:dyDescent="0.4">
      <c r="A113" s="10"/>
      <c r="B113" s="26" t="s">
        <v>5</v>
      </c>
      <c r="C113" s="26"/>
      <c r="D113" s="34">
        <f>SUM(D110:D112)</f>
        <v>-15682.2</v>
      </c>
      <c r="E113" s="13"/>
      <c r="F113" s="32">
        <f>IF(D$12=0,0,D113/D$12)</f>
        <v>0</v>
      </c>
      <c r="G113" s="13"/>
      <c r="H113" s="34">
        <f>SUM(H110:H112)</f>
        <v>-40188.294231799999</v>
      </c>
      <c r="I113" s="13"/>
      <c r="J113" s="32">
        <f>IF(H$12=0,0,H113/H$12)</f>
        <v>-0.71461101447064257</v>
      </c>
      <c r="K113" s="16"/>
      <c r="L113" s="34">
        <f>+D113-H113</f>
        <v>24506.094231799998</v>
      </c>
      <c r="M113" s="16"/>
      <c r="N113" s="32">
        <f>IF(H113=0,0,L113/H113)</f>
        <v>-0.60978189545574035</v>
      </c>
      <c r="O113" s="25"/>
      <c r="P113" s="34">
        <f>SUM(P110:P112)</f>
        <v>-194717.88999999998</v>
      </c>
      <c r="Q113" s="13"/>
      <c r="R113" s="32">
        <f>IF(P$12=0,0,P113/P$12)</f>
        <v>-75.283258649820013</v>
      </c>
      <c r="S113" s="13"/>
      <c r="T113" s="34">
        <f>SUM(T110:T112)</f>
        <v>-270692.34043370001</v>
      </c>
      <c r="U113" s="13"/>
      <c r="V113" s="32">
        <f>IF(T$12=0,0,T113/T$12)</f>
        <v>-1.1160315665440799</v>
      </c>
      <c r="W113" s="16"/>
      <c r="X113" s="34">
        <f>+P113-T113</f>
        <v>75974.450433700025</v>
      </c>
      <c r="Y113" s="16"/>
      <c r="Z113" s="32">
        <f>IF(T113=0,0,X113/T113)</f>
        <v>-0.2806671600384949</v>
      </c>
    </row>
    <row r="114" spans="1:26" ht="15" thickTop="1" x14ac:dyDescent="0.35">
      <c r="A114" s="9"/>
      <c r="C114" s="9"/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  <row r="115" spans="1:26" x14ac:dyDescent="0.35">
      <c r="A115" s="9"/>
      <c r="B115" s="60">
        <v>44238.490104131946</v>
      </c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  <row r="116" spans="1:26" x14ac:dyDescent="0.35">
      <c r="A116" s="9"/>
      <c r="B116" s="59" t="s">
        <v>314</v>
      </c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6" x14ac:dyDescent="0.35">
      <c r="A117" s="9"/>
      <c r="B117" s="58"/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35"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","309", " - ", "Carts")</f>
        <v>Department 309 - Carts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2</v>
      </c>
      <c r="U12" s="4"/>
      <c r="V12" s="12"/>
      <c r="W12" s="4"/>
      <c r="X12" s="4">
        <f t="shared" ref="X12:X13" si="2">+P12-T12</f>
        <v>-2</v>
      </c>
      <c r="Y12" s="4"/>
      <c r="Z12" s="12">
        <f t="shared" ref="Z12:Z13" si="3">IF(T12=0,0,X12/T12)</f>
        <v>-1</v>
      </c>
    </row>
    <row r="13" spans="1:26" s="24" customFormat="1" hidden="1" outlineLevel="1" x14ac:dyDescent="0.3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2</v>
      </c>
      <c r="U13" s="2"/>
      <c r="V13" s="22"/>
      <c r="W13" s="2"/>
      <c r="X13" s="2">
        <f t="shared" si="2"/>
        <v>-2</v>
      </c>
      <c r="Y13" s="2"/>
      <c r="Z13" s="22">
        <f t="shared" si="3"/>
        <v>-1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0</v>
      </c>
      <c r="I16" s="2"/>
      <c r="J16" s="22">
        <f t="shared" si="5"/>
        <v>0</v>
      </c>
      <c r="K16" s="2"/>
      <c r="L16" s="2">
        <f t="shared" si="6"/>
        <v>0</v>
      </c>
      <c r="M16" s="2"/>
      <c r="N16" s="22">
        <f t="shared" si="7"/>
        <v>0</v>
      </c>
      <c r="O16" s="11"/>
      <c r="P16" s="2"/>
      <c r="Q16" s="2"/>
      <c r="R16" s="22">
        <f t="shared" si="8"/>
        <v>0</v>
      </c>
      <c r="S16" s="2"/>
      <c r="T16" s="2">
        <v>0</v>
      </c>
      <c r="U16" s="2"/>
      <c r="V16" s="22">
        <f t="shared" si="9"/>
        <v>0</v>
      </c>
      <c r="W16" s="2"/>
      <c r="X16" s="2">
        <f t="shared" si="10"/>
        <v>0</v>
      </c>
      <c r="Y16" s="2"/>
      <c r="Z16" s="22">
        <f t="shared" si="11"/>
        <v>0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2</v>
      </c>
      <c r="U18" s="13"/>
      <c r="V18" s="21">
        <f>IF(T$12=0,0,T18/T$12)</f>
        <v>1</v>
      </c>
      <c r="W18" s="16"/>
      <c r="X18" s="19">
        <f>+P18-T18</f>
        <v>-2</v>
      </c>
      <c r="Y18" s="16"/>
      <c r="Z18" s="21">
        <f>IF(T18=0,0,X18/T18)</f>
        <v>-1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SUM(OSRRefD22x_0)</f>
        <v>760.09999999999991</v>
      </c>
      <c r="E20" s="20"/>
      <c r="F20" s="30">
        <f t="shared" ref="F20:F29" si="12">IF(D$12=0,0,D20/D$12)</f>
        <v>0</v>
      </c>
      <c r="G20" s="20"/>
      <c r="H20" s="20">
        <f>SUM(OSRRefH22x_0)</f>
        <v>0</v>
      </c>
      <c r="I20" s="20"/>
      <c r="J20" s="30">
        <f t="shared" ref="J20:J29" si="13">IF(H$12=0,0,H20/H$12)</f>
        <v>0</v>
      </c>
      <c r="K20" s="4"/>
      <c r="L20" s="20">
        <f t="shared" ref="L20:L29" si="14">+D20-H20</f>
        <v>760.09999999999991</v>
      </c>
      <c r="M20" s="4"/>
      <c r="N20" s="30">
        <f t="shared" ref="N20:N29" si="15">IF(H20=0,0,L20/H20)</f>
        <v>0</v>
      </c>
      <c r="O20" s="10"/>
      <c r="P20" s="20">
        <f>SUM(OSRRefP22x_0)</f>
        <v>7010.9999999999982</v>
      </c>
      <c r="Q20" s="20"/>
      <c r="R20" s="30">
        <f t="shared" ref="R20:R29" si="16">IF(P$12=0,0,P20/P$12)</f>
        <v>0</v>
      </c>
      <c r="S20" s="20"/>
      <c r="T20" s="20">
        <f>SUM(OSRRefT22x_0)</f>
        <v>0</v>
      </c>
      <c r="U20" s="20"/>
      <c r="V20" s="30">
        <f t="shared" ref="V20:V29" si="17">IF(T$12=0,0,T20/T$12)</f>
        <v>0</v>
      </c>
      <c r="W20" s="4"/>
      <c r="X20" s="20">
        <f t="shared" ref="X20:X29" si="18">+P20-T20</f>
        <v>7010.9999999999982</v>
      </c>
      <c r="Y20" s="4"/>
      <c r="Z20" s="30">
        <f t="shared" ref="Z20:Z29" si="19">IF(T20=0,0,X20/T20)</f>
        <v>0</v>
      </c>
    </row>
    <row r="21" spans="1:26" s="28" customFormat="1" outlineLevel="1" collapsed="1" x14ac:dyDescent="0.35">
      <c r="A21" s="27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"6111", " - ", "F.I.C.A.")</f>
        <v xml:space="preserve">          6111 - F.I.C.A.</v>
      </c>
      <c r="C22" s="11"/>
      <c r="D22" s="7"/>
      <c r="E22" s="2"/>
      <c r="F22" s="6">
        <f t="shared" si="12"/>
        <v>0</v>
      </c>
      <c r="G22" s="2"/>
      <c r="H22" s="7">
        <v>0</v>
      </c>
      <c r="I22" s="2"/>
      <c r="J22" s="6">
        <f t="shared" si="13"/>
        <v>0</v>
      </c>
      <c r="K22" s="2"/>
      <c r="L22" s="7">
        <f t="shared" si="14"/>
        <v>0</v>
      </c>
      <c r="M22" s="2"/>
      <c r="N22" s="6">
        <f t="shared" si="15"/>
        <v>0</v>
      </c>
      <c r="O22" s="11"/>
      <c r="P22" s="7"/>
      <c r="Q22" s="2"/>
      <c r="R22" s="6">
        <f t="shared" si="16"/>
        <v>0</v>
      </c>
      <c r="S22" s="2"/>
      <c r="T22" s="7">
        <v>0</v>
      </c>
      <c r="U22" s="2"/>
      <c r="V22" s="6">
        <f t="shared" si="17"/>
        <v>0</v>
      </c>
      <c r="W22" s="2"/>
      <c r="X22" s="7">
        <f t="shared" si="18"/>
        <v>0</v>
      </c>
      <c r="Y22" s="2"/>
      <c r="Z22" s="6">
        <f t="shared" si="19"/>
        <v>0</v>
      </c>
    </row>
    <row r="23" spans="1:26" s="24" customFormat="1" hidden="1" outlineLevel="2" x14ac:dyDescent="0.35">
      <c r="A23" s="29"/>
      <c r="B23" s="11" t="str">
        <f>CONCATENATE("          ", "6112", " - ", "COMPENSATION INSURANCE")</f>
        <v xml:space="preserve">          6112 - COMPENSATION INSURANCE</v>
      </c>
      <c r="C23" s="11"/>
      <c r="D23" s="7"/>
      <c r="E23" s="2"/>
      <c r="F23" s="6">
        <f t="shared" si="12"/>
        <v>0</v>
      </c>
      <c r="G23" s="2"/>
      <c r="H23" s="7">
        <v>0</v>
      </c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/>
      <c r="Q23" s="2"/>
      <c r="R23" s="6">
        <f t="shared" si="16"/>
        <v>0</v>
      </c>
      <c r="S23" s="2"/>
      <c r="T23" s="7">
        <v>0</v>
      </c>
      <c r="U23" s="2"/>
      <c r="V23" s="6">
        <f t="shared" si="17"/>
        <v>0</v>
      </c>
      <c r="W23" s="2"/>
      <c r="X23" s="7">
        <f t="shared" si="18"/>
        <v>0</v>
      </c>
      <c r="Y23" s="2"/>
      <c r="Z23" s="6">
        <f t="shared" si="19"/>
        <v>0</v>
      </c>
    </row>
    <row r="24" spans="1:26" s="24" customFormat="1" hidden="1" outlineLevel="2" x14ac:dyDescent="0.35">
      <c r="A24" s="29"/>
      <c r="B24" s="11" t="str">
        <f>CONCATENATE("          ", "6113", " - ", "GROUP INSURANCE")</f>
        <v xml:space="preserve">          6113 - GROUP INSURANCE</v>
      </c>
      <c r="C24" s="11"/>
      <c r="D24" s="7"/>
      <c r="E24" s="2"/>
      <c r="F24" s="6">
        <f t="shared" si="12"/>
        <v>0</v>
      </c>
      <c r="G24" s="2"/>
      <c r="H24" s="7">
        <v>0</v>
      </c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0</v>
      </c>
      <c r="U24" s="2"/>
      <c r="V24" s="6">
        <f t="shared" si="17"/>
        <v>0</v>
      </c>
      <c r="W24" s="2"/>
      <c r="X24" s="7">
        <f t="shared" si="18"/>
        <v>0</v>
      </c>
      <c r="Y24" s="2"/>
      <c r="Z24" s="6">
        <f t="shared" si="19"/>
        <v>0</v>
      </c>
    </row>
    <row r="25" spans="1:26" s="24" customFormat="1" hidden="1" outlineLevel="2" x14ac:dyDescent="0.35">
      <c r="A25" s="29"/>
      <c r="B25" s="11" t="str">
        <f>CONCATENATE("          ", "6114", " - ", "STATE UNEMPLOYMENT INSURANCE")</f>
        <v xml:space="preserve">          6114 - STATE UNEMPLOYMENT INSURANCE</v>
      </c>
      <c r="C25" s="11"/>
      <c r="D25" s="7"/>
      <c r="E25" s="2"/>
      <c r="F25" s="6">
        <f t="shared" si="12"/>
        <v>0</v>
      </c>
      <c r="G25" s="2"/>
      <c r="H25" s="7">
        <v>0</v>
      </c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/>
      <c r="Q25" s="2"/>
      <c r="R25" s="6">
        <f t="shared" si="16"/>
        <v>0</v>
      </c>
      <c r="S25" s="2"/>
      <c r="T25" s="7">
        <v>0</v>
      </c>
      <c r="U25" s="2"/>
      <c r="V25" s="6">
        <f t="shared" si="17"/>
        <v>0</v>
      </c>
      <c r="W25" s="2"/>
      <c r="X25" s="7">
        <f t="shared" si="18"/>
        <v>0</v>
      </c>
      <c r="Y25" s="2"/>
      <c r="Z25" s="6">
        <f t="shared" si="19"/>
        <v>0</v>
      </c>
    </row>
    <row r="26" spans="1:26" s="24" customFormat="1" hidden="1" outlineLevel="2" x14ac:dyDescent="0.35">
      <c r="A26" s="29"/>
      <c r="B26" s="11" t="str">
        <f>CONCATENATE("          ", "6115", " - ", "P.E.R.S.")</f>
        <v xml:space="preserve">          6115 - P.E.R.S.</v>
      </c>
      <c r="C26" s="11"/>
      <c r="D26" s="7"/>
      <c r="E26" s="2"/>
      <c r="F26" s="6">
        <f t="shared" si="12"/>
        <v>0</v>
      </c>
      <c r="G26" s="2"/>
      <c r="H26" s="7">
        <v>0</v>
      </c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0</v>
      </c>
      <c r="U26" s="2"/>
      <c r="V26" s="6">
        <f t="shared" si="17"/>
        <v>0</v>
      </c>
      <c r="W26" s="2"/>
      <c r="X26" s="7">
        <f t="shared" si="18"/>
        <v>0</v>
      </c>
      <c r="Y26" s="2"/>
      <c r="Z26" s="6">
        <f t="shared" si="19"/>
        <v>0</v>
      </c>
    </row>
    <row r="27" spans="1:26" s="24" customFormat="1" hidden="1" outlineLevel="2" x14ac:dyDescent="0.35">
      <c r="A27" s="29"/>
      <c r="B27" s="11" t="str">
        <f>CONCATENATE("          ", "6116", " - ", "EDUCATIONAL BENEFITS")</f>
        <v xml:space="preserve">          6116 - EDUCATIONAL BENEFITS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35">
      <c r="A28" s="29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35">
      <c r="A29" s="29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8" customFormat="1" outlineLevel="1" collapsed="1" x14ac:dyDescent="0.3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0</v>
      </c>
      <c r="M30" s="1"/>
      <c r="N30" s="5">
        <f t="shared" ref="N30:N40" si="23">IF(H30=0,0,L30/H30)</f>
        <v>0</v>
      </c>
      <c r="O30" s="14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0</v>
      </c>
      <c r="Y30" s="1"/>
      <c r="Z30" s="5">
        <f t="shared" ref="Z30:Z40" si="27">IF(T30=0,0,X30/T30)</f>
        <v>0</v>
      </c>
    </row>
    <row r="31" spans="1:26" s="24" customFormat="1" hidden="1" outlineLevel="2" x14ac:dyDescent="0.3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20"/>
        <v>0</v>
      </c>
      <c r="G31" s="2"/>
      <c r="H31" s="7">
        <v>0</v>
      </c>
      <c r="I31" s="2"/>
      <c r="J31" s="6">
        <f t="shared" si="21"/>
        <v>0</v>
      </c>
      <c r="K31" s="2"/>
      <c r="L31" s="7">
        <f t="shared" si="22"/>
        <v>0</v>
      </c>
      <c r="M31" s="2"/>
      <c r="N31" s="6">
        <f t="shared" si="23"/>
        <v>0</v>
      </c>
      <c r="O31" s="11"/>
      <c r="P31" s="7"/>
      <c r="Q31" s="2"/>
      <c r="R31" s="6">
        <f t="shared" si="24"/>
        <v>0</v>
      </c>
      <c r="S31" s="2"/>
      <c r="T31" s="7">
        <v>0</v>
      </c>
      <c r="U31" s="2"/>
      <c r="V31" s="6">
        <f t="shared" si="25"/>
        <v>0</v>
      </c>
      <c r="W31" s="2"/>
      <c r="X31" s="7">
        <f t="shared" si="26"/>
        <v>0</v>
      </c>
      <c r="Y31" s="2"/>
      <c r="Z31" s="6">
        <f t="shared" si="27"/>
        <v>0</v>
      </c>
    </row>
    <row r="32" spans="1:26" s="24" customFormat="1" hidden="1" outlineLevel="2" x14ac:dyDescent="0.35">
      <c r="A32" s="29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3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/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0</v>
      </c>
      <c r="Y33" s="2"/>
      <c r="Z33" s="6">
        <f t="shared" si="27"/>
        <v>0</v>
      </c>
    </row>
    <row r="34" spans="1:26" s="24" customFormat="1" hidden="1" outlineLevel="2" x14ac:dyDescent="0.35">
      <c r="A34" s="29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3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35">
      <c r="A36" s="29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35">
      <c r="A37" s="29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3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3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3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8" customFormat="1" outlineLevel="1" collapsed="1" x14ac:dyDescent="0.3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3" si="28">IF(D$12=0,0,D41/D$12)</f>
        <v>0</v>
      </c>
      <c r="G41" s="1"/>
      <c r="H41" s="1">
        <f>SUM(OSRRefH22_2x_0)</f>
        <v>0</v>
      </c>
      <c r="I41" s="1"/>
      <c r="J41" s="5">
        <f t="shared" ref="J41:J53" si="29">IF(H$12=0,0,H41/H$12)</f>
        <v>0</v>
      </c>
      <c r="K41" s="1"/>
      <c r="L41" s="1">
        <f t="shared" ref="L41:L53" si="30">+D41-H41</f>
        <v>0</v>
      </c>
      <c r="M41" s="1"/>
      <c r="N41" s="5">
        <f t="shared" ref="N41:N53" si="31">IF(H41=0,0,L41/H41)</f>
        <v>0</v>
      </c>
      <c r="O41" s="14"/>
      <c r="P41" s="1">
        <f>SUM(OSRRefP22_2x_0)</f>
        <v>0</v>
      </c>
      <c r="Q41" s="1"/>
      <c r="R41" s="5">
        <f t="shared" ref="R41:R53" si="32">IF(P$12=0,0,P41/P$12)</f>
        <v>0</v>
      </c>
      <c r="S41" s="1"/>
      <c r="T41" s="1">
        <f>SUM(OSRRefT22_2x_0)</f>
        <v>0</v>
      </c>
      <c r="U41" s="1"/>
      <c r="V41" s="5">
        <f t="shared" ref="V41:V53" si="33">IF(T$12=0,0,T41/T$12)</f>
        <v>0</v>
      </c>
      <c r="W41" s="1"/>
      <c r="X41" s="1">
        <f t="shared" ref="X41:X53" si="34">+P41-T41</f>
        <v>0</v>
      </c>
      <c r="Y41" s="1"/>
      <c r="Z41" s="5">
        <f t="shared" ref="Z41:Z53" si="35">IF(T41=0,0,X41/T41)</f>
        <v>0</v>
      </c>
    </row>
    <row r="42" spans="1:26" s="24" customFormat="1" hidden="1" outlineLevel="2" x14ac:dyDescent="0.35">
      <c r="A42" s="29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8"/>
        <v>0</v>
      </c>
      <c r="G42" s="2"/>
      <c r="H42" s="7">
        <v>0</v>
      </c>
      <c r="I42" s="2"/>
      <c r="J42" s="6">
        <f t="shared" si="29"/>
        <v>0</v>
      </c>
      <c r="K42" s="2"/>
      <c r="L42" s="7">
        <f t="shared" si="30"/>
        <v>0</v>
      </c>
      <c r="M42" s="2"/>
      <c r="N42" s="6">
        <f t="shared" si="31"/>
        <v>0</v>
      </c>
      <c r="O42" s="11"/>
      <c r="P42" s="7"/>
      <c r="Q42" s="2"/>
      <c r="R42" s="6">
        <f t="shared" si="32"/>
        <v>0</v>
      </c>
      <c r="S42" s="2"/>
      <c r="T42" s="7">
        <v>0</v>
      </c>
      <c r="U42" s="2"/>
      <c r="V42" s="6">
        <f t="shared" si="33"/>
        <v>0</v>
      </c>
      <c r="W42" s="2"/>
      <c r="X42" s="7">
        <f t="shared" si="34"/>
        <v>0</v>
      </c>
      <c r="Y42" s="2"/>
      <c r="Z42" s="6">
        <f t="shared" si="35"/>
        <v>0</v>
      </c>
    </row>
    <row r="43" spans="1:26" s="28" customFormat="1" outlineLevel="1" collapsed="1" x14ac:dyDescent="0.35">
      <c r="A43" s="27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4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35">
      <c r="A44" s="29"/>
      <c r="B44" s="11" t="str">
        <f>CONCATENATE("          ", "6381", " - ", "BANK/CREDIT CARD FEES")</f>
        <v xml:space="preserve">          6381 - BANK/CREDIT CARD FEES</v>
      </c>
      <c r="C44" s="11"/>
      <c r="D44" s="7"/>
      <c r="E44" s="2"/>
      <c r="F44" s="6">
        <f t="shared" si="28"/>
        <v>0</v>
      </c>
      <c r="G44" s="2"/>
      <c r="H44" s="7">
        <v>0</v>
      </c>
      <c r="I44" s="2"/>
      <c r="J44" s="6">
        <f t="shared" si="29"/>
        <v>0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/>
      <c r="Q44" s="2"/>
      <c r="R44" s="6">
        <f t="shared" si="32"/>
        <v>0</v>
      </c>
      <c r="S44" s="2"/>
      <c r="T44" s="7">
        <v>0</v>
      </c>
      <c r="U44" s="2"/>
      <c r="V44" s="6">
        <f t="shared" si="33"/>
        <v>0</v>
      </c>
      <c r="W44" s="2"/>
      <c r="X44" s="7">
        <f t="shared" si="34"/>
        <v>0</v>
      </c>
      <c r="Y44" s="2"/>
      <c r="Z44" s="6">
        <f t="shared" si="35"/>
        <v>0</v>
      </c>
    </row>
    <row r="45" spans="1:26" s="28" customFormat="1" outlineLevel="1" collapsed="1" x14ac:dyDescent="0.35">
      <c r="A45" s="27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SUM(OSRRefD22_4x_0)</f>
        <v>588.16999999999996</v>
      </c>
      <c r="E45" s="1"/>
      <c r="F45" s="5">
        <f t="shared" si="28"/>
        <v>0</v>
      </c>
      <c r="G45" s="1"/>
      <c r="H45" s="1">
        <f>SUM(OSRRefH22_4x_0)</f>
        <v>0</v>
      </c>
      <c r="I45" s="1"/>
      <c r="J45" s="5">
        <f t="shared" si="29"/>
        <v>0</v>
      </c>
      <c r="K45" s="1"/>
      <c r="L45" s="1">
        <f t="shared" si="30"/>
        <v>588.16999999999996</v>
      </c>
      <c r="M45" s="1"/>
      <c r="N45" s="5">
        <f t="shared" si="31"/>
        <v>0</v>
      </c>
      <c r="O45" s="14"/>
      <c r="P45" s="1">
        <f>SUM(OSRRefP22_4x_0)</f>
        <v>3852.97</v>
      </c>
      <c r="Q45" s="1"/>
      <c r="R45" s="5">
        <f t="shared" si="32"/>
        <v>0</v>
      </c>
      <c r="S45" s="1"/>
      <c r="T45" s="1">
        <f>SUM(OSRRefT22_4x_0)</f>
        <v>0</v>
      </c>
      <c r="U45" s="1"/>
      <c r="V45" s="5">
        <f t="shared" si="33"/>
        <v>0</v>
      </c>
      <c r="W45" s="1"/>
      <c r="X45" s="1">
        <f t="shared" si="34"/>
        <v>3852.97</v>
      </c>
      <c r="Y45" s="1"/>
      <c r="Z45" s="5">
        <f t="shared" si="35"/>
        <v>0</v>
      </c>
    </row>
    <row r="46" spans="1:26" s="24" customFormat="1" hidden="1" outlineLevel="2" x14ac:dyDescent="0.35">
      <c r="A46" s="29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588.16999999999996</v>
      </c>
      <c r="E46" s="2"/>
      <c r="F46" s="6">
        <f t="shared" si="28"/>
        <v>0</v>
      </c>
      <c r="G46" s="2"/>
      <c r="H46" s="7"/>
      <c r="I46" s="2"/>
      <c r="J46" s="6">
        <f t="shared" si="29"/>
        <v>0</v>
      </c>
      <c r="K46" s="2"/>
      <c r="L46" s="7">
        <f t="shared" si="30"/>
        <v>588.16999999999996</v>
      </c>
      <c r="M46" s="2"/>
      <c r="N46" s="6">
        <f t="shared" si="31"/>
        <v>0</v>
      </c>
      <c r="O46" s="11"/>
      <c r="P46" s="7">
        <v>3852.97</v>
      </c>
      <c r="Q46" s="2"/>
      <c r="R46" s="6">
        <f t="shared" si="32"/>
        <v>0</v>
      </c>
      <c r="S46" s="2"/>
      <c r="T46" s="7"/>
      <c r="U46" s="2"/>
      <c r="V46" s="6">
        <f t="shared" si="33"/>
        <v>0</v>
      </c>
      <c r="W46" s="2"/>
      <c r="X46" s="7">
        <f t="shared" si="34"/>
        <v>3852.97</v>
      </c>
      <c r="Y46" s="2"/>
      <c r="Z46" s="6">
        <f t="shared" si="35"/>
        <v>0</v>
      </c>
    </row>
    <row r="47" spans="1:26" s="28" customFormat="1" outlineLevel="1" collapsed="1" x14ac:dyDescent="0.35">
      <c r="A47" s="27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SUM(OSRRefD22_5x_0)</f>
        <v>0</v>
      </c>
      <c r="E47" s="1"/>
      <c r="F47" s="5">
        <f t="shared" si="28"/>
        <v>0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0</v>
      </c>
      <c r="M47" s="1"/>
      <c r="N47" s="5">
        <f t="shared" si="31"/>
        <v>0</v>
      </c>
      <c r="O47" s="14"/>
      <c r="P47" s="1">
        <f>SUM(OSRRefP22_5x_0)</f>
        <v>12</v>
      </c>
      <c r="Q47" s="1"/>
      <c r="R47" s="5">
        <f t="shared" si="32"/>
        <v>0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12</v>
      </c>
      <c r="Y47" s="1"/>
      <c r="Z47" s="5">
        <f t="shared" si="35"/>
        <v>0</v>
      </c>
    </row>
    <row r="48" spans="1:26" s="24" customFormat="1" hidden="1" outlineLevel="2" x14ac:dyDescent="0.35">
      <c r="A48" s="29"/>
      <c r="B48" s="11" t="str">
        <f>CONCATENATE("          ", "6351", " - ", "EQUIPMENT RENTAL")</f>
        <v xml:space="preserve">          6351 - EQUIPMENT RENTAL</v>
      </c>
      <c r="C48" s="11"/>
      <c r="D48" s="7"/>
      <c r="E48" s="2"/>
      <c r="F48" s="6">
        <f t="shared" si="28"/>
        <v>0</v>
      </c>
      <c r="G48" s="2"/>
      <c r="H48" s="7"/>
      <c r="I48" s="2"/>
      <c r="J48" s="6">
        <f t="shared" si="29"/>
        <v>0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>
        <v>12</v>
      </c>
      <c r="Q48" s="2"/>
      <c r="R48" s="6">
        <f t="shared" si="32"/>
        <v>0</v>
      </c>
      <c r="S48" s="2"/>
      <c r="T48" s="7"/>
      <c r="U48" s="2"/>
      <c r="V48" s="6">
        <f t="shared" si="33"/>
        <v>0</v>
      </c>
      <c r="W48" s="2"/>
      <c r="X48" s="7">
        <f t="shared" si="34"/>
        <v>12</v>
      </c>
      <c r="Y48" s="2"/>
      <c r="Z48" s="6">
        <f t="shared" si="35"/>
        <v>0</v>
      </c>
    </row>
    <row r="49" spans="1:26" s="28" customFormat="1" outlineLevel="1" collapsed="1" x14ac:dyDescent="0.35">
      <c r="A49" s="27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0</v>
      </c>
      <c r="E49" s="1"/>
      <c r="F49" s="5">
        <f t="shared" si="28"/>
        <v>0</v>
      </c>
      <c r="G49" s="1"/>
      <c r="H49" s="1">
        <f>SUM(OSRRefH22_6x_0)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4"/>
      <c r="P49" s="1">
        <f>SUM(OSRRefP22_6x_0)</f>
        <v>575</v>
      </c>
      <c r="Q49" s="1"/>
      <c r="R49" s="5">
        <f t="shared" si="32"/>
        <v>0</v>
      </c>
      <c r="S49" s="1"/>
      <c r="T49" s="1">
        <f>SUM(OSRRefT22_6x_0)</f>
        <v>0</v>
      </c>
      <c r="U49" s="1"/>
      <c r="V49" s="5">
        <f t="shared" si="33"/>
        <v>0</v>
      </c>
      <c r="W49" s="1"/>
      <c r="X49" s="1">
        <f t="shared" si="34"/>
        <v>575</v>
      </c>
      <c r="Y49" s="1"/>
      <c r="Z49" s="5">
        <f t="shared" si="35"/>
        <v>0</v>
      </c>
    </row>
    <row r="50" spans="1:26" s="24" customFormat="1" hidden="1" outlineLevel="2" x14ac:dyDescent="0.35">
      <c r="A50" s="29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>
        <v>575</v>
      </c>
      <c r="Q50" s="2"/>
      <c r="R50" s="6">
        <f t="shared" si="32"/>
        <v>0</v>
      </c>
      <c r="S50" s="2"/>
      <c r="T50" s="7">
        <v>0</v>
      </c>
      <c r="U50" s="2"/>
      <c r="V50" s="6">
        <f t="shared" si="33"/>
        <v>0</v>
      </c>
      <c r="W50" s="2"/>
      <c r="X50" s="7">
        <f t="shared" si="34"/>
        <v>575</v>
      </c>
      <c r="Y50" s="2"/>
      <c r="Z50" s="6">
        <f t="shared" si="35"/>
        <v>0</v>
      </c>
    </row>
    <row r="51" spans="1:26" s="28" customFormat="1" outlineLevel="1" collapsed="1" x14ac:dyDescent="0.35">
      <c r="A51" s="27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0</v>
      </c>
      <c r="M51" s="1"/>
      <c r="N51" s="5">
        <f t="shared" si="31"/>
        <v>0</v>
      </c>
      <c r="O51" s="14"/>
      <c r="P51" s="1">
        <f>SUM(OSRRefP22_7x_0)</f>
        <v>1232.0500000000002</v>
      </c>
      <c r="Q51" s="1"/>
      <c r="R51" s="5">
        <f t="shared" si="32"/>
        <v>0</v>
      </c>
      <c r="S51" s="1"/>
      <c r="T51" s="1">
        <f>SUM(OSRRefT22_7x_0)</f>
        <v>0</v>
      </c>
      <c r="U51" s="1"/>
      <c r="V51" s="5">
        <f t="shared" si="33"/>
        <v>0</v>
      </c>
      <c r="W51" s="1"/>
      <c r="X51" s="1">
        <f t="shared" si="34"/>
        <v>1232.0500000000002</v>
      </c>
      <c r="Y51" s="1"/>
      <c r="Z51" s="5">
        <f t="shared" si="35"/>
        <v>0</v>
      </c>
    </row>
    <row r="52" spans="1:26" s="24" customFormat="1" hidden="1" outlineLevel="2" x14ac:dyDescent="0.35">
      <c r="A52" s="29"/>
      <c r="B52" s="11" t="str">
        <f>CONCATENATE("          ", "6373", " - ", "MAINTENANCE CONTRACTS")</f>
        <v xml:space="preserve">          6373 - MAINTENANCE CONTRACTS</v>
      </c>
      <c r="C52" s="11"/>
      <c r="D52" s="7"/>
      <c r="E52" s="2"/>
      <c r="F52" s="6">
        <f t="shared" si="28"/>
        <v>0</v>
      </c>
      <c r="G52" s="2"/>
      <c r="H52" s="7"/>
      <c r="I52" s="2"/>
      <c r="J52" s="6">
        <f t="shared" si="29"/>
        <v>0</v>
      </c>
      <c r="K52" s="2"/>
      <c r="L52" s="7">
        <f t="shared" si="30"/>
        <v>0</v>
      </c>
      <c r="M52" s="2"/>
      <c r="N52" s="6">
        <f t="shared" si="31"/>
        <v>0</v>
      </c>
      <c r="O52" s="11"/>
      <c r="P52" s="7">
        <v>214.36</v>
      </c>
      <c r="Q52" s="2"/>
      <c r="R52" s="6">
        <f t="shared" si="32"/>
        <v>0</v>
      </c>
      <c r="S52" s="2"/>
      <c r="T52" s="7"/>
      <c r="U52" s="2"/>
      <c r="V52" s="6">
        <f t="shared" si="33"/>
        <v>0</v>
      </c>
      <c r="W52" s="2"/>
      <c r="X52" s="7">
        <f t="shared" si="34"/>
        <v>214.36</v>
      </c>
      <c r="Y52" s="2"/>
      <c r="Z52" s="6">
        <f t="shared" si="35"/>
        <v>0</v>
      </c>
    </row>
    <row r="53" spans="1:26" s="24" customFormat="1" hidden="1" outlineLevel="2" x14ac:dyDescent="0.35">
      <c r="A53" s="29"/>
      <c r="B53" s="11" t="str">
        <f>CONCATENATE("          ", "6375", " - ", "OUTSIDE REPAIRS &amp; MAINTENANCE")</f>
        <v xml:space="preserve">          6375 - OUTSIDE REPAIRS &amp; MAINTENANCE</v>
      </c>
      <c r="C53" s="11"/>
      <c r="D53" s="7"/>
      <c r="E53" s="2"/>
      <c r="F53" s="6">
        <f t="shared" si="28"/>
        <v>0</v>
      </c>
      <c r="G53" s="2"/>
      <c r="H53" s="7">
        <v>0</v>
      </c>
      <c r="I53" s="2"/>
      <c r="J53" s="6">
        <f t="shared" si="29"/>
        <v>0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>
        <v>1017.69</v>
      </c>
      <c r="Q53" s="2"/>
      <c r="R53" s="6">
        <f t="shared" si="32"/>
        <v>0</v>
      </c>
      <c r="S53" s="2"/>
      <c r="T53" s="7">
        <v>0</v>
      </c>
      <c r="U53" s="2"/>
      <c r="V53" s="6">
        <f t="shared" si="33"/>
        <v>0</v>
      </c>
      <c r="W53" s="2"/>
      <c r="X53" s="7">
        <f t="shared" si="34"/>
        <v>1017.69</v>
      </c>
      <c r="Y53" s="2"/>
      <c r="Z53" s="6">
        <f t="shared" si="35"/>
        <v>0</v>
      </c>
    </row>
    <row r="54" spans="1:26" s="28" customFormat="1" outlineLevel="1" collapsed="1" x14ac:dyDescent="0.35">
      <c r="A54" s="27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SUM(OSRRefD22_8x_0)</f>
        <v>141.93</v>
      </c>
      <c r="E54" s="1"/>
      <c r="F54" s="5">
        <f t="shared" ref="F54:F56" si="36">IF(D$12=0,0,D54/D$12)</f>
        <v>0</v>
      </c>
      <c r="G54" s="1"/>
      <c r="H54" s="1">
        <f>SUM(OSRRefH22_8x_0)</f>
        <v>0</v>
      </c>
      <c r="I54" s="1"/>
      <c r="J54" s="5">
        <f t="shared" ref="J54:J56" si="37">IF(H$12=0,0,H54/H$12)</f>
        <v>0</v>
      </c>
      <c r="K54" s="1"/>
      <c r="L54" s="1">
        <f t="shared" ref="L54:L56" si="38">+D54-H54</f>
        <v>141.93</v>
      </c>
      <c r="M54" s="1"/>
      <c r="N54" s="5">
        <f t="shared" ref="N54:N56" si="39">IF(H54=0,0,L54/H54)</f>
        <v>0</v>
      </c>
      <c r="O54" s="14"/>
      <c r="P54" s="1">
        <f>SUM(OSRRefP22_8x_0)</f>
        <v>1034.6600000000001</v>
      </c>
      <c r="Q54" s="1"/>
      <c r="R54" s="5">
        <f t="shared" ref="R54:R56" si="40">IF(P$12=0,0,P54/P$12)</f>
        <v>0</v>
      </c>
      <c r="S54" s="1"/>
      <c r="T54" s="1">
        <f>SUM(OSRRefT22_8x_0)</f>
        <v>0</v>
      </c>
      <c r="U54" s="1"/>
      <c r="V54" s="5">
        <f t="shared" ref="V54:V56" si="41">IF(T$12=0,0,T54/T$12)</f>
        <v>0</v>
      </c>
      <c r="W54" s="1"/>
      <c r="X54" s="1">
        <f t="shared" ref="X54:X56" si="42">+P54-T54</f>
        <v>1034.6600000000001</v>
      </c>
      <c r="Y54" s="1"/>
      <c r="Z54" s="5">
        <f t="shared" ref="Z54:Z56" si="43">IF(T54=0,0,X54/T54)</f>
        <v>0</v>
      </c>
    </row>
    <row r="55" spans="1:26" s="24" customFormat="1" hidden="1" outlineLevel="2" x14ac:dyDescent="0.35">
      <c r="A55" s="29"/>
      <c r="B55" s="11" t="str">
        <f>CONCATENATE("          ", "6282", " - ", "JANITORIAL/EXTERMINATOR EXPENS")</f>
        <v xml:space="preserve">          6282 - JANITORIAL/EXTERMINATOR EXPENS</v>
      </c>
      <c r="C55" s="11"/>
      <c r="D55" s="7">
        <v>141.93</v>
      </c>
      <c r="E55" s="2"/>
      <c r="F55" s="6">
        <f t="shared" si="36"/>
        <v>0</v>
      </c>
      <c r="G55" s="2"/>
      <c r="H55" s="7"/>
      <c r="I55" s="2"/>
      <c r="J55" s="6">
        <f t="shared" si="37"/>
        <v>0</v>
      </c>
      <c r="K55" s="2"/>
      <c r="L55" s="7">
        <f t="shared" si="38"/>
        <v>141.93</v>
      </c>
      <c r="M55" s="2"/>
      <c r="N55" s="6">
        <f t="shared" si="39"/>
        <v>0</v>
      </c>
      <c r="O55" s="11"/>
      <c r="P55" s="7">
        <v>1207.7</v>
      </c>
      <c r="Q55" s="2"/>
      <c r="R55" s="6">
        <f t="shared" si="40"/>
        <v>0</v>
      </c>
      <c r="S55" s="2"/>
      <c r="T55" s="7"/>
      <c r="U55" s="2"/>
      <c r="V55" s="6">
        <f t="shared" si="41"/>
        <v>0</v>
      </c>
      <c r="W55" s="2"/>
      <c r="X55" s="7">
        <f t="shared" si="42"/>
        <v>1207.7</v>
      </c>
      <c r="Y55" s="2"/>
      <c r="Z55" s="6">
        <f t="shared" si="43"/>
        <v>0</v>
      </c>
    </row>
    <row r="56" spans="1:26" s="24" customFormat="1" hidden="1" outlineLevel="2" x14ac:dyDescent="0.35">
      <c r="A56" s="29"/>
      <c r="B56" s="11" t="str">
        <f>CONCATENATE("          ", "6285", " - ", "JANITORIAL SERVICES")</f>
        <v xml:space="preserve">          6285 - JANITORIAL SERVICES</v>
      </c>
      <c r="C56" s="11"/>
      <c r="D56" s="7"/>
      <c r="E56" s="2"/>
      <c r="F56" s="6">
        <f t="shared" si="36"/>
        <v>0</v>
      </c>
      <c r="G56" s="2"/>
      <c r="H56" s="7">
        <v>0</v>
      </c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-173.04</v>
      </c>
      <c r="Q56" s="2"/>
      <c r="R56" s="6">
        <f t="shared" si="40"/>
        <v>0</v>
      </c>
      <c r="S56" s="2"/>
      <c r="T56" s="7">
        <v>0</v>
      </c>
      <c r="U56" s="2"/>
      <c r="V56" s="6">
        <f t="shared" si="41"/>
        <v>0</v>
      </c>
      <c r="W56" s="2"/>
      <c r="X56" s="7">
        <f t="shared" si="42"/>
        <v>-173.04</v>
      </c>
      <c r="Y56" s="2"/>
      <c r="Z56" s="6">
        <f t="shared" si="43"/>
        <v>0</v>
      </c>
    </row>
    <row r="57" spans="1:26" s="28" customFormat="1" outlineLevel="1" collapsed="1" x14ac:dyDescent="0.35">
      <c r="A57" s="27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SUM(OSRRefD22_9x_0)</f>
        <v>0</v>
      </c>
      <c r="E57" s="1"/>
      <c r="F57" s="5">
        <f t="shared" ref="F57:F60" si="44">IF(D$12=0,0,D57/D$12)</f>
        <v>0</v>
      </c>
      <c r="G57" s="1"/>
      <c r="H57" s="1">
        <f>SUM(OSRRefH22_9x_0)</f>
        <v>0</v>
      </c>
      <c r="I57" s="1"/>
      <c r="J57" s="5">
        <f t="shared" ref="J57:J60" si="45">IF(H$12=0,0,H57/H$12)</f>
        <v>0</v>
      </c>
      <c r="K57" s="1"/>
      <c r="L57" s="1">
        <f t="shared" ref="L57:L60" si="46">+D57-H57</f>
        <v>0</v>
      </c>
      <c r="M57" s="1"/>
      <c r="N57" s="5">
        <f t="shared" ref="N57:N60" si="47">IF(H57=0,0,L57/H57)</f>
        <v>0</v>
      </c>
      <c r="O57" s="14"/>
      <c r="P57" s="1">
        <f>SUM(OSRRefP22_9x_0)</f>
        <v>0</v>
      </c>
      <c r="Q57" s="1"/>
      <c r="R57" s="5">
        <f t="shared" ref="R57:R60" si="48">IF(P$12=0,0,P57/P$12)</f>
        <v>0</v>
      </c>
      <c r="S57" s="1"/>
      <c r="T57" s="1">
        <f>SUM(OSRRefT22_9x_0)</f>
        <v>0</v>
      </c>
      <c r="U57" s="1"/>
      <c r="V57" s="5">
        <f t="shared" ref="V57:V60" si="49">IF(T$12=0,0,T57/T$12)</f>
        <v>0</v>
      </c>
      <c r="W57" s="1"/>
      <c r="X57" s="1">
        <f t="shared" ref="X57:X60" si="50">+P57-T57</f>
        <v>0</v>
      </c>
      <c r="Y57" s="1"/>
      <c r="Z57" s="5">
        <f t="shared" ref="Z57:Z60" si="51">IF(T57=0,0,X57/T57)</f>
        <v>0</v>
      </c>
    </row>
    <row r="58" spans="1:26" s="24" customFormat="1" hidden="1" outlineLevel="2" x14ac:dyDescent="0.35">
      <c r="A58" s="29"/>
      <c r="B58" s="11" t="str">
        <f>CONCATENATE("          ", "6235", " - ", "COVID-19 EXPENSES")</f>
        <v xml:space="preserve">          6235 - COVID-19 EXPENSES</v>
      </c>
      <c r="C58" s="11"/>
      <c r="D58" s="7"/>
      <c r="E58" s="2"/>
      <c r="F58" s="6">
        <f t="shared" si="44"/>
        <v>0</v>
      </c>
      <c r="G58" s="2"/>
      <c r="H58" s="7">
        <v>0</v>
      </c>
      <c r="I58" s="2"/>
      <c r="J58" s="6">
        <f t="shared" si="45"/>
        <v>0</v>
      </c>
      <c r="K58" s="2"/>
      <c r="L58" s="7">
        <f t="shared" si="46"/>
        <v>0</v>
      </c>
      <c r="M58" s="2"/>
      <c r="N58" s="6">
        <f t="shared" si="47"/>
        <v>0</v>
      </c>
      <c r="O58" s="11"/>
      <c r="P58" s="7"/>
      <c r="Q58" s="2"/>
      <c r="R58" s="6">
        <f t="shared" si="48"/>
        <v>0</v>
      </c>
      <c r="S58" s="2"/>
      <c r="T58" s="7">
        <v>0</v>
      </c>
      <c r="U58" s="2"/>
      <c r="V58" s="6">
        <f t="shared" si="49"/>
        <v>0</v>
      </c>
      <c r="W58" s="2"/>
      <c r="X58" s="7">
        <f t="shared" si="50"/>
        <v>0</v>
      </c>
      <c r="Y58" s="2"/>
      <c r="Z58" s="6">
        <f t="shared" si="51"/>
        <v>0</v>
      </c>
    </row>
    <row r="59" spans="1:26" s="24" customFormat="1" hidden="1" outlineLevel="2" x14ac:dyDescent="0.35">
      <c r="A59" s="29"/>
      <c r="B59" s="11" t="str">
        <f>CONCATENATE("          ", "6247", " - ", "STORE SUPPLIES")</f>
        <v xml:space="preserve">          6247 - STORE SUPPLIES</v>
      </c>
      <c r="C59" s="11"/>
      <c r="D59" s="7"/>
      <c r="E59" s="2"/>
      <c r="F59" s="6">
        <f t="shared" si="44"/>
        <v>0</v>
      </c>
      <c r="G59" s="2"/>
      <c r="H59" s="7">
        <v>0</v>
      </c>
      <c r="I59" s="2"/>
      <c r="J59" s="6">
        <f t="shared" si="45"/>
        <v>0</v>
      </c>
      <c r="K59" s="2"/>
      <c r="L59" s="7">
        <f t="shared" si="46"/>
        <v>0</v>
      </c>
      <c r="M59" s="2"/>
      <c r="N59" s="6">
        <f t="shared" si="47"/>
        <v>0</v>
      </c>
      <c r="O59" s="11"/>
      <c r="P59" s="7"/>
      <c r="Q59" s="2"/>
      <c r="R59" s="6">
        <f t="shared" si="48"/>
        <v>0</v>
      </c>
      <c r="S59" s="2"/>
      <c r="T59" s="7">
        <v>0</v>
      </c>
      <c r="U59" s="2"/>
      <c r="V59" s="6">
        <f t="shared" si="49"/>
        <v>0</v>
      </c>
      <c r="W59" s="2"/>
      <c r="X59" s="7">
        <f t="shared" si="50"/>
        <v>0</v>
      </c>
      <c r="Y59" s="2"/>
      <c r="Z59" s="6">
        <f t="shared" si="51"/>
        <v>0</v>
      </c>
    </row>
    <row r="60" spans="1:26" s="24" customFormat="1" hidden="1" outlineLevel="2" x14ac:dyDescent="0.35">
      <c r="A60" s="29"/>
      <c r="B60" s="11" t="str">
        <f>CONCATENATE("          ", "6248", " - ", "UNIFORMS")</f>
        <v xml:space="preserve">          6248 - UNIFORMS</v>
      </c>
      <c r="C60" s="11"/>
      <c r="D60" s="7"/>
      <c r="E60" s="2"/>
      <c r="F60" s="6">
        <f t="shared" si="44"/>
        <v>0</v>
      </c>
      <c r="G60" s="2"/>
      <c r="H60" s="7">
        <v>0</v>
      </c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/>
      <c r="Q60" s="2"/>
      <c r="R60" s="6">
        <f t="shared" si="48"/>
        <v>0</v>
      </c>
      <c r="S60" s="2"/>
      <c r="T60" s="7">
        <v>0</v>
      </c>
      <c r="U60" s="2"/>
      <c r="V60" s="6">
        <f t="shared" si="49"/>
        <v>0</v>
      </c>
      <c r="W60" s="2"/>
      <c r="X60" s="7">
        <f t="shared" si="50"/>
        <v>0</v>
      </c>
      <c r="Y60" s="2"/>
      <c r="Z60" s="6">
        <f t="shared" si="51"/>
        <v>0</v>
      </c>
    </row>
    <row r="61" spans="1:26" s="28" customFormat="1" outlineLevel="1" collapsed="1" x14ac:dyDescent="0.35">
      <c r="A61" s="27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SUM(OSRRefD22_10x_0)</f>
        <v>30</v>
      </c>
      <c r="E61" s="1"/>
      <c r="F61" s="5">
        <f t="shared" ref="F61:F62" si="52">IF(D$12=0,0,D61/D$12)</f>
        <v>0</v>
      </c>
      <c r="G61" s="1"/>
      <c r="H61" s="1">
        <f>SUM(OSRRefH22_10x_0)</f>
        <v>0</v>
      </c>
      <c r="I61" s="1"/>
      <c r="J61" s="5">
        <f t="shared" ref="J61:J62" si="53">IF(H$12=0,0,H61/H$12)</f>
        <v>0</v>
      </c>
      <c r="K61" s="1"/>
      <c r="L61" s="1">
        <f t="shared" ref="L61:L62" si="54">+D61-H61</f>
        <v>30</v>
      </c>
      <c r="M61" s="1"/>
      <c r="N61" s="5">
        <f t="shared" ref="N61:N62" si="55">IF(H61=0,0,L61/H61)</f>
        <v>0</v>
      </c>
      <c r="O61" s="14"/>
      <c r="P61" s="1">
        <f>SUM(OSRRefP22_10x_0)</f>
        <v>304.32</v>
      </c>
      <c r="Q61" s="1"/>
      <c r="R61" s="5">
        <f t="shared" ref="R61:R62" si="56">IF(P$12=0,0,P61/P$12)</f>
        <v>0</v>
      </c>
      <c r="S61" s="1"/>
      <c r="T61" s="1">
        <f>SUM(OSRRefT22_10x_0)</f>
        <v>0</v>
      </c>
      <c r="U61" s="1"/>
      <c r="V61" s="5">
        <f t="shared" ref="V61:V62" si="57">IF(T$12=0,0,T61/T$12)</f>
        <v>0</v>
      </c>
      <c r="W61" s="1"/>
      <c r="X61" s="1">
        <f t="shared" ref="X61:X62" si="58">+P61-T61</f>
        <v>304.32</v>
      </c>
      <c r="Y61" s="1"/>
      <c r="Z61" s="5">
        <f t="shared" ref="Z61:Z62" si="59">IF(T61=0,0,X61/T61)</f>
        <v>0</v>
      </c>
    </row>
    <row r="62" spans="1:26" s="24" customFormat="1" hidden="1" outlineLevel="2" x14ac:dyDescent="0.35">
      <c r="A62" s="29"/>
      <c r="B62" s="11" t="str">
        <f>CONCATENATE("          ", "6309", " - ", "TELEPHONE")</f>
        <v xml:space="preserve">          6309 - TELEPHONE</v>
      </c>
      <c r="C62" s="11"/>
      <c r="D62" s="7">
        <v>30</v>
      </c>
      <c r="E62" s="2"/>
      <c r="F62" s="6">
        <f t="shared" si="52"/>
        <v>0</v>
      </c>
      <c r="G62" s="2"/>
      <c r="H62" s="7"/>
      <c r="I62" s="2"/>
      <c r="J62" s="6">
        <f t="shared" si="53"/>
        <v>0</v>
      </c>
      <c r="K62" s="2"/>
      <c r="L62" s="7">
        <f t="shared" si="54"/>
        <v>30</v>
      </c>
      <c r="M62" s="2"/>
      <c r="N62" s="6">
        <f t="shared" si="55"/>
        <v>0</v>
      </c>
      <c r="O62" s="11"/>
      <c r="P62" s="7">
        <v>304.32</v>
      </c>
      <c r="Q62" s="2"/>
      <c r="R62" s="6">
        <f t="shared" si="56"/>
        <v>0</v>
      </c>
      <c r="S62" s="2"/>
      <c r="T62" s="7"/>
      <c r="U62" s="2"/>
      <c r="V62" s="6">
        <f t="shared" si="57"/>
        <v>0</v>
      </c>
      <c r="W62" s="2"/>
      <c r="X62" s="7">
        <f t="shared" si="58"/>
        <v>304.32</v>
      </c>
      <c r="Y62" s="2"/>
      <c r="Z62" s="6">
        <f t="shared" si="59"/>
        <v>0</v>
      </c>
    </row>
    <row r="63" spans="1:26" s="55" customFormat="1" x14ac:dyDescent="0.35">
      <c r="A63" s="36"/>
      <c r="B63" s="36"/>
      <c r="C63" s="36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6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x14ac:dyDescent="0.35">
      <c r="A64" s="10"/>
      <c r="B64" s="25" t="s">
        <v>0</v>
      </c>
      <c r="C64" s="10"/>
      <c r="D64" s="4">
        <f>SUM(0)</f>
        <v>0</v>
      </c>
      <c r="E64" s="4"/>
      <c r="F64" s="12">
        <f>IF(D$12=0,0,D64/D$12)</f>
        <v>0</v>
      </c>
      <c r="G64" s="4"/>
      <c r="H64" s="4">
        <f>SUM(0)</f>
        <v>0</v>
      </c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>
        <f>SUM(0)</f>
        <v>0</v>
      </c>
      <c r="Q64" s="4"/>
      <c r="R64" s="12">
        <f>IF(P$12=0,0,P64/P$12)</f>
        <v>0</v>
      </c>
      <c r="S64" s="4"/>
      <c r="T64" s="4">
        <f>SUM(0)</f>
        <v>0</v>
      </c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3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35">
      <c r="A66" s="10"/>
      <c r="B66" s="26" t="s">
        <v>3</v>
      </c>
      <c r="C66" s="26"/>
      <c r="D66" s="19">
        <f>+D18-D20+D64</f>
        <v>-760.09999999999991</v>
      </c>
      <c r="E66" s="13"/>
      <c r="F66" s="21">
        <f>IF(D$12=0,0,D66/D$12)</f>
        <v>0</v>
      </c>
      <c r="G66" s="13"/>
      <c r="H66" s="19">
        <f>+H18-H20+H64</f>
        <v>0</v>
      </c>
      <c r="I66" s="13"/>
      <c r="J66" s="21">
        <f>IF(H$12=0,0,H66/H$12)</f>
        <v>0</v>
      </c>
      <c r="K66" s="16"/>
      <c r="L66" s="19">
        <f>+D66-H66</f>
        <v>-760.09999999999991</v>
      </c>
      <c r="M66" s="16"/>
      <c r="N66" s="21">
        <f>IF(H66=0,0,L66/H66)</f>
        <v>0</v>
      </c>
      <c r="O66" s="25"/>
      <c r="P66" s="19">
        <f>+P18-P20+P64</f>
        <v>-7010.9999999999982</v>
      </c>
      <c r="Q66" s="13"/>
      <c r="R66" s="21">
        <f>IF(P$12=0,0,P66/P$12)</f>
        <v>0</v>
      </c>
      <c r="S66" s="13"/>
      <c r="T66" s="19">
        <f>+T18-T20+T64</f>
        <v>2</v>
      </c>
      <c r="U66" s="13"/>
      <c r="V66" s="21">
        <f>IF(T$12=0,0,T66/T$12)</f>
        <v>1</v>
      </c>
      <c r="W66" s="16"/>
      <c r="X66" s="19">
        <f>+P66-T66</f>
        <v>-7012.9999999999982</v>
      </c>
      <c r="Y66" s="16"/>
      <c r="Z66" s="21">
        <f>IF(T66=0,0,X66/T66)</f>
        <v>-3506.4999999999991</v>
      </c>
    </row>
    <row r="67" spans="1:26" x14ac:dyDescent="0.35">
      <c r="A67" s="9"/>
      <c r="B67" s="10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35">
      <c r="A68" s="52"/>
      <c r="B68" s="10" t="s">
        <v>14</v>
      </c>
      <c r="C68" s="10"/>
      <c r="D68" s="4"/>
      <c r="E68" s="4"/>
      <c r="F68" s="12">
        <f>IF(D$12=0,0,D68/D$12)</f>
        <v>0</v>
      </c>
      <c r="G68" s="4"/>
      <c r="H68" s="4"/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/>
      <c r="Q68" s="4"/>
      <c r="R68" s="12">
        <f>IF(P$12=0,0,P68/P$12)</f>
        <v>0</v>
      </c>
      <c r="S68" s="4"/>
      <c r="T68" s="4"/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3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" thickBot="1" x14ac:dyDescent="0.4">
      <c r="A70" s="10"/>
      <c r="B70" s="26" t="s">
        <v>4</v>
      </c>
      <c r="C70" s="26"/>
      <c r="D70" s="33">
        <f>+D66-D68</f>
        <v>-760.09999999999991</v>
      </c>
      <c r="E70" s="13"/>
      <c r="F70" s="31">
        <f>IF(D$12=0,0,D70/D$12)</f>
        <v>0</v>
      </c>
      <c r="G70" s="13"/>
      <c r="H70" s="33">
        <f>+H66-H68</f>
        <v>0</v>
      </c>
      <c r="I70" s="13"/>
      <c r="J70" s="31">
        <f>IF(H$12=0,0,H70/H$12)</f>
        <v>0</v>
      </c>
      <c r="K70" s="16"/>
      <c r="L70" s="33">
        <f>D70-H70</f>
        <v>-760.09999999999991</v>
      </c>
      <c r="M70" s="16"/>
      <c r="N70" s="31">
        <f>IF(H70=0,0,L70/H70)</f>
        <v>0</v>
      </c>
      <c r="O70" s="25"/>
      <c r="P70" s="33">
        <f>+P66-P68</f>
        <v>-7010.9999999999982</v>
      </c>
      <c r="Q70" s="13"/>
      <c r="R70" s="31">
        <f>IF(P$12=0,0,P70/P$12)</f>
        <v>0</v>
      </c>
      <c r="S70" s="13"/>
      <c r="T70" s="33">
        <f>+T66-T68</f>
        <v>2</v>
      </c>
      <c r="U70" s="13"/>
      <c r="V70" s="31">
        <f>IF(T$12=0,0,T70/T$12)</f>
        <v>1</v>
      </c>
      <c r="W70" s="16"/>
      <c r="X70" s="33">
        <f>P70-T70</f>
        <v>-7012.9999999999982</v>
      </c>
      <c r="Y70" s="16"/>
      <c r="Z70" s="31">
        <f>IF(T70=0,0,X70/T70)</f>
        <v>-3506.4999999999991</v>
      </c>
    </row>
    <row r="71" spans="1:26" ht="15" thickTop="1" x14ac:dyDescent="0.3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x14ac:dyDescent="0.3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" thickBot="1" x14ac:dyDescent="0.4">
      <c r="A73" s="10"/>
      <c r="B73" s="26" t="s">
        <v>5</v>
      </c>
      <c r="C73" s="26"/>
      <c r="D73" s="34">
        <f>SUM(D70:D72)</f>
        <v>-760.09999999999991</v>
      </c>
      <c r="E73" s="13"/>
      <c r="F73" s="32">
        <f>IF(D$12=0,0,D73/D$12)</f>
        <v>0</v>
      </c>
      <c r="G73" s="13"/>
      <c r="H73" s="34">
        <f>SUM(H70:H72)</f>
        <v>0</v>
      </c>
      <c r="I73" s="13"/>
      <c r="J73" s="32">
        <f>IF(H$12=0,0,H73/H$12)</f>
        <v>0</v>
      </c>
      <c r="K73" s="16"/>
      <c r="L73" s="34">
        <f>+D73-H73</f>
        <v>-760.09999999999991</v>
      </c>
      <c r="M73" s="16"/>
      <c r="N73" s="32">
        <f>IF(H73=0,0,L73/H73)</f>
        <v>0</v>
      </c>
      <c r="O73" s="25"/>
      <c r="P73" s="34">
        <f>SUM(P70:P72)</f>
        <v>-7010.9999999999982</v>
      </c>
      <c r="Q73" s="13"/>
      <c r="R73" s="32">
        <f>IF(P$12=0,0,P73/P$12)</f>
        <v>0</v>
      </c>
      <c r="S73" s="13"/>
      <c r="T73" s="34">
        <f>SUM(T70:T72)</f>
        <v>2</v>
      </c>
      <c r="U73" s="13"/>
      <c r="V73" s="32">
        <f>IF(T$12=0,0,T73/T$12)</f>
        <v>1</v>
      </c>
      <c r="W73" s="16"/>
      <c r="X73" s="34">
        <f>+P73-T73</f>
        <v>-7012.9999999999982</v>
      </c>
      <c r="Y73" s="16"/>
      <c r="Z73" s="32">
        <f>IF(T73=0,0,X73/T73)</f>
        <v>-3506.4999999999991</v>
      </c>
    </row>
    <row r="74" spans="1:26" ht="15" thickTop="1" x14ac:dyDescent="0.35">
      <c r="A74" s="9"/>
      <c r="C74" s="9"/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35">
      <c r="A75" s="9"/>
      <c r="B75" s="60">
        <v>44238.490427696757</v>
      </c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35">
      <c r="A76" s="9"/>
      <c r="B76" s="59" t="s">
        <v>314</v>
      </c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35">
      <c r="A77" s="9"/>
      <c r="B77" s="58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35"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","313", " - ", "Convenience Store")</f>
        <v>Department 313 - Convenience Store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20681</v>
      </c>
      <c r="I12" s="4"/>
      <c r="J12" s="12"/>
      <c r="K12" s="4"/>
      <c r="L12" s="4">
        <f t="shared" ref="L12:L13" si="0">+D12-H12</f>
        <v>-20681</v>
      </c>
      <c r="M12" s="4"/>
      <c r="N12" s="12">
        <f t="shared" ref="N12:N13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80507</v>
      </c>
      <c r="U12" s="4"/>
      <c r="V12" s="12"/>
      <c r="W12" s="4"/>
      <c r="X12" s="4">
        <f t="shared" ref="X12:X13" si="2">+P12-T12</f>
        <v>-80507</v>
      </c>
      <c r="Y12" s="4"/>
      <c r="Z12" s="12">
        <f t="shared" ref="Z12:Z13" si="3">IF(T12=0,0,X12/T12)</f>
        <v>-1</v>
      </c>
    </row>
    <row r="13" spans="1:26" s="24" customFormat="1" hidden="1" outlineLevel="1" x14ac:dyDescent="0.3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20681</v>
      </c>
      <c r="I13" s="2"/>
      <c r="J13" s="22"/>
      <c r="K13" s="2"/>
      <c r="L13" s="2">
        <f t="shared" si="0"/>
        <v>-20681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80507</v>
      </c>
      <c r="U13" s="2"/>
      <c r="V13" s="22"/>
      <c r="W13" s="2"/>
      <c r="X13" s="2">
        <f t="shared" si="2"/>
        <v>-80507</v>
      </c>
      <c r="Y13" s="2"/>
      <c r="Z13" s="22">
        <f t="shared" si="3"/>
        <v>-1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SUM(OSRRefD16x_0)</f>
        <v>0</v>
      </c>
      <c r="E15" s="4"/>
      <c r="F15" s="12">
        <f t="shared" ref="F15:F17" si="4">IF(D$12=0,0,D15/D$12)</f>
        <v>0</v>
      </c>
      <c r="G15" s="4"/>
      <c r="H15" s="4">
        <f>SUM(OSRRefH16x_0)</f>
        <v>9803</v>
      </c>
      <c r="I15" s="4"/>
      <c r="J15" s="12">
        <f t="shared" ref="J15:J17" si="5">IF(H$12=0,0,H15/H$12)</f>
        <v>0.47400996083361541</v>
      </c>
      <c r="K15" s="4"/>
      <c r="L15" s="4">
        <f t="shared" ref="L15:L17" si="6">+D15-H15</f>
        <v>-9803</v>
      </c>
      <c r="M15" s="4"/>
      <c r="N15" s="12">
        <f t="shared" ref="N15:N17" si="7">IF(H15=0,0,L15/H15)</f>
        <v>-1</v>
      </c>
      <c r="O15" s="10"/>
      <c r="P15" s="4">
        <f>SUM(OSRRefP16x_0)</f>
        <v>-613.59</v>
      </c>
      <c r="Q15" s="4"/>
      <c r="R15" s="12">
        <f t="shared" ref="R15:R17" si="8">IF(P$12=0,0,P15/P$12)</f>
        <v>0</v>
      </c>
      <c r="S15" s="4"/>
      <c r="T15" s="4">
        <f>SUM(OSRRefT16x_0)</f>
        <v>38161</v>
      </c>
      <c r="U15" s="4"/>
      <c r="V15" s="12">
        <f t="shared" ref="V15:V17" si="9">IF(T$12=0,0,T15/T$12)</f>
        <v>0.47400847131305351</v>
      </c>
      <c r="W15" s="4"/>
      <c r="X15" s="4">
        <f t="shared" ref="X15:X17" si="10">+P15-T15</f>
        <v>-38774.589999999997</v>
      </c>
      <c r="Y15" s="4"/>
      <c r="Z15" s="12">
        <f t="shared" ref="Z15:Z17" si="11">IF(T15=0,0,X15/T15)</f>
        <v>-1.0160789811587745</v>
      </c>
    </row>
    <row r="16" spans="1:26" s="24" customFormat="1" hidden="1" outlineLevel="1" x14ac:dyDescent="0.3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9803</v>
      </c>
      <c r="I16" s="2"/>
      <c r="J16" s="22">
        <f t="shared" si="5"/>
        <v>0.47400996083361541</v>
      </c>
      <c r="K16" s="2"/>
      <c r="L16" s="2">
        <f t="shared" si="6"/>
        <v>-9803</v>
      </c>
      <c r="M16" s="2"/>
      <c r="N16" s="22">
        <f t="shared" si="7"/>
        <v>-1</v>
      </c>
      <c r="O16" s="11"/>
      <c r="P16" s="2"/>
      <c r="Q16" s="2"/>
      <c r="R16" s="22">
        <f t="shared" si="8"/>
        <v>0</v>
      </c>
      <c r="S16" s="2"/>
      <c r="T16" s="2">
        <v>38161</v>
      </c>
      <c r="U16" s="2"/>
      <c r="V16" s="22">
        <f t="shared" si="9"/>
        <v>0.47400847131305351</v>
      </c>
      <c r="W16" s="2"/>
      <c r="X16" s="2">
        <f t="shared" si="10"/>
        <v>-38161</v>
      </c>
      <c r="Y16" s="2"/>
      <c r="Z16" s="22">
        <f t="shared" si="11"/>
        <v>-1</v>
      </c>
    </row>
    <row r="17" spans="1:26" s="24" customFormat="1" hidden="1" outlineLevel="1" x14ac:dyDescent="0.35">
      <c r="A17" s="51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22">
        <f t="shared" si="4"/>
        <v>0</v>
      </c>
      <c r="G17" s="2"/>
      <c r="H17" s="2"/>
      <c r="I17" s="2"/>
      <c r="J17" s="22">
        <f t="shared" si="5"/>
        <v>0</v>
      </c>
      <c r="K17" s="2"/>
      <c r="L17" s="2">
        <f t="shared" si="6"/>
        <v>0</v>
      </c>
      <c r="M17" s="2"/>
      <c r="N17" s="22">
        <f t="shared" si="7"/>
        <v>0</v>
      </c>
      <c r="O17" s="11"/>
      <c r="P17" s="2">
        <v>-613.59</v>
      </c>
      <c r="Q17" s="2"/>
      <c r="R17" s="22">
        <f t="shared" si="8"/>
        <v>0</v>
      </c>
      <c r="S17" s="2"/>
      <c r="T17" s="2"/>
      <c r="U17" s="2"/>
      <c r="V17" s="22">
        <f t="shared" si="9"/>
        <v>0</v>
      </c>
      <c r="W17" s="2"/>
      <c r="X17" s="2">
        <f t="shared" si="10"/>
        <v>-613.59</v>
      </c>
      <c r="Y17" s="2"/>
      <c r="Z17" s="22">
        <f t="shared" si="11"/>
        <v>0</v>
      </c>
    </row>
    <row r="18" spans="1:26" x14ac:dyDescent="0.3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35">
      <c r="A19" s="10"/>
      <c r="B19" s="26" t="s">
        <v>6</v>
      </c>
      <c r="C19" s="26"/>
      <c r="D19" s="19">
        <f>D12-D15</f>
        <v>0</v>
      </c>
      <c r="E19" s="13"/>
      <c r="F19" s="21">
        <f>IF(D$12=0,0,D19/D$12)</f>
        <v>0</v>
      </c>
      <c r="G19" s="13"/>
      <c r="H19" s="19">
        <f>H12-H15</f>
        <v>10878</v>
      </c>
      <c r="I19" s="13"/>
      <c r="J19" s="21">
        <f>IF(H$12=0,0,H19/H$12)</f>
        <v>0.52599003916638465</v>
      </c>
      <c r="K19" s="16"/>
      <c r="L19" s="19">
        <f>+D19-H19</f>
        <v>-10878</v>
      </c>
      <c r="M19" s="16"/>
      <c r="N19" s="21">
        <f>IF(H19=0,0,L19/H19)</f>
        <v>-1</v>
      </c>
      <c r="O19" s="25"/>
      <c r="P19" s="19">
        <f>P12-P15</f>
        <v>613.59</v>
      </c>
      <c r="Q19" s="13"/>
      <c r="R19" s="21">
        <f>IF(P$12=0,0,P19/P$12)</f>
        <v>0</v>
      </c>
      <c r="S19" s="13"/>
      <c r="T19" s="19">
        <f>T12-T15</f>
        <v>42346</v>
      </c>
      <c r="U19" s="13"/>
      <c r="V19" s="21">
        <f>IF(T$12=0,0,T19/T$12)</f>
        <v>0.52599152868694643</v>
      </c>
      <c r="W19" s="16"/>
      <c r="X19" s="19">
        <f>+P19-T19</f>
        <v>-41732.410000000003</v>
      </c>
      <c r="Y19" s="16"/>
      <c r="Z19" s="21">
        <f>IF(T19=0,0,X19/T19)</f>
        <v>-0.98551008359703407</v>
      </c>
    </row>
    <row r="20" spans="1:26" x14ac:dyDescent="0.3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35">
      <c r="A21" s="10"/>
      <c r="B21" s="25" t="s">
        <v>9</v>
      </c>
      <c r="C21" s="10"/>
      <c r="D21" s="20">
        <f>SUM(OSRRefD22x_0)</f>
        <v>80.17</v>
      </c>
      <c r="E21" s="20"/>
      <c r="F21" s="30">
        <f t="shared" ref="F21:F31" si="12">IF(D$12=0,0,D21/D$12)</f>
        <v>0</v>
      </c>
      <c r="G21" s="20"/>
      <c r="H21" s="20">
        <f>SUM(OSRRefH22x_0)</f>
        <v>22219.383332400001</v>
      </c>
      <c r="I21" s="20"/>
      <c r="J21" s="30">
        <f t="shared" ref="J21:J31" si="13">IF(H$12=0,0,H21/H$12)</f>
        <v>1.0743863126734685</v>
      </c>
      <c r="K21" s="4"/>
      <c r="L21" s="20">
        <f t="shared" ref="L21:L31" si="14">+D21-H21</f>
        <v>-22139.213332400002</v>
      </c>
      <c r="M21" s="4"/>
      <c r="N21" s="30">
        <f t="shared" ref="N21:N31" si="15">IF(H21=0,0,L21/H21)</f>
        <v>-0.99639188906367637</v>
      </c>
      <c r="O21" s="10"/>
      <c r="P21" s="20">
        <f>SUM(OSRRefP22x_0)</f>
        <v>46342.07</v>
      </c>
      <c r="Q21" s="20"/>
      <c r="R21" s="30">
        <f t="shared" ref="R21:R31" si="16">IF(P$12=0,0,P21/P$12)</f>
        <v>0</v>
      </c>
      <c r="S21" s="20"/>
      <c r="T21" s="20">
        <f>SUM(OSRRefT22x_0)</f>
        <v>105224.4764424</v>
      </c>
      <c r="U21" s="20"/>
      <c r="V21" s="30">
        <f t="shared" ref="V21:V31" si="17">IF(T$12=0,0,T21/T$12)</f>
        <v>1.3070226991739848</v>
      </c>
      <c r="W21" s="4"/>
      <c r="X21" s="20">
        <f t="shared" ref="X21:X31" si="18">+P21-T21</f>
        <v>-58882.406442400003</v>
      </c>
      <c r="Y21" s="4"/>
      <c r="Z21" s="30">
        <f t="shared" ref="Z21:Z31" si="19">IF(T21=0,0,X21/T21)</f>
        <v>-0.5595884953120418</v>
      </c>
    </row>
    <row r="22" spans="1:26" s="28" customFormat="1" outlineLevel="1" collapsed="1" x14ac:dyDescent="0.3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4191.9383324</v>
      </c>
      <c r="I22" s="1"/>
      <c r="J22" s="5">
        <f t="shared" si="13"/>
        <v>0.20269514686910692</v>
      </c>
      <c r="K22" s="1"/>
      <c r="L22" s="1">
        <f t="shared" si="14"/>
        <v>-4191.9383324</v>
      </c>
      <c r="M22" s="1"/>
      <c r="N22" s="5">
        <f t="shared" si="15"/>
        <v>-1</v>
      </c>
      <c r="O22" s="14"/>
      <c r="P22" s="1">
        <f>SUM(OSRRefP22_0x_0)</f>
        <v>21787.579999999998</v>
      </c>
      <c r="Q22" s="1"/>
      <c r="R22" s="5">
        <f t="shared" si="16"/>
        <v>0</v>
      </c>
      <c r="S22" s="1"/>
      <c r="T22" s="1">
        <f>SUM(OSRRefT22_0x_0)</f>
        <v>26323.981442400003</v>
      </c>
      <c r="U22" s="1"/>
      <c r="V22" s="5">
        <f t="shared" si="17"/>
        <v>0.32697754782068644</v>
      </c>
      <c r="W22" s="1"/>
      <c r="X22" s="1">
        <f t="shared" si="18"/>
        <v>-4536.4014424000052</v>
      </c>
      <c r="Y22" s="1"/>
      <c r="Z22" s="5">
        <f t="shared" si="19"/>
        <v>-0.17232960949794734</v>
      </c>
    </row>
    <row r="23" spans="1:26" s="24" customFormat="1" hidden="1" outlineLevel="2" x14ac:dyDescent="0.35">
      <c r="A23" s="29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2"/>
        <v>0</v>
      </c>
      <c r="G23" s="2"/>
      <c r="H23" s="7">
        <v>751.42358039999999</v>
      </c>
      <c r="I23" s="2"/>
      <c r="J23" s="6">
        <f t="shared" si="13"/>
        <v>3.6334006111890138E-2</v>
      </c>
      <c r="K23" s="2"/>
      <c r="L23" s="7">
        <f t="shared" si="14"/>
        <v>-751.42358039999999</v>
      </c>
      <c r="M23" s="2"/>
      <c r="N23" s="6">
        <f t="shared" si="15"/>
        <v>-1</v>
      </c>
      <c r="O23" s="11"/>
      <c r="P23" s="7">
        <v>1924.35</v>
      </c>
      <c r="Q23" s="2"/>
      <c r="R23" s="6">
        <f t="shared" si="16"/>
        <v>0</v>
      </c>
      <c r="S23" s="2"/>
      <c r="T23" s="7">
        <v>3924.1277903999999</v>
      </c>
      <c r="U23" s="2"/>
      <c r="V23" s="6">
        <f t="shared" si="17"/>
        <v>4.8742690578459015E-2</v>
      </c>
      <c r="W23" s="2"/>
      <c r="X23" s="7">
        <f t="shared" si="18"/>
        <v>-1999.7777904</v>
      </c>
      <c r="Y23" s="2"/>
      <c r="Z23" s="6">
        <f t="shared" si="19"/>
        <v>-0.50961077141581967</v>
      </c>
    </row>
    <row r="24" spans="1:26" s="24" customFormat="1" hidden="1" outlineLevel="2" x14ac:dyDescent="0.35">
      <c r="A24" s="29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2"/>
        <v>0</v>
      </c>
      <c r="G24" s="2"/>
      <c r="H24" s="7">
        <v>297.48592000000002</v>
      </c>
      <c r="I24" s="2"/>
      <c r="J24" s="6">
        <f t="shared" si="13"/>
        <v>1.4384503650693875E-2</v>
      </c>
      <c r="K24" s="2"/>
      <c r="L24" s="7">
        <f t="shared" si="14"/>
        <v>-297.48592000000002</v>
      </c>
      <c r="M24" s="2"/>
      <c r="N24" s="6">
        <f t="shared" si="15"/>
        <v>-1</v>
      </c>
      <c r="O24" s="11"/>
      <c r="P24" s="7">
        <v>499.06</v>
      </c>
      <c r="Q24" s="2"/>
      <c r="R24" s="6">
        <f t="shared" si="16"/>
        <v>0</v>
      </c>
      <c r="S24" s="2"/>
      <c r="T24" s="7">
        <v>1269.8274200000001</v>
      </c>
      <c r="U24" s="2"/>
      <c r="V24" s="6">
        <f t="shared" si="17"/>
        <v>1.577288210963022E-2</v>
      </c>
      <c r="W24" s="2"/>
      <c r="X24" s="7">
        <f t="shared" si="18"/>
        <v>-770.76742000000013</v>
      </c>
      <c r="Y24" s="2"/>
      <c r="Z24" s="6">
        <f t="shared" si="19"/>
        <v>-0.60698596349415745</v>
      </c>
    </row>
    <row r="25" spans="1:26" s="24" customFormat="1" hidden="1" outlineLevel="2" x14ac:dyDescent="0.35">
      <c r="A25" s="29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2"/>
        <v>0</v>
      </c>
      <c r="G25" s="2"/>
      <c r="H25" s="7">
        <v>1980</v>
      </c>
      <c r="I25" s="2"/>
      <c r="J25" s="6">
        <f t="shared" si="13"/>
        <v>9.5740051254774916E-2</v>
      </c>
      <c r="K25" s="2"/>
      <c r="L25" s="7">
        <f t="shared" si="14"/>
        <v>-1980</v>
      </c>
      <c r="M25" s="2"/>
      <c r="N25" s="6">
        <f t="shared" si="15"/>
        <v>-1</v>
      </c>
      <c r="O25" s="11"/>
      <c r="P25" s="7">
        <v>12083.19</v>
      </c>
      <c r="Q25" s="2"/>
      <c r="R25" s="6">
        <f t="shared" si="16"/>
        <v>0</v>
      </c>
      <c r="S25" s="2"/>
      <c r="T25" s="7">
        <v>13860</v>
      </c>
      <c r="U25" s="2"/>
      <c r="V25" s="6">
        <f t="shared" si="17"/>
        <v>0.17215894270063473</v>
      </c>
      <c r="W25" s="2"/>
      <c r="X25" s="7">
        <f t="shared" si="18"/>
        <v>-1776.8099999999995</v>
      </c>
      <c r="Y25" s="2"/>
      <c r="Z25" s="6">
        <f t="shared" si="19"/>
        <v>-0.12819696969696967</v>
      </c>
    </row>
    <row r="26" spans="1:26" s="24" customFormat="1" hidden="1" outlineLevel="2" x14ac:dyDescent="0.3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2"/>
        <v>0</v>
      </c>
      <c r="G26" s="2"/>
      <c r="H26" s="7">
        <v>41.808832000000002</v>
      </c>
      <c r="I26" s="2"/>
      <c r="J26" s="6">
        <f t="shared" si="13"/>
        <v>2.0216059184758957E-3</v>
      </c>
      <c r="K26" s="2"/>
      <c r="L26" s="7">
        <f t="shared" si="14"/>
        <v>-41.808832000000002</v>
      </c>
      <c r="M26" s="2"/>
      <c r="N26" s="6">
        <f t="shared" si="15"/>
        <v>-1</v>
      </c>
      <c r="O26" s="11"/>
      <c r="P26" s="7">
        <v>70.14</v>
      </c>
      <c r="Q26" s="2"/>
      <c r="R26" s="6">
        <f t="shared" si="16"/>
        <v>0</v>
      </c>
      <c r="S26" s="2"/>
      <c r="T26" s="7">
        <v>178.462232</v>
      </c>
      <c r="U26" s="2"/>
      <c r="V26" s="6">
        <f t="shared" si="17"/>
        <v>2.2167293775696524E-3</v>
      </c>
      <c r="W26" s="2"/>
      <c r="X26" s="7">
        <f t="shared" si="18"/>
        <v>-108.322232</v>
      </c>
      <c r="Y26" s="2"/>
      <c r="Z26" s="6">
        <f t="shared" si="19"/>
        <v>-0.60697566530491454</v>
      </c>
    </row>
    <row r="27" spans="1:26" s="24" customFormat="1" hidden="1" outlineLevel="2" x14ac:dyDescent="0.35">
      <c r="A27" s="29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2"/>
        <v>0</v>
      </c>
      <c r="G27" s="2"/>
      <c r="H27" s="7">
        <v>598.34500000000003</v>
      </c>
      <c r="I27" s="2"/>
      <c r="J27" s="6">
        <f t="shared" si="13"/>
        <v>2.8932111600019343E-2</v>
      </c>
      <c r="K27" s="2"/>
      <c r="L27" s="7">
        <f t="shared" si="14"/>
        <v>-598.34500000000003</v>
      </c>
      <c r="M27" s="2"/>
      <c r="N27" s="6">
        <f t="shared" si="15"/>
        <v>-1</v>
      </c>
      <c r="O27" s="11"/>
      <c r="P27" s="7">
        <v>3490.92</v>
      </c>
      <c r="Q27" s="2"/>
      <c r="R27" s="6">
        <f t="shared" si="16"/>
        <v>0</v>
      </c>
      <c r="S27" s="2"/>
      <c r="T27" s="7">
        <v>3709.739</v>
      </c>
      <c r="U27" s="2"/>
      <c r="V27" s="6">
        <f t="shared" si="17"/>
        <v>4.6079707354639968E-2</v>
      </c>
      <c r="W27" s="2"/>
      <c r="X27" s="7">
        <f t="shared" si="18"/>
        <v>-218.81899999999996</v>
      </c>
      <c r="Y27" s="2"/>
      <c r="Z27" s="6">
        <f t="shared" si="19"/>
        <v>-5.8985012153146076E-2</v>
      </c>
    </row>
    <row r="28" spans="1:26" s="24" customFormat="1" hidden="1" outlineLevel="2" x14ac:dyDescent="0.35">
      <c r="A28" s="29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35">
      <c r="A29" s="29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2"/>
        <v>0</v>
      </c>
      <c r="G29" s="2"/>
      <c r="H29" s="7">
        <v>208.72499999999999</v>
      </c>
      <c r="I29" s="2"/>
      <c r="J29" s="6">
        <f t="shared" si="13"/>
        <v>1.0092597069774188E-2</v>
      </c>
      <c r="K29" s="2"/>
      <c r="L29" s="7">
        <f t="shared" si="14"/>
        <v>-208.72499999999999</v>
      </c>
      <c r="M29" s="2"/>
      <c r="N29" s="6">
        <f t="shared" si="15"/>
        <v>-1</v>
      </c>
      <c r="O29" s="11"/>
      <c r="P29" s="7">
        <v>2035.3</v>
      </c>
      <c r="Q29" s="2"/>
      <c r="R29" s="6">
        <f t="shared" si="16"/>
        <v>0</v>
      </c>
      <c r="S29" s="2"/>
      <c r="T29" s="7">
        <v>1294.095</v>
      </c>
      <c r="U29" s="2"/>
      <c r="V29" s="6">
        <f t="shared" si="17"/>
        <v>1.6074316519060456E-2</v>
      </c>
      <c r="W29" s="2"/>
      <c r="X29" s="7">
        <f t="shared" si="18"/>
        <v>741.20499999999993</v>
      </c>
      <c r="Y29" s="2"/>
      <c r="Z29" s="6">
        <f t="shared" si="19"/>
        <v>0.57275934147029384</v>
      </c>
    </row>
    <row r="30" spans="1:26" s="24" customFormat="1" hidden="1" outlineLevel="2" x14ac:dyDescent="0.35">
      <c r="A30" s="29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2"/>
        <v>0</v>
      </c>
      <c r="G30" s="2"/>
      <c r="H30" s="7">
        <v>139.15</v>
      </c>
      <c r="I30" s="2"/>
      <c r="J30" s="6">
        <f t="shared" si="13"/>
        <v>6.728398046516126E-3</v>
      </c>
      <c r="K30" s="2"/>
      <c r="L30" s="7">
        <f t="shared" si="14"/>
        <v>-139.15</v>
      </c>
      <c r="M30" s="2"/>
      <c r="N30" s="6">
        <f t="shared" si="15"/>
        <v>-1</v>
      </c>
      <c r="O30" s="11"/>
      <c r="P30" s="7">
        <v>1283.8</v>
      </c>
      <c r="Q30" s="2"/>
      <c r="R30" s="6">
        <f t="shared" si="16"/>
        <v>0</v>
      </c>
      <c r="S30" s="2"/>
      <c r="T30" s="7">
        <v>862.73</v>
      </c>
      <c r="U30" s="2"/>
      <c r="V30" s="6">
        <f t="shared" si="17"/>
        <v>1.0716211012706969E-2</v>
      </c>
      <c r="W30" s="2"/>
      <c r="X30" s="7">
        <f t="shared" si="18"/>
        <v>421.06999999999994</v>
      </c>
      <c r="Y30" s="2"/>
      <c r="Z30" s="6">
        <f t="shared" si="19"/>
        <v>0.4880669502625386</v>
      </c>
    </row>
    <row r="31" spans="1:26" s="24" customFormat="1" hidden="1" outlineLevel="2" x14ac:dyDescent="0.35">
      <c r="A31" s="29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2"/>
        <v>0</v>
      </c>
      <c r="G31" s="2"/>
      <c r="H31" s="7">
        <v>175</v>
      </c>
      <c r="I31" s="2"/>
      <c r="J31" s="6">
        <f t="shared" si="13"/>
        <v>8.4618732169624289E-3</v>
      </c>
      <c r="K31" s="2"/>
      <c r="L31" s="7">
        <f t="shared" si="14"/>
        <v>-175</v>
      </c>
      <c r="M31" s="2"/>
      <c r="N31" s="6">
        <f t="shared" si="15"/>
        <v>-1</v>
      </c>
      <c r="O31" s="11"/>
      <c r="P31" s="7">
        <v>400.82</v>
      </c>
      <c r="Q31" s="2"/>
      <c r="R31" s="6">
        <f t="shared" si="16"/>
        <v>0</v>
      </c>
      <c r="S31" s="2"/>
      <c r="T31" s="7">
        <v>1225</v>
      </c>
      <c r="U31" s="2"/>
      <c r="V31" s="6">
        <f t="shared" si="17"/>
        <v>1.5216068167985392E-2</v>
      </c>
      <c r="W31" s="2"/>
      <c r="X31" s="7">
        <f t="shared" si="18"/>
        <v>-824.18000000000006</v>
      </c>
      <c r="Y31" s="2"/>
      <c r="Z31" s="6">
        <f t="shared" si="19"/>
        <v>-0.67280000000000006</v>
      </c>
    </row>
    <row r="32" spans="1:26" s="28" customFormat="1" outlineLevel="1" collapsed="1" x14ac:dyDescent="0.3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42" si="20">IF(D$12=0,0,D32/D$12)</f>
        <v>0</v>
      </c>
      <c r="G32" s="1"/>
      <c r="H32" s="1">
        <f>SUM(OSRRefH22_1x_0)</f>
        <v>15732.445</v>
      </c>
      <c r="I32" s="1"/>
      <c r="J32" s="5">
        <f t="shared" ref="J32:J42" si="21">IF(H$12=0,0,H32/H$12)</f>
        <v>0.76071974275905418</v>
      </c>
      <c r="K32" s="1"/>
      <c r="L32" s="1">
        <f t="shared" ref="L32:L42" si="22">+D32-H32</f>
        <v>-15732.445</v>
      </c>
      <c r="M32" s="1"/>
      <c r="N32" s="5">
        <f t="shared" ref="N32:N42" si="23">IF(H32=0,0,L32/H32)</f>
        <v>-1</v>
      </c>
      <c r="O32" s="14"/>
      <c r="P32" s="1">
        <f>SUM(OSRRefP22_1x_0)</f>
        <v>23136.42</v>
      </c>
      <c r="Q32" s="1"/>
      <c r="R32" s="5">
        <f t="shared" ref="R32:R42" si="24">IF(P$12=0,0,P32/P$12)</f>
        <v>0</v>
      </c>
      <c r="S32" s="1"/>
      <c r="T32" s="1">
        <f>SUM(OSRRefT22_1x_0)</f>
        <v>66482.49500000001</v>
      </c>
      <c r="U32" s="1"/>
      <c r="V32" s="5">
        <f t="shared" ref="V32:V42" si="25">IF(T$12=0,0,T32/T$12)</f>
        <v>0.82579769461040664</v>
      </c>
      <c r="W32" s="1"/>
      <c r="X32" s="1">
        <f t="shared" ref="X32:X42" si="26">+P32-T32</f>
        <v>-43346.075000000012</v>
      </c>
      <c r="Y32" s="1"/>
      <c r="Z32" s="5">
        <f t="shared" ref="Z32:Z42" si="27">IF(T32=0,0,X32/T32)</f>
        <v>-0.65199230263545327</v>
      </c>
    </row>
    <row r="33" spans="1:26" s="24" customFormat="1" hidden="1" outlineLevel="2" x14ac:dyDescent="0.35">
      <c r="A33" s="29"/>
      <c r="B33" s="11" t="str">
        <f>CONCATENATE("          ", "6001", " - ", "ADMINISTRATIVE SALARIES")</f>
        <v xml:space="preserve">          6001 - ADMINISTRATIVE SALARIES</v>
      </c>
      <c r="C33" s="11"/>
      <c r="D33" s="7"/>
      <c r="E33" s="2"/>
      <c r="F33" s="6">
        <f t="shared" si="20"/>
        <v>0</v>
      </c>
      <c r="G33" s="2"/>
      <c r="H33" s="7">
        <v>6609.625</v>
      </c>
      <c r="I33" s="2"/>
      <c r="J33" s="6">
        <f t="shared" si="21"/>
        <v>0.319598907209516</v>
      </c>
      <c r="K33" s="2"/>
      <c r="L33" s="7">
        <f t="shared" si="22"/>
        <v>-6609.625</v>
      </c>
      <c r="M33" s="2"/>
      <c r="N33" s="6">
        <f t="shared" si="23"/>
        <v>-1</v>
      </c>
      <c r="O33" s="11"/>
      <c r="P33" s="7"/>
      <c r="Q33" s="2"/>
      <c r="R33" s="6">
        <f t="shared" si="24"/>
        <v>0</v>
      </c>
      <c r="S33" s="2"/>
      <c r="T33" s="7">
        <v>40979.675000000003</v>
      </c>
      <c r="U33" s="2"/>
      <c r="V33" s="6">
        <f t="shared" si="25"/>
        <v>0.50902002310358108</v>
      </c>
      <c r="W33" s="2"/>
      <c r="X33" s="7">
        <f t="shared" si="26"/>
        <v>-40979.675000000003</v>
      </c>
      <c r="Y33" s="2"/>
      <c r="Z33" s="6">
        <f t="shared" si="27"/>
        <v>-1</v>
      </c>
    </row>
    <row r="34" spans="1:26" s="24" customFormat="1" hidden="1" outlineLevel="2" x14ac:dyDescent="0.35">
      <c r="A34" s="29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>
        <v>23136.42</v>
      </c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23136.42</v>
      </c>
      <c r="Y34" s="2"/>
      <c r="Z34" s="6">
        <f t="shared" si="27"/>
        <v>0</v>
      </c>
    </row>
    <row r="35" spans="1:26" s="24" customFormat="1" hidden="1" outlineLevel="2" x14ac:dyDescent="0.35">
      <c r="A35" s="29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35">
      <c r="A36" s="29"/>
      <c r="B36" s="11" t="str">
        <f>CONCATENATE("          ", "6004", " - ", "STAFF HOURLY")</f>
        <v xml:space="preserve">          6004 - STAFF HOURLY</v>
      </c>
      <c r="C36" s="11"/>
      <c r="D36" s="7"/>
      <c r="E36" s="2"/>
      <c r="F36" s="6">
        <f t="shared" si="20"/>
        <v>0</v>
      </c>
      <c r="G36" s="2"/>
      <c r="H36" s="7">
        <v>2861.18</v>
      </c>
      <c r="I36" s="2"/>
      <c r="J36" s="6">
        <f t="shared" si="21"/>
        <v>0.13834824234804893</v>
      </c>
      <c r="K36" s="2"/>
      <c r="L36" s="7">
        <f t="shared" si="22"/>
        <v>-2861.18</v>
      </c>
      <c r="M36" s="2"/>
      <c r="N36" s="6">
        <f t="shared" si="23"/>
        <v>-1</v>
      </c>
      <c r="O36" s="11"/>
      <c r="P36" s="7"/>
      <c r="Q36" s="2"/>
      <c r="R36" s="6">
        <f t="shared" si="24"/>
        <v>0</v>
      </c>
      <c r="S36" s="2"/>
      <c r="T36" s="7">
        <v>8139.18</v>
      </c>
      <c r="U36" s="2"/>
      <c r="V36" s="6">
        <f t="shared" si="25"/>
        <v>0.10109903486653335</v>
      </c>
      <c r="W36" s="2"/>
      <c r="X36" s="7">
        <f t="shared" si="26"/>
        <v>-8139.18</v>
      </c>
      <c r="Y36" s="2"/>
      <c r="Z36" s="6">
        <f t="shared" si="27"/>
        <v>-1</v>
      </c>
    </row>
    <row r="37" spans="1:26" s="24" customFormat="1" hidden="1" outlineLevel="2" x14ac:dyDescent="0.35">
      <c r="A37" s="29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0"/>
        <v>0</v>
      </c>
      <c r="G37" s="2"/>
      <c r="H37" s="7">
        <v>2861.18</v>
      </c>
      <c r="I37" s="2"/>
      <c r="J37" s="6">
        <f t="shared" si="21"/>
        <v>0.13834824234804893</v>
      </c>
      <c r="K37" s="2"/>
      <c r="L37" s="7">
        <f t="shared" si="22"/>
        <v>-2861.18</v>
      </c>
      <c r="M37" s="2"/>
      <c r="N37" s="6">
        <f t="shared" si="23"/>
        <v>-1</v>
      </c>
      <c r="O37" s="11"/>
      <c r="P37" s="7"/>
      <c r="Q37" s="2"/>
      <c r="R37" s="6">
        <f t="shared" si="24"/>
        <v>0</v>
      </c>
      <c r="S37" s="2"/>
      <c r="T37" s="7">
        <v>13963.18</v>
      </c>
      <c r="U37" s="2"/>
      <c r="V37" s="6">
        <f t="shared" si="25"/>
        <v>0.1734405703851839</v>
      </c>
      <c r="W37" s="2"/>
      <c r="X37" s="7">
        <f t="shared" si="26"/>
        <v>-13963.18</v>
      </c>
      <c r="Y37" s="2"/>
      <c r="Z37" s="6">
        <f t="shared" si="27"/>
        <v>-1</v>
      </c>
    </row>
    <row r="38" spans="1:26" s="24" customFormat="1" hidden="1" outlineLevel="2" x14ac:dyDescent="0.35">
      <c r="A38" s="29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35">
      <c r="A39" s="29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35">
      <c r="A40" s="29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0"/>
        <v>0</v>
      </c>
      <c r="G40" s="2"/>
      <c r="H40" s="7">
        <v>3400.46</v>
      </c>
      <c r="I40" s="2"/>
      <c r="J40" s="6">
        <f t="shared" si="21"/>
        <v>0.16442435085344037</v>
      </c>
      <c r="K40" s="2"/>
      <c r="L40" s="7">
        <f t="shared" si="22"/>
        <v>-3400.46</v>
      </c>
      <c r="M40" s="2"/>
      <c r="N40" s="6">
        <f t="shared" si="23"/>
        <v>-1</v>
      </c>
      <c r="O40" s="11"/>
      <c r="P40" s="7"/>
      <c r="Q40" s="2"/>
      <c r="R40" s="6">
        <f t="shared" si="24"/>
        <v>0</v>
      </c>
      <c r="S40" s="2"/>
      <c r="T40" s="7">
        <v>3400.46</v>
      </c>
      <c r="U40" s="2"/>
      <c r="V40" s="6">
        <f t="shared" si="25"/>
        <v>4.2238066255108252E-2</v>
      </c>
      <c r="W40" s="2"/>
      <c r="X40" s="7">
        <f t="shared" si="26"/>
        <v>-3400.46</v>
      </c>
      <c r="Y40" s="2"/>
      <c r="Z40" s="6">
        <f t="shared" si="27"/>
        <v>-1</v>
      </c>
    </row>
    <row r="41" spans="1:26" s="24" customFormat="1" hidden="1" outlineLevel="2" x14ac:dyDescent="0.35">
      <c r="A41" s="29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35">
      <c r="A42" s="29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8" customFormat="1" outlineLevel="1" collapsed="1" x14ac:dyDescent="0.35">
      <c r="A43" s="27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0</v>
      </c>
      <c r="E43" s="1"/>
      <c r="F43" s="5">
        <f t="shared" ref="F43:F53" si="28">IF(D$12=0,0,D43/D$12)</f>
        <v>0</v>
      </c>
      <c r="G43" s="1"/>
      <c r="H43" s="1">
        <f>SUM(OSRRefH22_2x_0)</f>
        <v>100</v>
      </c>
      <c r="I43" s="1"/>
      <c r="J43" s="5">
        <f t="shared" ref="J43:J53" si="29">IF(H$12=0,0,H43/H$12)</f>
        <v>4.8353561239785313E-3</v>
      </c>
      <c r="K43" s="1"/>
      <c r="L43" s="1">
        <f t="shared" ref="L43:L53" si="30">+D43-H43</f>
        <v>-100</v>
      </c>
      <c r="M43" s="1"/>
      <c r="N43" s="5">
        <f t="shared" ref="N43:N53" si="31">IF(H43=0,0,L43/H43)</f>
        <v>-1</v>
      </c>
      <c r="O43" s="14"/>
      <c r="P43" s="1">
        <f>SUM(OSRRefP22_2x_0)</f>
        <v>0</v>
      </c>
      <c r="Q43" s="1"/>
      <c r="R43" s="5">
        <f t="shared" ref="R43:R53" si="32">IF(P$12=0,0,P43/P$12)</f>
        <v>0</v>
      </c>
      <c r="S43" s="1"/>
      <c r="T43" s="1">
        <f>SUM(OSRRefT22_2x_0)</f>
        <v>700</v>
      </c>
      <c r="U43" s="1"/>
      <c r="V43" s="5">
        <f t="shared" ref="V43:V53" si="33">IF(T$12=0,0,T43/T$12)</f>
        <v>8.6948960959916527E-3</v>
      </c>
      <c r="W43" s="1"/>
      <c r="X43" s="1">
        <f t="shared" ref="X43:X53" si="34">+P43-T43</f>
        <v>-700</v>
      </c>
      <c r="Y43" s="1"/>
      <c r="Z43" s="5">
        <f t="shared" ref="Z43:Z53" si="35">IF(T43=0,0,X43/T43)</f>
        <v>-1</v>
      </c>
    </row>
    <row r="44" spans="1:26" s="24" customFormat="1" hidden="1" outlineLevel="2" x14ac:dyDescent="0.35">
      <c r="A44" s="29"/>
      <c r="B44" s="11" t="str">
        <f>CONCATENATE("          ", "6362", " - ", "ADVERTISING EXPENSE")</f>
        <v xml:space="preserve">          6362 - ADVERTISING EXPENSE</v>
      </c>
      <c r="C44" s="11"/>
      <c r="D44" s="7"/>
      <c r="E44" s="2"/>
      <c r="F44" s="6">
        <f t="shared" si="28"/>
        <v>0</v>
      </c>
      <c r="G44" s="2"/>
      <c r="H44" s="7">
        <v>100</v>
      </c>
      <c r="I44" s="2"/>
      <c r="J44" s="6">
        <f t="shared" si="29"/>
        <v>4.8353561239785313E-3</v>
      </c>
      <c r="K44" s="2"/>
      <c r="L44" s="7">
        <f t="shared" si="30"/>
        <v>-100</v>
      </c>
      <c r="M44" s="2"/>
      <c r="N44" s="6">
        <f t="shared" si="31"/>
        <v>-1</v>
      </c>
      <c r="O44" s="11"/>
      <c r="P44" s="7"/>
      <c r="Q44" s="2"/>
      <c r="R44" s="6">
        <f t="shared" si="32"/>
        <v>0</v>
      </c>
      <c r="S44" s="2"/>
      <c r="T44" s="7">
        <v>700</v>
      </c>
      <c r="U44" s="2"/>
      <c r="V44" s="6">
        <f t="shared" si="33"/>
        <v>8.6948960959916527E-3</v>
      </c>
      <c r="W44" s="2"/>
      <c r="X44" s="7">
        <f t="shared" si="34"/>
        <v>-700</v>
      </c>
      <c r="Y44" s="2"/>
      <c r="Z44" s="6">
        <f t="shared" si="35"/>
        <v>-1</v>
      </c>
    </row>
    <row r="45" spans="1:26" s="28" customFormat="1" outlineLevel="1" collapsed="1" x14ac:dyDescent="0.3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SUM(OSRRefD22_3x_0)</f>
        <v>0</v>
      </c>
      <c r="E45" s="1"/>
      <c r="F45" s="5">
        <f t="shared" si="28"/>
        <v>0</v>
      </c>
      <c r="G45" s="1"/>
      <c r="H45" s="1">
        <f>SUM(OSRRefH22_3x_0)</f>
        <v>1307</v>
      </c>
      <c r="I45" s="1"/>
      <c r="J45" s="5">
        <f t="shared" si="29"/>
        <v>6.3198104540399397E-2</v>
      </c>
      <c r="K45" s="1"/>
      <c r="L45" s="1">
        <f t="shared" si="30"/>
        <v>-1307</v>
      </c>
      <c r="M45" s="1"/>
      <c r="N45" s="5">
        <f t="shared" si="31"/>
        <v>-1</v>
      </c>
      <c r="O45" s="14"/>
      <c r="P45" s="1">
        <f>SUM(OSRRefP22_3x_0)</f>
        <v>240</v>
      </c>
      <c r="Q45" s="1"/>
      <c r="R45" s="5">
        <f t="shared" si="32"/>
        <v>0</v>
      </c>
      <c r="S45" s="1"/>
      <c r="T45" s="1">
        <f>SUM(OSRRefT22_3x_0)</f>
        <v>4987</v>
      </c>
      <c r="U45" s="1"/>
      <c r="V45" s="5">
        <f t="shared" si="33"/>
        <v>6.194492404387196E-2</v>
      </c>
      <c r="W45" s="1"/>
      <c r="X45" s="1">
        <f t="shared" si="34"/>
        <v>-4747</v>
      </c>
      <c r="Y45" s="1"/>
      <c r="Z45" s="5">
        <f t="shared" si="35"/>
        <v>-0.95187487467415277</v>
      </c>
    </row>
    <row r="46" spans="1:26" s="24" customFormat="1" hidden="1" outlineLevel="2" x14ac:dyDescent="0.35">
      <c r="A46" s="29"/>
      <c r="B46" s="11" t="str">
        <f>CONCATENATE("          ", "6381", " - ", "BANK/CREDIT CARD FEES")</f>
        <v xml:space="preserve">          6381 - BANK/CREDIT CARD FEES</v>
      </c>
      <c r="C46" s="11"/>
      <c r="D46" s="7"/>
      <c r="E46" s="2"/>
      <c r="F46" s="6">
        <f t="shared" si="28"/>
        <v>0</v>
      </c>
      <c r="G46" s="2"/>
      <c r="H46" s="7">
        <v>1307</v>
      </c>
      <c r="I46" s="2"/>
      <c r="J46" s="6">
        <f t="shared" si="29"/>
        <v>6.3198104540399397E-2</v>
      </c>
      <c r="K46" s="2"/>
      <c r="L46" s="7">
        <f t="shared" si="30"/>
        <v>-1307</v>
      </c>
      <c r="M46" s="2"/>
      <c r="N46" s="6">
        <f t="shared" si="31"/>
        <v>-1</v>
      </c>
      <c r="O46" s="11"/>
      <c r="P46" s="7">
        <v>240</v>
      </c>
      <c r="Q46" s="2"/>
      <c r="R46" s="6">
        <f t="shared" si="32"/>
        <v>0</v>
      </c>
      <c r="S46" s="2"/>
      <c r="T46" s="7">
        <v>4987</v>
      </c>
      <c r="U46" s="2"/>
      <c r="V46" s="6">
        <f t="shared" si="33"/>
        <v>6.194492404387196E-2</v>
      </c>
      <c r="W46" s="2"/>
      <c r="X46" s="7">
        <f t="shared" si="34"/>
        <v>-4747</v>
      </c>
      <c r="Y46" s="2"/>
      <c r="Z46" s="6">
        <f t="shared" si="35"/>
        <v>-0.95187487467415277</v>
      </c>
    </row>
    <row r="47" spans="1:26" s="28" customFormat="1" outlineLevel="1" collapsed="1" x14ac:dyDescent="0.35">
      <c r="A47" s="27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SUM(OSRRefD22_4x_0)</f>
        <v>8.17</v>
      </c>
      <c r="E47" s="1"/>
      <c r="F47" s="5">
        <f t="shared" si="28"/>
        <v>0</v>
      </c>
      <c r="G47" s="1"/>
      <c r="H47" s="1">
        <f>SUM(OSRRefH22_4x_0)</f>
        <v>0</v>
      </c>
      <c r="I47" s="1"/>
      <c r="J47" s="5">
        <f t="shared" si="29"/>
        <v>0</v>
      </c>
      <c r="K47" s="1"/>
      <c r="L47" s="1">
        <f t="shared" si="30"/>
        <v>8.17</v>
      </c>
      <c r="M47" s="1"/>
      <c r="N47" s="5">
        <f t="shared" si="31"/>
        <v>0</v>
      </c>
      <c r="O47" s="14"/>
      <c r="P47" s="1">
        <f>SUM(OSRRefP22_4x_0)</f>
        <v>117.43</v>
      </c>
      <c r="Q47" s="1"/>
      <c r="R47" s="5">
        <f t="shared" si="32"/>
        <v>0</v>
      </c>
      <c r="S47" s="1"/>
      <c r="T47" s="1">
        <f>SUM(OSRRefT22_4x_0)</f>
        <v>0</v>
      </c>
      <c r="U47" s="1"/>
      <c r="V47" s="5">
        <f t="shared" si="33"/>
        <v>0</v>
      </c>
      <c r="W47" s="1"/>
      <c r="X47" s="1">
        <f t="shared" si="34"/>
        <v>117.43</v>
      </c>
      <c r="Y47" s="1"/>
      <c r="Z47" s="5">
        <f t="shared" si="35"/>
        <v>0</v>
      </c>
    </row>
    <row r="48" spans="1:26" s="24" customFormat="1" hidden="1" outlineLevel="2" x14ac:dyDescent="0.35">
      <c r="A48" s="29"/>
      <c r="B48" s="11" t="str">
        <f>CONCATENATE("          ", "6305", " - ", "FREIGHT OUT")</f>
        <v xml:space="preserve">          6305 - FREIGHT OUT</v>
      </c>
      <c r="C48" s="11"/>
      <c r="D48" s="7">
        <v>8.17</v>
      </c>
      <c r="E48" s="2"/>
      <c r="F48" s="6">
        <f t="shared" si="28"/>
        <v>0</v>
      </c>
      <c r="G48" s="2"/>
      <c r="H48" s="7"/>
      <c r="I48" s="2"/>
      <c r="J48" s="6">
        <f t="shared" si="29"/>
        <v>0</v>
      </c>
      <c r="K48" s="2"/>
      <c r="L48" s="7">
        <f t="shared" si="30"/>
        <v>8.17</v>
      </c>
      <c r="M48" s="2"/>
      <c r="N48" s="6">
        <f t="shared" si="31"/>
        <v>0</v>
      </c>
      <c r="O48" s="11"/>
      <c r="P48" s="7">
        <v>117.43</v>
      </c>
      <c r="Q48" s="2"/>
      <c r="R48" s="6">
        <f t="shared" si="32"/>
        <v>0</v>
      </c>
      <c r="S48" s="2"/>
      <c r="T48" s="7"/>
      <c r="U48" s="2"/>
      <c r="V48" s="6">
        <f t="shared" si="33"/>
        <v>0</v>
      </c>
      <c r="W48" s="2"/>
      <c r="X48" s="7">
        <f t="shared" si="34"/>
        <v>117.43</v>
      </c>
      <c r="Y48" s="2"/>
      <c r="Z48" s="6">
        <f t="shared" si="35"/>
        <v>0</v>
      </c>
    </row>
    <row r="49" spans="1:26" s="28" customFormat="1" outlineLevel="1" collapsed="1" x14ac:dyDescent="0.35">
      <c r="A49" s="27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SUM(OSRRefD22_5x_0)</f>
        <v>0</v>
      </c>
      <c r="E49" s="1"/>
      <c r="F49" s="5">
        <f t="shared" si="28"/>
        <v>0</v>
      </c>
      <c r="G49" s="1"/>
      <c r="H49" s="1">
        <f>SUM(OSRRefH22_5x_0)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4"/>
      <c r="P49" s="1">
        <f>SUM(OSRRefP22_5x_0)</f>
        <v>160</v>
      </c>
      <c r="Q49" s="1"/>
      <c r="R49" s="5">
        <f t="shared" si="32"/>
        <v>0</v>
      </c>
      <c r="S49" s="1"/>
      <c r="T49" s="1">
        <f>SUM(OSRRefT22_5x_0)</f>
        <v>1350</v>
      </c>
      <c r="U49" s="1"/>
      <c r="V49" s="5">
        <f t="shared" si="33"/>
        <v>1.6768728185126758E-2</v>
      </c>
      <c r="W49" s="1"/>
      <c r="X49" s="1">
        <f t="shared" si="34"/>
        <v>-1190</v>
      </c>
      <c r="Y49" s="1"/>
      <c r="Z49" s="5">
        <f t="shared" si="35"/>
        <v>-0.88148148148148153</v>
      </c>
    </row>
    <row r="50" spans="1:26" s="24" customFormat="1" hidden="1" outlineLevel="2" x14ac:dyDescent="0.35">
      <c r="A50" s="29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>
        <v>160</v>
      </c>
      <c r="Q50" s="2"/>
      <c r="R50" s="6">
        <f t="shared" si="32"/>
        <v>0</v>
      </c>
      <c r="S50" s="2"/>
      <c r="T50" s="7">
        <v>1350</v>
      </c>
      <c r="U50" s="2"/>
      <c r="V50" s="6">
        <f t="shared" si="33"/>
        <v>1.6768728185126758E-2</v>
      </c>
      <c r="W50" s="2"/>
      <c r="X50" s="7">
        <f t="shared" si="34"/>
        <v>-1190</v>
      </c>
      <c r="Y50" s="2"/>
      <c r="Z50" s="6">
        <f t="shared" si="35"/>
        <v>-0.88148148148148153</v>
      </c>
    </row>
    <row r="51" spans="1:26" s="28" customFormat="1" outlineLevel="1" collapsed="1" x14ac:dyDescent="0.35">
      <c r="A51" s="27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SUM(OSRRefD22_6x_0)</f>
        <v>0</v>
      </c>
      <c r="E51" s="1"/>
      <c r="F51" s="5">
        <f t="shared" si="28"/>
        <v>0</v>
      </c>
      <c r="G51" s="1"/>
      <c r="H51" s="1">
        <f>SUM(OSRRefH22_6x_0)</f>
        <v>35</v>
      </c>
      <c r="I51" s="1"/>
      <c r="J51" s="5">
        <f t="shared" si="29"/>
        <v>1.692374643392486E-3</v>
      </c>
      <c r="K51" s="1"/>
      <c r="L51" s="1">
        <f t="shared" si="30"/>
        <v>-35</v>
      </c>
      <c r="M51" s="1"/>
      <c r="N51" s="5">
        <f t="shared" si="31"/>
        <v>-1</v>
      </c>
      <c r="O51" s="14"/>
      <c r="P51" s="1">
        <f>SUM(OSRRefP22_6x_0)</f>
        <v>48.24</v>
      </c>
      <c r="Q51" s="1"/>
      <c r="R51" s="5">
        <f t="shared" si="32"/>
        <v>0</v>
      </c>
      <c r="S51" s="1"/>
      <c r="T51" s="1">
        <f>SUM(OSRRefT22_6x_0)</f>
        <v>210</v>
      </c>
      <c r="U51" s="1"/>
      <c r="V51" s="5">
        <f t="shared" si="33"/>
        <v>2.608468828797496E-3</v>
      </c>
      <c r="W51" s="1"/>
      <c r="X51" s="1">
        <f t="shared" si="34"/>
        <v>-161.76</v>
      </c>
      <c r="Y51" s="1"/>
      <c r="Z51" s="5">
        <f t="shared" si="35"/>
        <v>-0.77028571428571424</v>
      </c>
    </row>
    <row r="52" spans="1:26" s="24" customFormat="1" hidden="1" outlineLevel="2" x14ac:dyDescent="0.35">
      <c r="A52" s="29"/>
      <c r="B52" s="11" t="str">
        <f>CONCATENATE("          ", "6373", " - ", "MAINTENANCE CONTRACTS")</f>
        <v xml:space="preserve">          6373 - MAINTENANCE CONTRACTS</v>
      </c>
      <c r="C52" s="11"/>
      <c r="D52" s="7"/>
      <c r="E52" s="2"/>
      <c r="F52" s="6">
        <f t="shared" si="28"/>
        <v>0</v>
      </c>
      <c r="G52" s="2"/>
      <c r="H52" s="7"/>
      <c r="I52" s="2"/>
      <c r="J52" s="6">
        <f t="shared" si="29"/>
        <v>0</v>
      </c>
      <c r="K52" s="2"/>
      <c r="L52" s="7">
        <f t="shared" si="30"/>
        <v>0</v>
      </c>
      <c r="M52" s="2"/>
      <c r="N52" s="6">
        <f t="shared" si="31"/>
        <v>0</v>
      </c>
      <c r="O52" s="11"/>
      <c r="P52" s="7">
        <v>48.24</v>
      </c>
      <c r="Q52" s="2"/>
      <c r="R52" s="6">
        <f t="shared" si="32"/>
        <v>0</v>
      </c>
      <c r="S52" s="2"/>
      <c r="T52" s="7"/>
      <c r="U52" s="2"/>
      <c r="V52" s="6">
        <f t="shared" si="33"/>
        <v>0</v>
      </c>
      <c r="W52" s="2"/>
      <c r="X52" s="7">
        <f t="shared" si="34"/>
        <v>48.24</v>
      </c>
      <c r="Y52" s="2"/>
      <c r="Z52" s="6">
        <f t="shared" si="35"/>
        <v>0</v>
      </c>
    </row>
    <row r="53" spans="1:26" s="24" customFormat="1" hidden="1" outlineLevel="2" x14ac:dyDescent="0.35">
      <c r="A53" s="29"/>
      <c r="B53" s="11" t="str">
        <f>CONCATENATE("          ", "6375", " - ", "OUTSIDE REPAIRS &amp; MAINTENANCE")</f>
        <v xml:space="preserve">          6375 - OUTSIDE REPAIRS &amp; MAINTENANCE</v>
      </c>
      <c r="C53" s="11"/>
      <c r="D53" s="7"/>
      <c r="E53" s="2"/>
      <c r="F53" s="6">
        <f t="shared" si="28"/>
        <v>0</v>
      </c>
      <c r="G53" s="2"/>
      <c r="H53" s="7">
        <v>35</v>
      </c>
      <c r="I53" s="2"/>
      <c r="J53" s="6">
        <f t="shared" si="29"/>
        <v>1.692374643392486E-3</v>
      </c>
      <c r="K53" s="2"/>
      <c r="L53" s="7">
        <f t="shared" si="30"/>
        <v>-35</v>
      </c>
      <c r="M53" s="2"/>
      <c r="N53" s="6">
        <f t="shared" si="31"/>
        <v>-1</v>
      </c>
      <c r="O53" s="11"/>
      <c r="P53" s="7"/>
      <c r="Q53" s="2"/>
      <c r="R53" s="6">
        <f t="shared" si="32"/>
        <v>0</v>
      </c>
      <c r="S53" s="2"/>
      <c r="T53" s="7">
        <v>210</v>
      </c>
      <c r="U53" s="2"/>
      <c r="V53" s="6">
        <f t="shared" si="33"/>
        <v>2.608468828797496E-3</v>
      </c>
      <c r="W53" s="2"/>
      <c r="X53" s="7">
        <f t="shared" si="34"/>
        <v>-210</v>
      </c>
      <c r="Y53" s="2"/>
      <c r="Z53" s="6">
        <f t="shared" si="35"/>
        <v>-1</v>
      </c>
    </row>
    <row r="54" spans="1:26" s="28" customFormat="1" outlineLevel="1" collapsed="1" x14ac:dyDescent="0.35">
      <c r="A54" s="27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SUM(OSRRefD22_7x_0)</f>
        <v>0</v>
      </c>
      <c r="E54" s="1"/>
      <c r="F54" s="5">
        <f t="shared" ref="F54:F59" si="36">IF(D$12=0,0,D54/D$12)</f>
        <v>0</v>
      </c>
      <c r="G54" s="1"/>
      <c r="H54" s="1">
        <f>SUM(OSRRefH22_7x_0)</f>
        <v>163</v>
      </c>
      <c r="I54" s="1"/>
      <c r="J54" s="5">
        <f t="shared" ref="J54:J59" si="37">IF(H$12=0,0,H54/H$12)</f>
        <v>7.8816304820850062E-3</v>
      </c>
      <c r="K54" s="1"/>
      <c r="L54" s="1">
        <f t="shared" ref="L54:L59" si="38">+D54-H54</f>
        <v>-163</v>
      </c>
      <c r="M54" s="1"/>
      <c r="N54" s="5">
        <f t="shared" ref="N54:N59" si="39">IF(H54=0,0,L54/H54)</f>
        <v>-1</v>
      </c>
      <c r="O54" s="14"/>
      <c r="P54" s="1">
        <f>SUM(OSRRefP22_7x_0)</f>
        <v>0</v>
      </c>
      <c r="Q54" s="1"/>
      <c r="R54" s="5">
        <f t="shared" ref="R54:R59" si="40">IF(P$12=0,0,P54/P$12)</f>
        <v>0</v>
      </c>
      <c r="S54" s="1"/>
      <c r="T54" s="1">
        <f>SUM(OSRRefT22_7x_0)</f>
        <v>1141</v>
      </c>
      <c r="U54" s="1"/>
      <c r="V54" s="5">
        <f t="shared" ref="V54:V59" si="41">IF(T$12=0,0,T54/T$12)</f>
        <v>1.4172680636466393E-2</v>
      </c>
      <c r="W54" s="1"/>
      <c r="X54" s="1">
        <f t="shared" ref="X54:X59" si="42">+P54-T54</f>
        <v>-1141</v>
      </c>
      <c r="Y54" s="1"/>
      <c r="Z54" s="5">
        <f t="shared" ref="Z54:Z59" si="43">IF(T54=0,0,X54/T54)</f>
        <v>-1</v>
      </c>
    </row>
    <row r="55" spans="1:26" s="24" customFormat="1" hidden="1" outlineLevel="2" x14ac:dyDescent="0.35">
      <c r="A55" s="29"/>
      <c r="B55" s="11" t="str">
        <f>CONCATENATE("          ", "6285", " - ", "JANITORIAL SERVICES")</f>
        <v xml:space="preserve">          6285 - JANITORIAL SERVICES</v>
      </c>
      <c r="C55" s="11"/>
      <c r="D55" s="7"/>
      <c r="E55" s="2"/>
      <c r="F55" s="6">
        <f t="shared" si="36"/>
        <v>0</v>
      </c>
      <c r="G55" s="2"/>
      <c r="H55" s="7">
        <v>163</v>
      </c>
      <c r="I55" s="2"/>
      <c r="J55" s="6">
        <f t="shared" si="37"/>
        <v>7.8816304820850062E-3</v>
      </c>
      <c r="K55" s="2"/>
      <c r="L55" s="7">
        <f t="shared" si="38"/>
        <v>-163</v>
      </c>
      <c r="M55" s="2"/>
      <c r="N55" s="6">
        <f t="shared" si="39"/>
        <v>-1</v>
      </c>
      <c r="O55" s="11"/>
      <c r="P55" s="7"/>
      <c r="Q55" s="2"/>
      <c r="R55" s="6">
        <f t="shared" si="40"/>
        <v>0</v>
      </c>
      <c r="S55" s="2"/>
      <c r="T55" s="7">
        <v>1141</v>
      </c>
      <c r="U55" s="2"/>
      <c r="V55" s="6">
        <f t="shared" si="41"/>
        <v>1.4172680636466393E-2</v>
      </c>
      <c r="W55" s="2"/>
      <c r="X55" s="7">
        <f t="shared" si="42"/>
        <v>-1141</v>
      </c>
      <c r="Y55" s="2"/>
      <c r="Z55" s="6">
        <f t="shared" si="43"/>
        <v>-1</v>
      </c>
    </row>
    <row r="56" spans="1:26" s="28" customFormat="1" outlineLevel="1" collapsed="1" x14ac:dyDescent="0.35">
      <c r="A56" s="27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SUM(OSRRefD22_8x_0)</f>
        <v>0</v>
      </c>
      <c r="E56" s="1"/>
      <c r="F56" s="5">
        <f t="shared" si="36"/>
        <v>0</v>
      </c>
      <c r="G56" s="1"/>
      <c r="H56" s="1">
        <f>SUM(OSRRefH22_8x_0)</f>
        <v>510</v>
      </c>
      <c r="I56" s="1"/>
      <c r="J56" s="5">
        <f t="shared" si="37"/>
        <v>2.4660316232290508E-2</v>
      </c>
      <c r="K56" s="1"/>
      <c r="L56" s="1">
        <f t="shared" si="38"/>
        <v>-510</v>
      </c>
      <c r="M56" s="1"/>
      <c r="N56" s="5">
        <f t="shared" si="39"/>
        <v>-1</v>
      </c>
      <c r="O56" s="14"/>
      <c r="P56" s="1">
        <f>SUM(OSRRefP22_8x_0)</f>
        <v>0</v>
      </c>
      <c r="Q56" s="1"/>
      <c r="R56" s="5">
        <f t="shared" si="40"/>
        <v>0</v>
      </c>
      <c r="S56" s="1"/>
      <c r="T56" s="1">
        <f>SUM(OSRRefT22_8x_0)</f>
        <v>3070</v>
      </c>
      <c r="U56" s="1"/>
      <c r="V56" s="5">
        <f t="shared" si="41"/>
        <v>3.8133330020991965E-2</v>
      </c>
      <c r="W56" s="1"/>
      <c r="X56" s="1">
        <f t="shared" si="42"/>
        <v>-3070</v>
      </c>
      <c r="Y56" s="1"/>
      <c r="Z56" s="5">
        <f t="shared" si="43"/>
        <v>-1</v>
      </c>
    </row>
    <row r="57" spans="1:26" s="24" customFormat="1" hidden="1" outlineLevel="2" x14ac:dyDescent="0.35">
      <c r="A57" s="29"/>
      <c r="B57" s="11" t="str">
        <f>CONCATENATE("          ", "6235", " - ", "COVID-19 EXPENSES")</f>
        <v xml:space="preserve">          6235 - COVID-19 EXPENSES</v>
      </c>
      <c r="C57" s="11"/>
      <c r="D57" s="7"/>
      <c r="E57" s="2"/>
      <c r="F57" s="6">
        <f t="shared" si="36"/>
        <v>0</v>
      </c>
      <c r="G57" s="2"/>
      <c r="H57" s="7">
        <v>0</v>
      </c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/>
      <c r="Q57" s="2"/>
      <c r="R57" s="6">
        <f t="shared" si="40"/>
        <v>0</v>
      </c>
      <c r="S57" s="2"/>
      <c r="T57" s="7">
        <v>0</v>
      </c>
      <c r="U57" s="2"/>
      <c r="V57" s="6">
        <f t="shared" si="41"/>
        <v>0</v>
      </c>
      <c r="W57" s="2"/>
      <c r="X57" s="7">
        <f t="shared" si="42"/>
        <v>0</v>
      </c>
      <c r="Y57" s="2"/>
      <c r="Z57" s="6">
        <f t="shared" si="43"/>
        <v>0</v>
      </c>
    </row>
    <row r="58" spans="1:26" s="24" customFormat="1" hidden="1" outlineLevel="2" x14ac:dyDescent="0.35">
      <c r="A58" s="29"/>
      <c r="B58" s="11" t="str">
        <f>CONCATENATE("          ", "6247", " - ", "STORE SUPPLIES")</f>
        <v xml:space="preserve">          6247 - STORE SUPPLIES</v>
      </c>
      <c r="C58" s="11"/>
      <c r="D58" s="7"/>
      <c r="E58" s="2"/>
      <c r="F58" s="6">
        <f t="shared" si="36"/>
        <v>0</v>
      </c>
      <c r="G58" s="2"/>
      <c r="H58" s="7">
        <v>510</v>
      </c>
      <c r="I58" s="2"/>
      <c r="J58" s="6">
        <f t="shared" si="37"/>
        <v>2.4660316232290508E-2</v>
      </c>
      <c r="K58" s="2"/>
      <c r="L58" s="7">
        <f t="shared" si="38"/>
        <v>-510</v>
      </c>
      <c r="M58" s="2"/>
      <c r="N58" s="6">
        <f t="shared" si="39"/>
        <v>-1</v>
      </c>
      <c r="O58" s="11"/>
      <c r="P58" s="7"/>
      <c r="Q58" s="2"/>
      <c r="R58" s="6">
        <f t="shared" si="40"/>
        <v>0</v>
      </c>
      <c r="S58" s="2"/>
      <c r="T58" s="7">
        <v>3070</v>
      </c>
      <c r="U58" s="2"/>
      <c r="V58" s="6">
        <f t="shared" si="41"/>
        <v>3.8133330020991965E-2</v>
      </c>
      <c r="W58" s="2"/>
      <c r="X58" s="7">
        <f t="shared" si="42"/>
        <v>-3070</v>
      </c>
      <c r="Y58" s="2"/>
      <c r="Z58" s="6">
        <f t="shared" si="43"/>
        <v>-1</v>
      </c>
    </row>
    <row r="59" spans="1:26" s="24" customFormat="1" hidden="1" outlineLevel="2" x14ac:dyDescent="0.35">
      <c r="A59" s="29"/>
      <c r="B59" s="11" t="str">
        <f>CONCATENATE("          ", "6248", " - ", "UNIFORMS")</f>
        <v xml:space="preserve">          6248 - UNIFORMS</v>
      </c>
      <c r="C59" s="11"/>
      <c r="D59" s="7"/>
      <c r="E59" s="2"/>
      <c r="F59" s="6">
        <f t="shared" si="36"/>
        <v>0</v>
      </c>
      <c r="G59" s="2"/>
      <c r="H59" s="7">
        <v>0</v>
      </c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/>
      <c r="Q59" s="2"/>
      <c r="R59" s="6">
        <f t="shared" si="40"/>
        <v>0</v>
      </c>
      <c r="S59" s="2"/>
      <c r="T59" s="7">
        <v>0</v>
      </c>
      <c r="U59" s="2"/>
      <c r="V59" s="6">
        <f t="shared" si="41"/>
        <v>0</v>
      </c>
      <c r="W59" s="2"/>
      <c r="X59" s="7">
        <f t="shared" si="42"/>
        <v>0</v>
      </c>
      <c r="Y59" s="2"/>
      <c r="Z59" s="6">
        <f t="shared" si="43"/>
        <v>0</v>
      </c>
    </row>
    <row r="60" spans="1:26" s="28" customFormat="1" outlineLevel="1" collapsed="1" x14ac:dyDescent="0.35">
      <c r="A60" s="27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SUM(OSRRefD22_9x_0)</f>
        <v>72</v>
      </c>
      <c r="E60" s="1"/>
      <c r="F60" s="5">
        <f t="shared" ref="F60:F62" si="44">IF(D$12=0,0,D60/D$12)</f>
        <v>0</v>
      </c>
      <c r="G60" s="1"/>
      <c r="H60" s="1">
        <f>SUM(OSRRefH22_9x_0)</f>
        <v>120</v>
      </c>
      <c r="I60" s="1"/>
      <c r="J60" s="5">
        <f t="shared" ref="J60:J62" si="45">IF(H$12=0,0,H60/H$12)</f>
        <v>5.8024273487742375E-3</v>
      </c>
      <c r="K60" s="1"/>
      <c r="L60" s="1">
        <f t="shared" ref="L60:L62" si="46">+D60-H60</f>
        <v>-48</v>
      </c>
      <c r="M60" s="1"/>
      <c r="N60" s="5">
        <f t="shared" ref="N60:N62" si="47">IF(H60=0,0,L60/H60)</f>
        <v>-0.4</v>
      </c>
      <c r="O60" s="14"/>
      <c r="P60" s="1">
        <f>SUM(OSRRefP22_9x_0)</f>
        <v>852.4</v>
      </c>
      <c r="Q60" s="1"/>
      <c r="R60" s="5">
        <f t="shared" ref="R60:R62" si="48">IF(P$12=0,0,P60/P$12)</f>
        <v>0</v>
      </c>
      <c r="S60" s="1"/>
      <c r="T60" s="1">
        <f>SUM(OSRRefT22_9x_0)</f>
        <v>840</v>
      </c>
      <c r="U60" s="1"/>
      <c r="V60" s="5">
        <f t="shared" ref="V60:V62" si="49">IF(T$12=0,0,T60/T$12)</f>
        <v>1.0433875315189984E-2</v>
      </c>
      <c r="W60" s="1"/>
      <c r="X60" s="1">
        <f t="shared" ref="X60:X62" si="50">+P60-T60</f>
        <v>12.399999999999977</v>
      </c>
      <c r="Y60" s="1"/>
      <c r="Z60" s="5">
        <f t="shared" ref="Z60:Z62" si="51">IF(T60=0,0,X60/T60)</f>
        <v>1.4761904761904735E-2</v>
      </c>
    </row>
    <row r="61" spans="1:26" s="24" customFormat="1" hidden="1" outlineLevel="2" x14ac:dyDescent="0.35">
      <c r="A61" s="29"/>
      <c r="B61" s="11" t="str">
        <f>CONCATENATE("          ", "6303", " - ", "DATA PHONE LINES")</f>
        <v xml:space="preserve">          6303 - DATA PHONE LINES</v>
      </c>
      <c r="C61" s="11"/>
      <c r="D61" s="7"/>
      <c r="E61" s="2"/>
      <c r="F61" s="6">
        <f t="shared" si="44"/>
        <v>0</v>
      </c>
      <c r="G61" s="2"/>
      <c r="H61" s="7">
        <v>120</v>
      </c>
      <c r="I61" s="2"/>
      <c r="J61" s="6">
        <f t="shared" si="45"/>
        <v>5.8024273487742375E-3</v>
      </c>
      <c r="K61" s="2"/>
      <c r="L61" s="7">
        <f t="shared" si="46"/>
        <v>-120</v>
      </c>
      <c r="M61" s="2"/>
      <c r="N61" s="6">
        <f t="shared" si="47"/>
        <v>-1</v>
      </c>
      <c r="O61" s="11"/>
      <c r="P61" s="7"/>
      <c r="Q61" s="2"/>
      <c r="R61" s="6">
        <f t="shared" si="48"/>
        <v>0</v>
      </c>
      <c r="S61" s="2"/>
      <c r="T61" s="7">
        <v>840</v>
      </c>
      <c r="U61" s="2"/>
      <c r="V61" s="6">
        <f t="shared" si="49"/>
        <v>1.0433875315189984E-2</v>
      </c>
      <c r="W61" s="2"/>
      <c r="X61" s="7">
        <f t="shared" si="50"/>
        <v>-840</v>
      </c>
      <c r="Y61" s="2"/>
      <c r="Z61" s="6">
        <f t="shared" si="51"/>
        <v>-1</v>
      </c>
    </row>
    <row r="62" spans="1:26" s="24" customFormat="1" hidden="1" outlineLevel="2" x14ac:dyDescent="0.35">
      <c r="A62" s="29"/>
      <c r="B62" s="11" t="str">
        <f>CONCATENATE("          ", "6309", " - ", "TELEPHONE")</f>
        <v xml:space="preserve">          6309 - TELEPHONE</v>
      </c>
      <c r="C62" s="11"/>
      <c r="D62" s="7">
        <v>72</v>
      </c>
      <c r="E62" s="2"/>
      <c r="F62" s="6">
        <f t="shared" si="44"/>
        <v>0</v>
      </c>
      <c r="G62" s="2"/>
      <c r="H62" s="7"/>
      <c r="I62" s="2"/>
      <c r="J62" s="6">
        <f t="shared" si="45"/>
        <v>0</v>
      </c>
      <c r="K62" s="2"/>
      <c r="L62" s="7">
        <f t="shared" si="46"/>
        <v>72</v>
      </c>
      <c r="M62" s="2"/>
      <c r="N62" s="6">
        <f t="shared" si="47"/>
        <v>0</v>
      </c>
      <c r="O62" s="11"/>
      <c r="P62" s="7">
        <v>852.4</v>
      </c>
      <c r="Q62" s="2"/>
      <c r="R62" s="6">
        <f t="shared" si="48"/>
        <v>0</v>
      </c>
      <c r="S62" s="2"/>
      <c r="T62" s="7"/>
      <c r="U62" s="2"/>
      <c r="V62" s="6">
        <f t="shared" si="49"/>
        <v>0</v>
      </c>
      <c r="W62" s="2"/>
      <c r="X62" s="7">
        <f t="shared" si="50"/>
        <v>852.4</v>
      </c>
      <c r="Y62" s="2"/>
      <c r="Z62" s="6">
        <f t="shared" si="51"/>
        <v>0</v>
      </c>
    </row>
    <row r="63" spans="1:26" s="28" customFormat="1" outlineLevel="1" collapsed="1" x14ac:dyDescent="0.35">
      <c r="A63" s="27"/>
      <c r="B63" s="14" t="str">
        <f>CONCATENATE("     ","Training                                          ")</f>
        <v xml:space="preserve">     Training                                          </v>
      </c>
      <c r="C63" s="14"/>
      <c r="D63" s="1">
        <f>SUM(OSRRefD22_10x_0)</f>
        <v>0</v>
      </c>
      <c r="E63" s="1"/>
      <c r="F63" s="5">
        <f t="shared" ref="F63:F66" si="52">IF(D$12=0,0,D63/D$12)</f>
        <v>0</v>
      </c>
      <c r="G63" s="1"/>
      <c r="H63" s="1">
        <f>SUM(OSRRefH22_10x_0)</f>
        <v>60</v>
      </c>
      <c r="I63" s="1"/>
      <c r="J63" s="5">
        <f t="shared" ref="J63:J66" si="53">IF(H$12=0,0,H63/H$12)</f>
        <v>2.9012136743871188E-3</v>
      </c>
      <c r="K63" s="1"/>
      <c r="L63" s="1">
        <f t="shared" ref="L63:L66" si="54">+D63-H63</f>
        <v>-60</v>
      </c>
      <c r="M63" s="1"/>
      <c r="N63" s="5">
        <f t="shared" ref="N63:N66" si="55">IF(H63=0,0,L63/H63)</f>
        <v>-1</v>
      </c>
      <c r="O63" s="14"/>
      <c r="P63" s="1">
        <f>SUM(OSRRefP22_10x_0)</f>
        <v>0</v>
      </c>
      <c r="Q63" s="1"/>
      <c r="R63" s="5">
        <f t="shared" ref="R63:R66" si="56">IF(P$12=0,0,P63/P$12)</f>
        <v>0</v>
      </c>
      <c r="S63" s="1"/>
      <c r="T63" s="1">
        <f>SUM(OSRRefT22_10x_0)</f>
        <v>120</v>
      </c>
      <c r="U63" s="1"/>
      <c r="V63" s="5">
        <f t="shared" ref="V63:V66" si="57">IF(T$12=0,0,T63/T$12)</f>
        <v>1.4905536164557119E-3</v>
      </c>
      <c r="W63" s="1"/>
      <c r="X63" s="1">
        <f t="shared" ref="X63:X66" si="58">+P63-T63</f>
        <v>-120</v>
      </c>
      <c r="Y63" s="1"/>
      <c r="Z63" s="5">
        <f t="shared" ref="Z63:Z66" si="59">IF(T63=0,0,X63/T63)</f>
        <v>-1</v>
      </c>
    </row>
    <row r="64" spans="1:26" s="24" customFormat="1" hidden="1" outlineLevel="2" x14ac:dyDescent="0.35">
      <c r="A64" s="29"/>
      <c r="B64" s="11" t="str">
        <f>CONCATENATE("          ", "6376", " - ", "TRAINING")</f>
        <v xml:space="preserve">          6376 - TRAINING</v>
      </c>
      <c r="C64" s="11"/>
      <c r="D64" s="7"/>
      <c r="E64" s="2"/>
      <c r="F64" s="6">
        <f t="shared" si="52"/>
        <v>0</v>
      </c>
      <c r="G64" s="2"/>
      <c r="H64" s="7">
        <v>60</v>
      </c>
      <c r="I64" s="2"/>
      <c r="J64" s="6">
        <f t="shared" si="53"/>
        <v>2.9012136743871188E-3</v>
      </c>
      <c r="K64" s="2"/>
      <c r="L64" s="7">
        <f t="shared" si="54"/>
        <v>-60</v>
      </c>
      <c r="M64" s="2"/>
      <c r="N64" s="6">
        <f t="shared" si="55"/>
        <v>-1</v>
      </c>
      <c r="O64" s="11"/>
      <c r="P64" s="7"/>
      <c r="Q64" s="2"/>
      <c r="R64" s="6">
        <f t="shared" si="56"/>
        <v>0</v>
      </c>
      <c r="S64" s="2"/>
      <c r="T64" s="7">
        <v>120</v>
      </c>
      <c r="U64" s="2"/>
      <c r="V64" s="6">
        <f t="shared" si="57"/>
        <v>1.4905536164557119E-3</v>
      </c>
      <c r="W64" s="2"/>
      <c r="X64" s="7">
        <f t="shared" si="58"/>
        <v>-120</v>
      </c>
      <c r="Y64" s="2"/>
      <c r="Z64" s="6">
        <f t="shared" si="59"/>
        <v>-1</v>
      </c>
    </row>
    <row r="65" spans="1:26" s="28" customFormat="1" outlineLevel="1" collapsed="1" x14ac:dyDescent="0.35">
      <c r="A65" s="27"/>
      <c r="B65" s="14" t="str">
        <f>CONCATENATE("     ","Travel                                            ")</f>
        <v xml:space="preserve">     Travel                                            </v>
      </c>
      <c r="C65" s="14"/>
      <c r="D65" s="1">
        <f>SUM(OSRRefD22_11x_0)</f>
        <v>0</v>
      </c>
      <c r="E65" s="1"/>
      <c r="F65" s="5">
        <f t="shared" si="52"/>
        <v>0</v>
      </c>
      <c r="G65" s="1"/>
      <c r="H65" s="1">
        <f>SUM(OSRRefH22_11x_0)</f>
        <v>0</v>
      </c>
      <c r="I65" s="1"/>
      <c r="J65" s="5">
        <f t="shared" si="53"/>
        <v>0</v>
      </c>
      <c r="K65" s="1"/>
      <c r="L65" s="1">
        <f t="shared" si="54"/>
        <v>0</v>
      </c>
      <c r="M65" s="1"/>
      <c r="N65" s="5">
        <f t="shared" si="55"/>
        <v>0</v>
      </c>
      <c r="O65" s="14"/>
      <c r="P65" s="1">
        <f>SUM(OSRRefP22_11x_0)</f>
        <v>0</v>
      </c>
      <c r="Q65" s="1"/>
      <c r="R65" s="5">
        <f t="shared" si="56"/>
        <v>0</v>
      </c>
      <c r="S65" s="1"/>
      <c r="T65" s="1">
        <f>SUM(OSRRefT22_11x_0)</f>
        <v>0</v>
      </c>
      <c r="U65" s="1"/>
      <c r="V65" s="5">
        <f t="shared" si="57"/>
        <v>0</v>
      </c>
      <c r="W65" s="1"/>
      <c r="X65" s="1">
        <f t="shared" si="58"/>
        <v>0</v>
      </c>
      <c r="Y65" s="1"/>
      <c r="Z65" s="5">
        <f t="shared" si="59"/>
        <v>0</v>
      </c>
    </row>
    <row r="66" spans="1:26" s="24" customFormat="1" hidden="1" outlineLevel="2" x14ac:dyDescent="0.35">
      <c r="A66" s="29"/>
      <c r="B66" s="11" t="str">
        <f>CONCATENATE("          ", "6292", " - ", "TRAVEL/CONFERENCE")</f>
        <v xml:space="preserve">          6292 - TRAVEL/CONFERENCE</v>
      </c>
      <c r="C66" s="11"/>
      <c r="D66" s="7"/>
      <c r="E66" s="2"/>
      <c r="F66" s="6">
        <f t="shared" si="52"/>
        <v>0</v>
      </c>
      <c r="G66" s="2"/>
      <c r="H66" s="7"/>
      <c r="I66" s="2"/>
      <c r="J66" s="6">
        <f t="shared" si="53"/>
        <v>0</v>
      </c>
      <c r="K66" s="2"/>
      <c r="L66" s="7">
        <f t="shared" si="54"/>
        <v>0</v>
      </c>
      <c r="M66" s="2"/>
      <c r="N66" s="6">
        <f t="shared" si="55"/>
        <v>0</v>
      </c>
      <c r="O66" s="11"/>
      <c r="P66" s="7"/>
      <c r="Q66" s="2"/>
      <c r="R66" s="6">
        <f t="shared" si="56"/>
        <v>0</v>
      </c>
      <c r="S66" s="2"/>
      <c r="T66" s="7">
        <v>0</v>
      </c>
      <c r="U66" s="2"/>
      <c r="V66" s="6">
        <f t="shared" si="57"/>
        <v>0</v>
      </c>
      <c r="W66" s="2"/>
      <c r="X66" s="7">
        <f t="shared" si="58"/>
        <v>0</v>
      </c>
      <c r="Y66" s="2"/>
      <c r="Z66" s="6">
        <f t="shared" si="59"/>
        <v>0</v>
      </c>
    </row>
    <row r="67" spans="1:26" s="55" customFormat="1" x14ac:dyDescent="0.3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35">
      <c r="A68" s="10"/>
      <c r="B68" s="25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3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35">
      <c r="A70" s="10"/>
      <c r="B70" s="26" t="s">
        <v>3</v>
      </c>
      <c r="C70" s="26"/>
      <c r="D70" s="19">
        <f>+D19-D21+D68</f>
        <v>-80.17</v>
      </c>
      <c r="E70" s="13"/>
      <c r="F70" s="21">
        <f>IF(D$12=0,0,D70/D$12)</f>
        <v>0</v>
      </c>
      <c r="G70" s="13"/>
      <c r="H70" s="19">
        <f>+H19-H21+H68</f>
        <v>-11341.383332400001</v>
      </c>
      <c r="I70" s="13"/>
      <c r="J70" s="21">
        <f>IF(H$12=0,0,H70/H$12)</f>
        <v>-0.54839627350708386</v>
      </c>
      <c r="K70" s="16"/>
      <c r="L70" s="19">
        <f>+D70-H70</f>
        <v>11261.213332400001</v>
      </c>
      <c r="M70" s="16"/>
      <c r="N70" s="21">
        <f>IF(H70=0,0,L70/H70)</f>
        <v>-0.99293119739891245</v>
      </c>
      <c r="O70" s="25"/>
      <c r="P70" s="19">
        <f>+P19-P21+P68</f>
        <v>-45728.480000000003</v>
      </c>
      <c r="Q70" s="13"/>
      <c r="R70" s="21">
        <f>IF(P$12=0,0,P70/P$12)</f>
        <v>0</v>
      </c>
      <c r="S70" s="13"/>
      <c r="T70" s="19">
        <f>+T19-T21+T68</f>
        <v>-62878.476442400002</v>
      </c>
      <c r="U70" s="13"/>
      <c r="V70" s="21">
        <f>IF(T$12=0,0,T70/T$12)</f>
        <v>-0.78103117048703841</v>
      </c>
      <c r="W70" s="16"/>
      <c r="X70" s="19">
        <f>+P70-T70</f>
        <v>17149.996442399999</v>
      </c>
      <c r="Y70" s="16"/>
      <c r="Z70" s="21">
        <f>IF(T70=0,0,X70/T70)</f>
        <v>-0.27274828228559733</v>
      </c>
    </row>
    <row r="71" spans="1:26" x14ac:dyDescent="0.3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35">
      <c r="A72" s="52"/>
      <c r="B72" s="10" t="s">
        <v>14</v>
      </c>
      <c r="C72" s="10"/>
      <c r="D72" s="4"/>
      <c r="E72" s="4"/>
      <c r="F72" s="12">
        <f>IF(D$12=0,0,D72/D$12)</f>
        <v>0</v>
      </c>
      <c r="G72" s="4"/>
      <c r="H72" s="4">
        <v>2623</v>
      </c>
      <c r="I72" s="4"/>
      <c r="J72" s="12">
        <f>IF(H$12=0,0,H72/H$12)</f>
        <v>0.12683139113195688</v>
      </c>
      <c r="K72" s="4"/>
      <c r="L72" s="4">
        <f>+D72-H72</f>
        <v>-2623</v>
      </c>
      <c r="M72" s="4"/>
      <c r="N72" s="12">
        <f>IF(H72=0,0,L72/H72)</f>
        <v>-1</v>
      </c>
      <c r="O72" s="10"/>
      <c r="P72" s="4"/>
      <c r="Q72" s="4"/>
      <c r="R72" s="12">
        <f>IF(P$12=0,0,P72/P$12)</f>
        <v>0</v>
      </c>
      <c r="S72" s="4"/>
      <c r="T72" s="4">
        <v>13972</v>
      </c>
      <c r="U72" s="4"/>
      <c r="V72" s="12">
        <f>IF(T$12=0,0,T72/T$12)</f>
        <v>0.17355012607599341</v>
      </c>
      <c r="W72" s="4"/>
      <c r="X72" s="4">
        <f>+P72-T72</f>
        <v>-13972</v>
      </c>
      <c r="Y72" s="4"/>
      <c r="Z72" s="12">
        <f>IF(T72=0,0,X72/T72)</f>
        <v>-1</v>
      </c>
    </row>
    <row r="73" spans="1:26" x14ac:dyDescent="0.3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" thickBot="1" x14ac:dyDescent="0.4">
      <c r="A74" s="10"/>
      <c r="B74" s="26" t="s">
        <v>4</v>
      </c>
      <c r="C74" s="26"/>
      <c r="D74" s="33">
        <f>+D70-D72</f>
        <v>-80.17</v>
      </c>
      <c r="E74" s="13"/>
      <c r="F74" s="31">
        <f>IF(D$12=0,0,D74/D$12)</f>
        <v>0</v>
      </c>
      <c r="G74" s="13"/>
      <c r="H74" s="33">
        <f>+H70-H72</f>
        <v>-13964.383332400001</v>
      </c>
      <c r="I74" s="13"/>
      <c r="J74" s="31">
        <f>IF(H$12=0,0,H74/H$12)</f>
        <v>-0.67522766463904071</v>
      </c>
      <c r="K74" s="16"/>
      <c r="L74" s="33">
        <f>D74-H74</f>
        <v>13884.213332400001</v>
      </c>
      <c r="M74" s="16"/>
      <c r="N74" s="31">
        <f>IF(H74=0,0,L74/H74)</f>
        <v>-0.99425896596421914</v>
      </c>
      <c r="O74" s="25"/>
      <c r="P74" s="33">
        <f>+P70-P72</f>
        <v>-45728.480000000003</v>
      </c>
      <c r="Q74" s="13"/>
      <c r="R74" s="31">
        <f>IF(P$12=0,0,P74/P$12)</f>
        <v>0</v>
      </c>
      <c r="S74" s="13"/>
      <c r="T74" s="33">
        <f>+T70-T72</f>
        <v>-76850.476442400002</v>
      </c>
      <c r="U74" s="13"/>
      <c r="V74" s="31">
        <f>IF(T$12=0,0,T74/T$12)</f>
        <v>-0.95458129656303181</v>
      </c>
      <c r="W74" s="16"/>
      <c r="X74" s="33">
        <f>P74-T74</f>
        <v>31121.996442399999</v>
      </c>
      <c r="Y74" s="16"/>
      <c r="Z74" s="31">
        <f>IF(T74=0,0,X74/T74)</f>
        <v>-0.4049681652361149</v>
      </c>
    </row>
    <row r="75" spans="1:26" ht="15" thickTop="1" x14ac:dyDescent="0.3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3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" thickBot="1" x14ac:dyDescent="0.4">
      <c r="A77" s="10"/>
      <c r="B77" s="26" t="s">
        <v>5</v>
      </c>
      <c r="C77" s="26"/>
      <c r="D77" s="34">
        <f>SUM(D74:D76)</f>
        <v>-80.17</v>
      </c>
      <c r="E77" s="13"/>
      <c r="F77" s="32">
        <f>IF(D$12=0,0,D77/D$12)</f>
        <v>0</v>
      </c>
      <c r="G77" s="13"/>
      <c r="H77" s="34">
        <f>SUM(H74:H76)</f>
        <v>-13964.383332400001</v>
      </c>
      <c r="I77" s="13"/>
      <c r="J77" s="32">
        <f>IF(H$12=0,0,H77/H$12)</f>
        <v>-0.67522766463904071</v>
      </c>
      <c r="K77" s="16"/>
      <c r="L77" s="34">
        <f>+D77-H77</f>
        <v>13884.213332400001</v>
      </c>
      <c r="M77" s="16"/>
      <c r="N77" s="32">
        <f>IF(H77=0,0,L77/H77)</f>
        <v>-0.99425896596421914</v>
      </c>
      <c r="O77" s="25"/>
      <c r="P77" s="34">
        <f>SUM(P74:P76)</f>
        <v>-45728.480000000003</v>
      </c>
      <c r="Q77" s="13"/>
      <c r="R77" s="32">
        <f>IF(P$12=0,0,P77/P$12)</f>
        <v>0</v>
      </c>
      <c r="S77" s="13"/>
      <c r="T77" s="34">
        <f>SUM(T74:T76)</f>
        <v>-76850.476442400002</v>
      </c>
      <c r="U77" s="13"/>
      <c r="V77" s="32">
        <f>IF(T$12=0,0,T77/T$12)</f>
        <v>-0.95458129656303181</v>
      </c>
      <c r="W77" s="16"/>
      <c r="X77" s="34">
        <f>+P77-T77</f>
        <v>31121.996442399999</v>
      </c>
      <c r="Y77" s="16"/>
      <c r="Z77" s="32">
        <f>IF(T77=0,0,X77/T77)</f>
        <v>-0.4049681652361149</v>
      </c>
    </row>
    <row r="78" spans="1:26" ht="15" thickTop="1" x14ac:dyDescent="0.35">
      <c r="A78" s="9"/>
      <c r="C78" s="9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35">
      <c r="A79" s="9"/>
      <c r="B79" s="60">
        <v>44238.49046458333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35">
      <c r="A80" s="9"/>
      <c r="B80" s="59" t="s">
        <v>314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35">
      <c r="A81" s="9"/>
      <c r="B81" s="58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35"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","321", " - ", "Student Union C-Store")</f>
        <v>Department 321 - Student Union C-Store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10430</v>
      </c>
      <c r="I12" s="4"/>
      <c r="J12" s="12"/>
      <c r="K12" s="4"/>
      <c r="L12" s="4">
        <f t="shared" ref="L12:L15" si="0">+D12-H12</f>
        <v>-10430</v>
      </c>
      <c r="M12" s="4"/>
      <c r="N12" s="12">
        <f t="shared" ref="N12:N15" si="1">IF(H12=0,0,L12/H12)</f>
        <v>-1</v>
      </c>
      <c r="O12" s="10"/>
      <c r="P12" s="4">
        <f>SUM(OSRRefP13x_0)</f>
        <v>2476.4700000000003</v>
      </c>
      <c r="Q12" s="4"/>
      <c r="R12" s="12"/>
      <c r="S12" s="4"/>
      <c r="T12" s="4">
        <f>SUM(OSRRefT13x_0)</f>
        <v>45104</v>
      </c>
      <c r="U12" s="4"/>
      <c r="V12" s="12"/>
      <c r="W12" s="4"/>
      <c r="X12" s="4">
        <f t="shared" ref="X12:X15" si="2">+P12-T12</f>
        <v>-42627.53</v>
      </c>
      <c r="Y12" s="4"/>
      <c r="Z12" s="12">
        <f t="shared" ref="Z12:Z15" si="3">IF(T12=0,0,X12/T12)</f>
        <v>-0.9450942266761263</v>
      </c>
    </row>
    <row r="13" spans="1:26" s="24" customFormat="1" hidden="1" outlineLevel="1" x14ac:dyDescent="0.35">
      <c r="A13" s="51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5" si="4"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--444.59</f>
        <v>444.59</v>
      </c>
      <c r="Q13" s="2"/>
      <c r="R13" s="22"/>
      <c r="S13" s="2"/>
      <c r="T13" s="2"/>
      <c r="U13" s="2"/>
      <c r="V13" s="22"/>
      <c r="W13" s="2"/>
      <c r="X13" s="2">
        <f t="shared" si="2"/>
        <v>444.59</v>
      </c>
      <c r="Y13" s="2"/>
      <c r="Z13" s="22">
        <f t="shared" si="3"/>
        <v>0</v>
      </c>
    </row>
    <row r="14" spans="1:26" s="24" customFormat="1" hidden="1" outlineLevel="1" x14ac:dyDescent="0.3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10430</v>
      </c>
      <c r="I14" s="2"/>
      <c r="J14" s="22"/>
      <c r="K14" s="2"/>
      <c r="L14" s="2">
        <f t="shared" si="0"/>
        <v>-10430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45104</v>
      </c>
      <c r="U14" s="2"/>
      <c r="V14" s="22"/>
      <c r="W14" s="2"/>
      <c r="X14" s="2">
        <f t="shared" si="2"/>
        <v>-45104</v>
      </c>
      <c r="Y14" s="2"/>
      <c r="Z14" s="22">
        <f t="shared" si="3"/>
        <v>-1</v>
      </c>
    </row>
    <row r="15" spans="1:26" s="24" customFormat="1" hidden="1" outlineLevel="1" x14ac:dyDescent="0.35">
      <c r="A15" s="51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22"/>
      <c r="G15" s="2"/>
      <c r="H15" s="2"/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--2031.88</f>
        <v>2031.88</v>
      </c>
      <c r="Q15" s="2"/>
      <c r="R15" s="22"/>
      <c r="S15" s="2"/>
      <c r="T15" s="2"/>
      <c r="U15" s="2"/>
      <c r="V15" s="22"/>
      <c r="W15" s="2"/>
      <c r="X15" s="2">
        <f t="shared" si="2"/>
        <v>2031.88</v>
      </c>
      <c r="Y15" s="2"/>
      <c r="Z15" s="22">
        <f t="shared" si="3"/>
        <v>0</v>
      </c>
    </row>
    <row r="16" spans="1:26" x14ac:dyDescent="0.3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5">
      <c r="A17" s="10"/>
      <c r="B17" s="25" t="s">
        <v>8</v>
      </c>
      <c r="C17" s="10"/>
      <c r="D17" s="4">
        <f>SUM(OSRRefD16x_0)</f>
        <v>-257.75</v>
      </c>
      <c r="E17" s="4"/>
      <c r="F17" s="12">
        <f t="shared" ref="F17:F19" si="5">IF(D$12=0,0,D17/D$12)</f>
        <v>0</v>
      </c>
      <c r="G17" s="4"/>
      <c r="H17" s="4">
        <f>SUM(OSRRefH16x_0)</f>
        <v>5424</v>
      </c>
      <c r="I17" s="4"/>
      <c r="J17" s="12">
        <f t="shared" ref="J17:J19" si="6">IF(H$12=0,0,H17/H$12)</f>
        <v>0.52003835091083417</v>
      </c>
      <c r="K17" s="4"/>
      <c r="L17" s="4">
        <f t="shared" ref="L17:L19" si="7">+D17-H17</f>
        <v>-5681.75</v>
      </c>
      <c r="M17" s="4"/>
      <c r="N17" s="12">
        <f t="shared" ref="N17:N19" si="8">IF(H17=0,0,L17/H17)</f>
        <v>-1.0475202802359882</v>
      </c>
      <c r="O17" s="10"/>
      <c r="P17" s="4">
        <f>SUM(OSRRefP16x_0)</f>
        <v>0.73</v>
      </c>
      <c r="Q17" s="4"/>
      <c r="R17" s="12">
        <f t="shared" ref="R17:R19" si="9">IF(P$12=0,0,P17/P$12)</f>
        <v>2.9477441681102534E-4</v>
      </c>
      <c r="S17" s="4"/>
      <c r="T17" s="4">
        <f>SUM(OSRRefT16x_0)</f>
        <v>23869</v>
      </c>
      <c r="U17" s="4"/>
      <c r="V17" s="12">
        <f t="shared" ref="V17:V19" si="10">IF(T$12=0,0,T17/T$12)</f>
        <v>0.52919918410783962</v>
      </c>
      <c r="W17" s="4"/>
      <c r="X17" s="4">
        <f t="shared" ref="X17:X19" si="11">+P17-T17</f>
        <v>-23868.27</v>
      </c>
      <c r="Y17" s="4"/>
      <c r="Z17" s="12">
        <f t="shared" ref="Z17:Z19" si="12">IF(T17=0,0,X17/T17)</f>
        <v>-0.99996941639783821</v>
      </c>
    </row>
    <row r="18" spans="1:26" s="24" customFormat="1" hidden="1" outlineLevel="1" x14ac:dyDescent="0.35">
      <c r="A18" s="51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2">
        <f t="shared" si="5"/>
        <v>0</v>
      </c>
      <c r="G18" s="2"/>
      <c r="H18" s="2">
        <v>5424</v>
      </c>
      <c r="I18" s="2"/>
      <c r="J18" s="22">
        <f t="shared" si="6"/>
        <v>0.52003835091083417</v>
      </c>
      <c r="K18" s="2"/>
      <c r="L18" s="2">
        <f t="shared" si="7"/>
        <v>-5424</v>
      </c>
      <c r="M18" s="2"/>
      <c r="N18" s="22">
        <f t="shared" si="8"/>
        <v>-1</v>
      </c>
      <c r="O18" s="11"/>
      <c r="P18" s="2"/>
      <c r="Q18" s="2"/>
      <c r="R18" s="22">
        <f t="shared" si="9"/>
        <v>0</v>
      </c>
      <c r="S18" s="2"/>
      <c r="T18" s="2">
        <v>23869</v>
      </c>
      <c r="U18" s="2"/>
      <c r="V18" s="22">
        <f t="shared" si="10"/>
        <v>0.52919918410783962</v>
      </c>
      <c r="W18" s="2"/>
      <c r="X18" s="2">
        <f t="shared" si="11"/>
        <v>-23869</v>
      </c>
      <c r="Y18" s="2"/>
      <c r="Z18" s="22">
        <f t="shared" si="12"/>
        <v>-1</v>
      </c>
    </row>
    <row r="19" spans="1:26" s="24" customFormat="1" hidden="1" outlineLevel="1" x14ac:dyDescent="0.35">
      <c r="A19" s="51"/>
      <c r="B19" s="11" t="str">
        <f>CONCATENATE("          ", "5053", " - ", "PURCHASES @ COST-FOOD")</f>
        <v xml:space="preserve">          5053 - PURCHASES @ COST-FOOD</v>
      </c>
      <c r="C19" s="11"/>
      <c r="D19" s="2">
        <v>-257.75</v>
      </c>
      <c r="E19" s="2"/>
      <c r="F19" s="22">
        <f t="shared" si="5"/>
        <v>0</v>
      </c>
      <c r="G19" s="2"/>
      <c r="H19" s="2"/>
      <c r="I19" s="2"/>
      <c r="J19" s="22">
        <f t="shared" si="6"/>
        <v>0</v>
      </c>
      <c r="K19" s="2"/>
      <c r="L19" s="2">
        <f t="shared" si="7"/>
        <v>-257.75</v>
      </c>
      <c r="M19" s="2"/>
      <c r="N19" s="22">
        <f t="shared" si="8"/>
        <v>0</v>
      </c>
      <c r="O19" s="11"/>
      <c r="P19" s="2">
        <v>0.73</v>
      </c>
      <c r="Q19" s="2"/>
      <c r="R19" s="22">
        <f t="shared" si="9"/>
        <v>2.9477441681102534E-4</v>
      </c>
      <c r="S19" s="2"/>
      <c r="T19" s="2"/>
      <c r="U19" s="2"/>
      <c r="V19" s="22">
        <f t="shared" si="10"/>
        <v>0</v>
      </c>
      <c r="W19" s="2"/>
      <c r="X19" s="2">
        <f t="shared" si="11"/>
        <v>0.73</v>
      </c>
      <c r="Y19" s="2"/>
      <c r="Z19" s="22">
        <f t="shared" si="12"/>
        <v>0</v>
      </c>
    </row>
    <row r="20" spans="1:26" x14ac:dyDescent="0.3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5">
      <c r="A21" s="10"/>
      <c r="B21" s="26" t="s">
        <v>6</v>
      </c>
      <c r="C21" s="26"/>
      <c r="D21" s="19">
        <f>D12-D17</f>
        <v>257.75</v>
      </c>
      <c r="E21" s="13"/>
      <c r="F21" s="21">
        <f>IF(D$12=0,0,D21/D$12)</f>
        <v>0</v>
      </c>
      <c r="G21" s="13"/>
      <c r="H21" s="19">
        <f>H12-H17</f>
        <v>5006</v>
      </c>
      <c r="I21" s="13"/>
      <c r="J21" s="21">
        <f>IF(H$12=0,0,H21/H$12)</f>
        <v>0.47996164908916589</v>
      </c>
      <c r="K21" s="16"/>
      <c r="L21" s="19">
        <f>+D21-H21</f>
        <v>-4748.25</v>
      </c>
      <c r="M21" s="16"/>
      <c r="N21" s="21">
        <f>IF(H21=0,0,L21/H21)</f>
        <v>-0.9485117858569716</v>
      </c>
      <c r="O21" s="25"/>
      <c r="P21" s="19">
        <f>P12-P17</f>
        <v>2475.7400000000002</v>
      </c>
      <c r="Q21" s="13"/>
      <c r="R21" s="21">
        <f>IF(P$12=0,0,P21/P$12)</f>
        <v>0.99970522558318897</v>
      </c>
      <c r="S21" s="13"/>
      <c r="T21" s="19">
        <f>T12-T17</f>
        <v>21235</v>
      </c>
      <c r="U21" s="13"/>
      <c r="V21" s="21">
        <f>IF(T$12=0,0,T21/T$12)</f>
        <v>0.47080081589216033</v>
      </c>
      <c r="W21" s="16"/>
      <c r="X21" s="19">
        <f>+P21-T21</f>
        <v>-18759.259999999998</v>
      </c>
      <c r="Y21" s="16"/>
      <c r="Z21" s="21">
        <f>IF(T21=0,0,X21/T21)</f>
        <v>-0.88341229102896157</v>
      </c>
    </row>
    <row r="22" spans="1:26" x14ac:dyDescent="0.3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5">
      <c r="A23" s="10"/>
      <c r="B23" s="25" t="s">
        <v>9</v>
      </c>
      <c r="C23" s="10"/>
      <c r="D23" s="20">
        <f>SUM(OSRRefD22x_0)</f>
        <v>979.82999999999993</v>
      </c>
      <c r="E23" s="20"/>
      <c r="F23" s="30">
        <f t="shared" ref="F23:F33" si="13">IF(D$12=0,0,D23/D$12)</f>
        <v>0</v>
      </c>
      <c r="G23" s="20"/>
      <c r="H23" s="20">
        <f>SUM(OSRRefH22x_0)</f>
        <v>10846.008859400001</v>
      </c>
      <c r="I23" s="20"/>
      <c r="J23" s="30">
        <f t="shared" ref="J23:J33" si="14">IF(H$12=0,0,H23/H$12)</f>
        <v>1.0398857966826462</v>
      </c>
      <c r="K23" s="4"/>
      <c r="L23" s="20">
        <f t="shared" ref="L23:L33" si="15">+D23-H23</f>
        <v>-9866.1788594000009</v>
      </c>
      <c r="M23" s="4"/>
      <c r="N23" s="30">
        <f t="shared" ref="N23:N33" si="16">IF(H23=0,0,L23/H23)</f>
        <v>-0.90965985620131573</v>
      </c>
      <c r="O23" s="10"/>
      <c r="P23" s="20">
        <f>SUM(OSRRefP22x_0)</f>
        <v>36157.619999999988</v>
      </c>
      <c r="Q23" s="20"/>
      <c r="R23" s="30">
        <f t="shared" ref="R23:R33" si="17">IF(P$12=0,0,P23/P$12)</f>
        <v>14.600467601061181</v>
      </c>
      <c r="S23" s="20"/>
      <c r="T23" s="20">
        <f>SUM(OSRRefT22x_0)</f>
        <v>53008.840591300002</v>
      </c>
      <c r="U23" s="20"/>
      <c r="V23" s="30">
        <f t="shared" ref="V23:V33" si="18">IF(T$12=0,0,T23/T$12)</f>
        <v>1.1752580833473749</v>
      </c>
      <c r="W23" s="4"/>
      <c r="X23" s="20">
        <f t="shared" ref="X23:X33" si="19">+P23-T23</f>
        <v>-16851.220591300014</v>
      </c>
      <c r="Y23" s="4"/>
      <c r="Z23" s="30">
        <f t="shared" ref="Z23:Z33" si="20">IF(T23=0,0,X23/T23)</f>
        <v>-0.31789453237099657</v>
      </c>
    </row>
    <row r="24" spans="1:26" s="28" customFormat="1" outlineLevel="1" collapsed="1" x14ac:dyDescent="0.3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0</v>
      </c>
      <c r="E24" s="1"/>
      <c r="F24" s="5">
        <f t="shared" si="13"/>
        <v>0</v>
      </c>
      <c r="G24" s="1"/>
      <c r="H24" s="1">
        <f>SUM(OSRRefH22_0x_0)</f>
        <v>536.54885939999997</v>
      </c>
      <c r="I24" s="1"/>
      <c r="J24" s="5">
        <f t="shared" si="14"/>
        <v>5.1442843662511985E-2</v>
      </c>
      <c r="K24" s="1"/>
      <c r="L24" s="1">
        <f t="shared" si="15"/>
        <v>-536.54885939999997</v>
      </c>
      <c r="M24" s="1"/>
      <c r="N24" s="5">
        <f t="shared" si="16"/>
        <v>-1</v>
      </c>
      <c r="O24" s="14"/>
      <c r="P24" s="1">
        <f>SUM(OSRRefP22_0x_0)</f>
        <v>8751.99</v>
      </c>
      <c r="Q24" s="1"/>
      <c r="R24" s="5">
        <f t="shared" si="17"/>
        <v>3.5340585591588023</v>
      </c>
      <c r="S24" s="1"/>
      <c r="T24" s="1">
        <f>SUM(OSRRefT22_0x_0)</f>
        <v>2461.7505913000005</v>
      </c>
      <c r="U24" s="1"/>
      <c r="V24" s="5">
        <f t="shared" si="18"/>
        <v>5.4579429569439529E-2</v>
      </c>
      <c r="W24" s="1"/>
      <c r="X24" s="1">
        <f t="shared" si="19"/>
        <v>6290.2394086999993</v>
      </c>
      <c r="Y24" s="1"/>
      <c r="Z24" s="5">
        <f t="shared" si="20"/>
        <v>2.5551895593851577</v>
      </c>
    </row>
    <row r="25" spans="1:26" s="24" customFormat="1" hidden="1" outlineLevel="2" x14ac:dyDescent="0.35">
      <c r="A25" s="29"/>
      <c r="B25" s="11" t="str">
        <f>CONCATENATE("          ", "6111", " - ", "F.I.C.A.")</f>
        <v xml:space="preserve">          6111 - F.I.C.A.</v>
      </c>
      <c r="C25" s="11"/>
      <c r="D25" s="7"/>
      <c r="E25" s="2"/>
      <c r="F25" s="6">
        <f t="shared" si="13"/>
        <v>0</v>
      </c>
      <c r="G25" s="2"/>
      <c r="H25" s="7">
        <v>216.79265340000001</v>
      </c>
      <c r="I25" s="2"/>
      <c r="J25" s="6">
        <f t="shared" si="14"/>
        <v>2.0785489300095879E-2</v>
      </c>
      <c r="K25" s="2"/>
      <c r="L25" s="7">
        <f t="shared" si="15"/>
        <v>-216.79265340000001</v>
      </c>
      <c r="M25" s="2"/>
      <c r="N25" s="6">
        <f t="shared" si="16"/>
        <v>-1</v>
      </c>
      <c r="O25" s="11"/>
      <c r="P25" s="7">
        <v>1667.09</v>
      </c>
      <c r="Q25" s="2"/>
      <c r="R25" s="6">
        <f t="shared" si="17"/>
        <v>0.67317189386505782</v>
      </c>
      <c r="S25" s="2"/>
      <c r="T25" s="7">
        <v>1068.8110923000002</v>
      </c>
      <c r="U25" s="2"/>
      <c r="V25" s="6">
        <f t="shared" si="18"/>
        <v>2.3696592149255059E-2</v>
      </c>
      <c r="W25" s="2"/>
      <c r="X25" s="7">
        <f t="shared" si="19"/>
        <v>598.27890769999976</v>
      </c>
      <c r="Y25" s="2"/>
      <c r="Z25" s="6">
        <f t="shared" si="20"/>
        <v>0.55976113272977834</v>
      </c>
    </row>
    <row r="26" spans="1:26" s="24" customFormat="1" hidden="1" outlineLevel="2" x14ac:dyDescent="0.35">
      <c r="A26" s="29"/>
      <c r="B26" s="11" t="str">
        <f>CONCATENATE("          ", "6112", " - ", "COMPENSATION INSURANCE")</f>
        <v xml:space="preserve">          6112 - COMPENSATION INSURANCE</v>
      </c>
      <c r="C26" s="11"/>
      <c r="D26" s="7"/>
      <c r="E26" s="2"/>
      <c r="F26" s="6">
        <f t="shared" si="13"/>
        <v>0</v>
      </c>
      <c r="G26" s="2"/>
      <c r="H26" s="7">
        <v>115.76300999999999</v>
      </c>
      <c r="I26" s="2"/>
      <c r="J26" s="6">
        <f t="shared" si="14"/>
        <v>1.1099042186001917E-2</v>
      </c>
      <c r="K26" s="2"/>
      <c r="L26" s="7">
        <f t="shared" si="15"/>
        <v>-115.76300999999999</v>
      </c>
      <c r="M26" s="2"/>
      <c r="N26" s="6">
        <f t="shared" si="16"/>
        <v>-1</v>
      </c>
      <c r="O26" s="11"/>
      <c r="P26" s="7">
        <v>331.61</v>
      </c>
      <c r="Q26" s="2"/>
      <c r="R26" s="6">
        <f t="shared" si="17"/>
        <v>0.13390430734069056</v>
      </c>
      <c r="S26" s="2"/>
      <c r="T26" s="7">
        <v>504.29316499999999</v>
      </c>
      <c r="U26" s="2"/>
      <c r="V26" s="6">
        <f t="shared" si="18"/>
        <v>1.1180674995565803E-2</v>
      </c>
      <c r="W26" s="2"/>
      <c r="X26" s="7">
        <f t="shared" si="19"/>
        <v>-172.68316499999997</v>
      </c>
      <c r="Y26" s="2"/>
      <c r="Z26" s="6">
        <f t="shared" si="20"/>
        <v>-0.34242614610888089</v>
      </c>
    </row>
    <row r="27" spans="1:26" s="24" customFormat="1" hidden="1" outlineLevel="2" x14ac:dyDescent="0.35">
      <c r="A27" s="29"/>
      <c r="B27" s="11" t="str">
        <f>CONCATENATE("          ", "6113", " - ", "GROUP INSURANCE")</f>
        <v xml:space="preserve">          6113 - GROUP INSURANCE</v>
      </c>
      <c r="C27" s="11"/>
      <c r="D27" s="7"/>
      <c r="E27" s="2"/>
      <c r="F27" s="6">
        <f t="shared" si="13"/>
        <v>0</v>
      </c>
      <c r="G27" s="2"/>
      <c r="H27" s="7">
        <v>0</v>
      </c>
      <c r="I27" s="2"/>
      <c r="J27" s="6">
        <f t="shared" si="14"/>
        <v>0</v>
      </c>
      <c r="K27" s="2"/>
      <c r="L27" s="7">
        <f t="shared" si="15"/>
        <v>0</v>
      </c>
      <c r="M27" s="2"/>
      <c r="N27" s="6">
        <f t="shared" si="16"/>
        <v>0</v>
      </c>
      <c r="O27" s="11"/>
      <c r="P27" s="7">
        <v>3385.22</v>
      </c>
      <c r="Q27" s="2"/>
      <c r="R27" s="6">
        <f t="shared" si="17"/>
        <v>1.366953768872629</v>
      </c>
      <c r="S27" s="2"/>
      <c r="T27" s="7">
        <v>0</v>
      </c>
      <c r="U27" s="2"/>
      <c r="V27" s="6">
        <f t="shared" si="18"/>
        <v>0</v>
      </c>
      <c r="W27" s="2"/>
      <c r="X27" s="7">
        <f t="shared" si="19"/>
        <v>3385.22</v>
      </c>
      <c r="Y27" s="2"/>
      <c r="Z27" s="6">
        <f t="shared" si="20"/>
        <v>0</v>
      </c>
    </row>
    <row r="28" spans="1:26" s="24" customFormat="1" hidden="1" outlineLevel="2" x14ac:dyDescent="0.35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7"/>
      <c r="E28" s="2"/>
      <c r="F28" s="6">
        <f t="shared" si="13"/>
        <v>0</v>
      </c>
      <c r="G28" s="2"/>
      <c r="H28" s="7">
        <v>16.269396</v>
      </c>
      <c r="I28" s="2"/>
      <c r="J28" s="6">
        <f t="shared" si="14"/>
        <v>1.5598653883029721E-3</v>
      </c>
      <c r="K28" s="2"/>
      <c r="L28" s="7">
        <f t="shared" si="15"/>
        <v>-16.269396</v>
      </c>
      <c r="M28" s="2"/>
      <c r="N28" s="6">
        <f t="shared" si="16"/>
        <v>-1</v>
      </c>
      <c r="O28" s="11"/>
      <c r="P28" s="7">
        <v>62.01</v>
      </c>
      <c r="Q28" s="2"/>
      <c r="R28" s="6">
        <f t="shared" si="17"/>
        <v>2.5039673406098192E-2</v>
      </c>
      <c r="S28" s="2"/>
      <c r="T28" s="7">
        <v>70.873633999999996</v>
      </c>
      <c r="U28" s="2"/>
      <c r="V28" s="6">
        <f t="shared" si="18"/>
        <v>1.5713381074849236E-3</v>
      </c>
      <c r="W28" s="2"/>
      <c r="X28" s="7">
        <f t="shared" si="19"/>
        <v>-8.8636339999999976</v>
      </c>
      <c r="Y28" s="2"/>
      <c r="Z28" s="6">
        <f t="shared" si="20"/>
        <v>-0.12506250208645994</v>
      </c>
    </row>
    <row r="29" spans="1:26" s="24" customFormat="1" hidden="1" outlineLevel="2" x14ac:dyDescent="0.35">
      <c r="A29" s="29"/>
      <c r="B29" s="11" t="str">
        <f>CONCATENATE("          ", "6115", " - ", "P.E.R.S.")</f>
        <v xml:space="preserve">          6115 - P.E.R.S.</v>
      </c>
      <c r="C29" s="11"/>
      <c r="D29" s="7"/>
      <c r="E29" s="2"/>
      <c r="F29" s="6">
        <f t="shared" si="13"/>
        <v>0</v>
      </c>
      <c r="G29" s="2"/>
      <c r="H29" s="7">
        <v>0</v>
      </c>
      <c r="I29" s="2"/>
      <c r="J29" s="6">
        <f t="shared" si="14"/>
        <v>0</v>
      </c>
      <c r="K29" s="2"/>
      <c r="L29" s="7">
        <f t="shared" si="15"/>
        <v>0</v>
      </c>
      <c r="M29" s="2"/>
      <c r="N29" s="6">
        <f t="shared" si="16"/>
        <v>0</v>
      </c>
      <c r="O29" s="11"/>
      <c r="P29" s="7">
        <v>1254.1099999999999</v>
      </c>
      <c r="Q29" s="2"/>
      <c r="R29" s="6">
        <f t="shared" si="17"/>
        <v>0.50641033406421232</v>
      </c>
      <c r="S29" s="2"/>
      <c r="T29" s="7">
        <v>0</v>
      </c>
      <c r="U29" s="2"/>
      <c r="V29" s="6">
        <f t="shared" si="18"/>
        <v>0</v>
      </c>
      <c r="W29" s="2"/>
      <c r="X29" s="7">
        <f t="shared" si="19"/>
        <v>1254.1099999999999</v>
      </c>
      <c r="Y29" s="2"/>
      <c r="Z29" s="6">
        <f t="shared" si="20"/>
        <v>0</v>
      </c>
    </row>
    <row r="30" spans="1:26" s="24" customFormat="1" hidden="1" outlineLevel="2" x14ac:dyDescent="0.35">
      <c r="A30" s="29"/>
      <c r="B30" s="11" t="str">
        <f>CONCATENATE("          ", "6116", " - ", "EDUCATIONAL BENEFITS")</f>
        <v xml:space="preserve">          6116 - EDUCATIONAL BENEFITS</v>
      </c>
      <c r="C30" s="11"/>
      <c r="D30" s="7"/>
      <c r="E30" s="2"/>
      <c r="F30" s="6">
        <f t="shared" si="13"/>
        <v>0</v>
      </c>
      <c r="G30" s="2"/>
      <c r="H30" s="7">
        <v>0</v>
      </c>
      <c r="I30" s="2"/>
      <c r="J30" s="6">
        <f t="shared" si="14"/>
        <v>0</v>
      </c>
      <c r="K30" s="2"/>
      <c r="L30" s="7">
        <f t="shared" si="15"/>
        <v>0</v>
      </c>
      <c r="M30" s="2"/>
      <c r="N30" s="6">
        <f t="shared" si="16"/>
        <v>0</v>
      </c>
      <c r="O30" s="11"/>
      <c r="P30" s="7"/>
      <c r="Q30" s="2"/>
      <c r="R30" s="6">
        <f t="shared" si="17"/>
        <v>0</v>
      </c>
      <c r="S30" s="2"/>
      <c r="T30" s="7">
        <v>0</v>
      </c>
      <c r="U30" s="2"/>
      <c r="V30" s="6">
        <f t="shared" si="18"/>
        <v>0</v>
      </c>
      <c r="W30" s="2"/>
      <c r="X30" s="7">
        <f t="shared" si="19"/>
        <v>0</v>
      </c>
      <c r="Y30" s="2"/>
      <c r="Z30" s="6">
        <f t="shared" si="20"/>
        <v>0</v>
      </c>
    </row>
    <row r="31" spans="1:26" s="24" customFormat="1" hidden="1" outlineLevel="2" x14ac:dyDescent="0.35">
      <c r="A31" s="29"/>
      <c r="B31" s="11" t="str">
        <f>CONCATENATE("          ", "6118", " - ", "VACATION")</f>
        <v xml:space="preserve">          6118 - VACATION</v>
      </c>
      <c r="C31" s="11"/>
      <c r="D31" s="7"/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>
        <v>958.88</v>
      </c>
      <c r="Q31" s="2"/>
      <c r="R31" s="6">
        <f t="shared" si="17"/>
        <v>0.38719629149555612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958.88</v>
      </c>
      <c r="Y31" s="2"/>
      <c r="Z31" s="6">
        <f t="shared" si="20"/>
        <v>0</v>
      </c>
    </row>
    <row r="32" spans="1:26" s="24" customFormat="1" hidden="1" outlineLevel="2" x14ac:dyDescent="0.35">
      <c r="A32" s="29"/>
      <c r="B32" s="11" t="str">
        <f>CONCATENATE("          ", "6119", " - ", "SICK LEAVE")</f>
        <v xml:space="preserve">          6119 - SICK LEAVE</v>
      </c>
      <c r="C32" s="11"/>
      <c r="D32" s="7"/>
      <c r="E32" s="2"/>
      <c r="F32" s="6">
        <f t="shared" si="13"/>
        <v>0</v>
      </c>
      <c r="G32" s="2"/>
      <c r="H32" s="7">
        <v>187.72380000000001</v>
      </c>
      <c r="I32" s="2"/>
      <c r="J32" s="6">
        <f t="shared" si="14"/>
        <v>1.799844678811122E-2</v>
      </c>
      <c r="K32" s="2"/>
      <c r="L32" s="7">
        <f t="shared" si="15"/>
        <v>-187.72380000000001</v>
      </c>
      <c r="M32" s="2"/>
      <c r="N32" s="6">
        <f t="shared" si="16"/>
        <v>-1</v>
      </c>
      <c r="O32" s="11"/>
      <c r="P32" s="7">
        <v>767.52</v>
      </c>
      <c r="Q32" s="2"/>
      <c r="R32" s="6">
        <f t="shared" si="17"/>
        <v>0.30992501423397006</v>
      </c>
      <c r="S32" s="2"/>
      <c r="T32" s="7">
        <v>817.77269999999999</v>
      </c>
      <c r="U32" s="2"/>
      <c r="V32" s="6">
        <f t="shared" si="18"/>
        <v>1.8130824317133736E-2</v>
      </c>
      <c r="W32" s="2"/>
      <c r="X32" s="7">
        <f t="shared" si="19"/>
        <v>-50.252700000000004</v>
      </c>
      <c r="Y32" s="2"/>
      <c r="Z32" s="6">
        <f t="shared" si="20"/>
        <v>-6.1450694062054168E-2</v>
      </c>
    </row>
    <row r="33" spans="1:26" s="24" customFormat="1" hidden="1" outlineLevel="2" x14ac:dyDescent="0.35">
      <c r="A33" s="29"/>
      <c r="B33" s="11" t="str">
        <f>CONCATENATE("          ", "6156", " - ", "EMPLOYEE MEALS")</f>
        <v xml:space="preserve">          6156 - EMPLOYEE MEALS</v>
      </c>
      <c r="C33" s="11"/>
      <c r="D33" s="7"/>
      <c r="E33" s="2"/>
      <c r="F33" s="6">
        <f t="shared" si="13"/>
        <v>0</v>
      </c>
      <c r="G33" s="2"/>
      <c r="H33" s="7"/>
      <c r="I33" s="2"/>
      <c r="J33" s="6">
        <f t="shared" si="14"/>
        <v>0</v>
      </c>
      <c r="K33" s="2"/>
      <c r="L33" s="7">
        <f t="shared" si="15"/>
        <v>0</v>
      </c>
      <c r="M33" s="2"/>
      <c r="N33" s="6">
        <f t="shared" si="16"/>
        <v>0</v>
      </c>
      <c r="O33" s="11"/>
      <c r="P33" s="7">
        <v>325.55</v>
      </c>
      <c r="Q33" s="2"/>
      <c r="R33" s="6">
        <f t="shared" si="17"/>
        <v>0.13145727588058809</v>
      </c>
      <c r="S33" s="2"/>
      <c r="T33" s="7"/>
      <c r="U33" s="2"/>
      <c r="V33" s="6">
        <f t="shared" si="18"/>
        <v>0</v>
      </c>
      <c r="W33" s="2"/>
      <c r="X33" s="7">
        <f t="shared" si="19"/>
        <v>325.55</v>
      </c>
      <c r="Y33" s="2"/>
      <c r="Z33" s="6">
        <f t="shared" si="20"/>
        <v>0</v>
      </c>
    </row>
    <row r="34" spans="1:26" s="28" customFormat="1" outlineLevel="1" collapsed="1" x14ac:dyDescent="0.35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0</v>
      </c>
      <c r="E34" s="1"/>
      <c r="F34" s="5">
        <f t="shared" ref="F34:F44" si="21">IF(D$12=0,0,D34/D$12)</f>
        <v>0</v>
      </c>
      <c r="G34" s="1"/>
      <c r="H34" s="1">
        <f>SUM(OSRRefH22_1x_0)</f>
        <v>6257.46</v>
      </c>
      <c r="I34" s="1"/>
      <c r="J34" s="5">
        <f t="shared" ref="J34:J44" si="22">IF(H$12=0,0,H34/H$12)</f>
        <v>0.59994822627037392</v>
      </c>
      <c r="K34" s="1"/>
      <c r="L34" s="1">
        <f t="shared" ref="L34:L44" si="23">+D34-H34</f>
        <v>-6257.46</v>
      </c>
      <c r="M34" s="1"/>
      <c r="N34" s="5">
        <f t="shared" ref="N34:N44" si="24">IF(H34=0,0,L34/H34)</f>
        <v>-1</v>
      </c>
      <c r="O34" s="14"/>
      <c r="P34" s="1">
        <f>SUM(OSRRefP22_1x_0)</f>
        <v>15859.96</v>
      </c>
      <c r="Q34" s="1"/>
      <c r="R34" s="5">
        <f t="shared" ref="R34:R44" si="25">IF(P$12=0,0,P34/P$12)</f>
        <v>6.404260903624917</v>
      </c>
      <c r="S34" s="1"/>
      <c r="T34" s="1">
        <f>SUM(OSRRefT22_1x_0)</f>
        <v>27259.09</v>
      </c>
      <c r="U34" s="1"/>
      <c r="V34" s="5">
        <f t="shared" ref="V34:V44" si="26">IF(T$12=0,0,T34/T$12)</f>
        <v>0.60436081057112456</v>
      </c>
      <c r="W34" s="1"/>
      <c r="X34" s="1">
        <f t="shared" ref="X34:X44" si="27">+P34-T34</f>
        <v>-11399.130000000001</v>
      </c>
      <c r="Y34" s="1"/>
      <c r="Z34" s="5">
        <f t="shared" ref="Z34:Z44" si="28">IF(T34=0,0,X34/T34)</f>
        <v>-0.41817720254051038</v>
      </c>
    </row>
    <row r="35" spans="1:26" s="24" customFormat="1" hidden="1" outlineLevel="2" x14ac:dyDescent="0.35">
      <c r="A35" s="29"/>
      <c r="B35" s="11" t="str">
        <f>CONCATENATE("          ", "6001", " - ", "ADMINISTRATIVE SALARIES")</f>
        <v xml:space="preserve">          6001 - ADMINISTRATIVE SALARIES</v>
      </c>
      <c r="C35" s="11"/>
      <c r="D35" s="7"/>
      <c r="E35" s="2"/>
      <c r="F35" s="6">
        <f t="shared" si="21"/>
        <v>0</v>
      </c>
      <c r="G35" s="2"/>
      <c r="H35" s="7">
        <v>0</v>
      </c>
      <c r="I35" s="2"/>
      <c r="J35" s="6">
        <f t="shared" si="22"/>
        <v>0</v>
      </c>
      <c r="K35" s="2"/>
      <c r="L35" s="7">
        <f t="shared" si="23"/>
        <v>0</v>
      </c>
      <c r="M35" s="2"/>
      <c r="N35" s="6">
        <f t="shared" si="24"/>
        <v>0</v>
      </c>
      <c r="O35" s="11"/>
      <c r="P35" s="7"/>
      <c r="Q35" s="2"/>
      <c r="R35" s="6">
        <f t="shared" si="25"/>
        <v>0</v>
      </c>
      <c r="S35" s="2"/>
      <c r="T35" s="7">
        <v>0</v>
      </c>
      <c r="U35" s="2"/>
      <c r="V35" s="6">
        <f t="shared" si="26"/>
        <v>0</v>
      </c>
      <c r="W35" s="2"/>
      <c r="X35" s="7">
        <f t="shared" si="27"/>
        <v>0</v>
      </c>
      <c r="Y35" s="2"/>
      <c r="Z35" s="6">
        <f t="shared" si="28"/>
        <v>0</v>
      </c>
    </row>
    <row r="36" spans="1:26" s="24" customFormat="1" hidden="1" outlineLevel="2" x14ac:dyDescent="0.35">
      <c r="A36" s="29"/>
      <c r="B36" s="11" t="str">
        <f>CONCATENATE("          ", "6002", " - ", "STAFF SALARIES")</f>
        <v xml:space="preserve">          6002 - STAFF SALARIES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>
        <v>13728</v>
      </c>
      <c r="Q36" s="2"/>
      <c r="R36" s="6">
        <f t="shared" si="25"/>
        <v>5.5433742383311726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13728</v>
      </c>
      <c r="Y36" s="2"/>
      <c r="Z36" s="6">
        <f t="shared" si="28"/>
        <v>0</v>
      </c>
    </row>
    <row r="37" spans="1:26" s="24" customFormat="1" hidden="1" outlineLevel="2" x14ac:dyDescent="0.35">
      <c r="A37" s="29"/>
      <c r="B37" s="11" t="str">
        <f>CONCATENATE("          ", "6003", " - ", "STAFF HOURLY-9 MONTH")</f>
        <v xml:space="preserve">          6003 - STAFF HOURLY-9 MONTH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/>
      <c r="Q37" s="2"/>
      <c r="R37" s="6">
        <f t="shared" si="25"/>
        <v>0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0</v>
      </c>
      <c r="Y37" s="2"/>
      <c r="Z37" s="6">
        <f t="shared" si="28"/>
        <v>0</v>
      </c>
    </row>
    <row r="38" spans="1:26" s="24" customFormat="1" hidden="1" outlineLevel="2" x14ac:dyDescent="0.35">
      <c r="A38" s="29"/>
      <c r="B38" s="11" t="str">
        <f>CONCATENATE("          ", "6004", " - ", "STAFF HOURLY")</f>
        <v xml:space="preserve">          6004 - STAFF HOURLY</v>
      </c>
      <c r="C38" s="11"/>
      <c r="D38" s="7"/>
      <c r="E38" s="2"/>
      <c r="F38" s="6">
        <f t="shared" si="21"/>
        <v>0</v>
      </c>
      <c r="G38" s="2"/>
      <c r="H38" s="7">
        <v>2832.78</v>
      </c>
      <c r="I38" s="2"/>
      <c r="J38" s="6">
        <f t="shared" si="22"/>
        <v>0.27159923298178335</v>
      </c>
      <c r="K38" s="2"/>
      <c r="L38" s="7">
        <f t="shared" si="23"/>
        <v>-2832.78</v>
      </c>
      <c r="M38" s="2"/>
      <c r="N38" s="6">
        <f t="shared" si="24"/>
        <v>-1</v>
      </c>
      <c r="O38" s="11"/>
      <c r="P38" s="7"/>
      <c r="Q38" s="2"/>
      <c r="R38" s="6">
        <f t="shared" si="25"/>
        <v>0</v>
      </c>
      <c r="S38" s="2"/>
      <c r="T38" s="7">
        <v>13965.91</v>
      </c>
      <c r="U38" s="2"/>
      <c r="V38" s="6">
        <f t="shared" si="26"/>
        <v>0.3096379478538489</v>
      </c>
      <c r="W38" s="2"/>
      <c r="X38" s="7">
        <f t="shared" si="27"/>
        <v>-13965.91</v>
      </c>
      <c r="Y38" s="2"/>
      <c r="Z38" s="6">
        <f t="shared" si="28"/>
        <v>-1</v>
      </c>
    </row>
    <row r="39" spans="1:26" s="24" customFormat="1" hidden="1" outlineLevel="2" x14ac:dyDescent="0.35">
      <c r="A39" s="29"/>
      <c r="B39" s="11" t="str">
        <f>CONCATENATE("          ", "6005", " - ", "TEMPORARY WAGES-HOURLY")</f>
        <v xml:space="preserve">          6005 - TEMPORARY WAGES-HOURLY</v>
      </c>
      <c r="C39" s="11"/>
      <c r="D39" s="7"/>
      <c r="E39" s="2"/>
      <c r="F39" s="6">
        <f t="shared" si="21"/>
        <v>0</v>
      </c>
      <c r="G39" s="2"/>
      <c r="H39" s="7">
        <v>1723.68</v>
      </c>
      <c r="I39" s="2"/>
      <c r="J39" s="6">
        <f t="shared" si="22"/>
        <v>0.16526174496644297</v>
      </c>
      <c r="K39" s="2"/>
      <c r="L39" s="7">
        <f t="shared" si="23"/>
        <v>-1723.68</v>
      </c>
      <c r="M39" s="2"/>
      <c r="N39" s="6">
        <f t="shared" si="24"/>
        <v>-1</v>
      </c>
      <c r="O39" s="11"/>
      <c r="P39" s="7">
        <v>2131.96</v>
      </c>
      <c r="Q39" s="2"/>
      <c r="R39" s="6">
        <f t="shared" si="25"/>
        <v>0.86088666529374469</v>
      </c>
      <c r="S39" s="2"/>
      <c r="T39" s="7">
        <v>1723.68</v>
      </c>
      <c r="U39" s="2"/>
      <c r="V39" s="6">
        <f t="shared" si="26"/>
        <v>3.8215679318907417E-2</v>
      </c>
      <c r="W39" s="2"/>
      <c r="X39" s="7">
        <f t="shared" si="27"/>
        <v>408.28</v>
      </c>
      <c r="Y39" s="2"/>
      <c r="Z39" s="6">
        <f t="shared" si="28"/>
        <v>0.23686531142671491</v>
      </c>
    </row>
    <row r="40" spans="1:26" s="24" customFormat="1" hidden="1" outlineLevel="2" x14ac:dyDescent="0.35">
      <c r="A40" s="29"/>
      <c r="B40" s="11" t="str">
        <f>CONCATENATE("          ", "6006", " - ", "TEMPORARY PART TIME")</f>
        <v xml:space="preserve">          6006 - TEMPORARY PART TIME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35">
      <c r="A41" s="29"/>
      <c r="B41" s="11" t="str">
        <f>CONCATENATE("          ", "6007", " - ", "STUDENT HOURLY")</f>
        <v xml:space="preserve">          6007 - STUDENT HOURLY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>
        <v>0</v>
      </c>
      <c r="Q41" s="2"/>
      <c r="R41" s="6">
        <f t="shared" si="25"/>
        <v>0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0</v>
      </c>
      <c r="Y41" s="2"/>
      <c r="Z41" s="6">
        <f t="shared" si="28"/>
        <v>0</v>
      </c>
    </row>
    <row r="42" spans="1:26" s="24" customFormat="1" hidden="1" outlineLevel="2" x14ac:dyDescent="0.35">
      <c r="A42" s="29"/>
      <c r="B42" s="11" t="str">
        <f>CONCATENATE("          ", "6008", " - ", "STUDENT HOURLY-FICA EXEMPT")</f>
        <v xml:space="preserve">          6008 - STUDENT HOURLY-FICA EXEMPT</v>
      </c>
      <c r="C42" s="11"/>
      <c r="D42" s="7"/>
      <c r="E42" s="2"/>
      <c r="F42" s="6">
        <f t="shared" si="21"/>
        <v>0</v>
      </c>
      <c r="G42" s="2"/>
      <c r="H42" s="7">
        <v>1701</v>
      </c>
      <c r="I42" s="2"/>
      <c r="J42" s="6">
        <f t="shared" si="22"/>
        <v>0.16308724832214766</v>
      </c>
      <c r="K42" s="2"/>
      <c r="L42" s="7">
        <f t="shared" si="23"/>
        <v>-1701</v>
      </c>
      <c r="M42" s="2"/>
      <c r="N42" s="6">
        <f t="shared" si="24"/>
        <v>-1</v>
      </c>
      <c r="O42" s="11"/>
      <c r="P42" s="7"/>
      <c r="Q42" s="2"/>
      <c r="R42" s="6">
        <f t="shared" si="25"/>
        <v>0</v>
      </c>
      <c r="S42" s="2"/>
      <c r="T42" s="7">
        <v>11569.5</v>
      </c>
      <c r="U42" s="2"/>
      <c r="V42" s="6">
        <f t="shared" si="26"/>
        <v>0.2565071833983682</v>
      </c>
      <c r="W42" s="2"/>
      <c r="X42" s="7">
        <f t="shared" si="27"/>
        <v>-11569.5</v>
      </c>
      <c r="Y42" s="2"/>
      <c r="Z42" s="6">
        <f t="shared" si="28"/>
        <v>-1</v>
      </c>
    </row>
    <row r="43" spans="1:26" s="24" customFormat="1" hidden="1" outlineLevel="2" x14ac:dyDescent="0.35">
      <c r="A43" s="29"/>
      <c r="B43" s="11" t="str">
        <f>CONCATENATE("          ", "6009", " - ", "TEMPORARY-SEASONAL")</f>
        <v xml:space="preserve">          6009 - TEMPORARY-SEASONAL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35">
      <c r="A44" s="29"/>
      <c r="B44" s="11" t="str">
        <f>CONCATENATE("          ", "6010", " - ", "GRATUITY")</f>
        <v xml:space="preserve">          6010 - GRATUITY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8" customFormat="1" outlineLevel="1" collapsed="1" x14ac:dyDescent="0.35">
      <c r="A45" s="27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0</v>
      </c>
      <c r="E45" s="1"/>
      <c r="F45" s="5">
        <f t="shared" ref="F45:F57" si="29">IF(D$12=0,0,D45/D$12)</f>
        <v>0</v>
      </c>
      <c r="G45" s="1"/>
      <c r="H45" s="1">
        <f>SUM(OSRRefH22_2x_0)</f>
        <v>100</v>
      </c>
      <c r="I45" s="1"/>
      <c r="J45" s="5">
        <f t="shared" ref="J45:J57" si="30">IF(H$12=0,0,H45/H$12)</f>
        <v>9.5877277085330784E-3</v>
      </c>
      <c r="K45" s="1"/>
      <c r="L45" s="1">
        <f t="shared" ref="L45:L57" si="31">+D45-H45</f>
        <v>-100</v>
      </c>
      <c r="M45" s="1"/>
      <c r="N45" s="5">
        <f t="shared" ref="N45:N57" si="32">IF(H45=0,0,L45/H45)</f>
        <v>-1</v>
      </c>
      <c r="O45" s="14"/>
      <c r="P45" s="1">
        <f>SUM(OSRRefP22_2x_0)</f>
        <v>0</v>
      </c>
      <c r="Q45" s="1"/>
      <c r="R45" s="5">
        <f t="shared" ref="R45:R57" si="33">IF(P$12=0,0,P45/P$12)</f>
        <v>0</v>
      </c>
      <c r="S45" s="1"/>
      <c r="T45" s="1">
        <f>SUM(OSRRefT22_2x_0)</f>
        <v>600</v>
      </c>
      <c r="U45" s="1"/>
      <c r="V45" s="5">
        <f t="shared" ref="V45:V57" si="34">IF(T$12=0,0,T45/T$12)</f>
        <v>1.3302589570769777E-2</v>
      </c>
      <c r="W45" s="1"/>
      <c r="X45" s="1">
        <f t="shared" ref="X45:X57" si="35">+P45-T45</f>
        <v>-600</v>
      </c>
      <c r="Y45" s="1"/>
      <c r="Z45" s="5">
        <f t="shared" ref="Z45:Z57" si="36">IF(T45=0,0,X45/T45)</f>
        <v>-1</v>
      </c>
    </row>
    <row r="46" spans="1:26" s="24" customFormat="1" hidden="1" outlineLevel="2" x14ac:dyDescent="0.35">
      <c r="A46" s="29"/>
      <c r="B46" s="11" t="str">
        <f>CONCATENATE("          ", "6362", " - ", "ADVERTISING EXPENSE")</f>
        <v xml:space="preserve">          6362 - ADVERTISING EXPENSE</v>
      </c>
      <c r="C46" s="11"/>
      <c r="D46" s="7"/>
      <c r="E46" s="2"/>
      <c r="F46" s="6">
        <f t="shared" si="29"/>
        <v>0</v>
      </c>
      <c r="G46" s="2"/>
      <c r="H46" s="7">
        <v>100</v>
      </c>
      <c r="I46" s="2"/>
      <c r="J46" s="6">
        <f t="shared" si="30"/>
        <v>9.5877277085330784E-3</v>
      </c>
      <c r="K46" s="2"/>
      <c r="L46" s="7">
        <f t="shared" si="31"/>
        <v>-100</v>
      </c>
      <c r="M46" s="2"/>
      <c r="N46" s="6">
        <f t="shared" si="32"/>
        <v>-1</v>
      </c>
      <c r="O46" s="11"/>
      <c r="P46" s="7"/>
      <c r="Q46" s="2"/>
      <c r="R46" s="6">
        <f t="shared" si="33"/>
        <v>0</v>
      </c>
      <c r="S46" s="2"/>
      <c r="T46" s="7">
        <v>600</v>
      </c>
      <c r="U46" s="2"/>
      <c r="V46" s="6">
        <f t="shared" si="34"/>
        <v>1.3302589570769777E-2</v>
      </c>
      <c r="W46" s="2"/>
      <c r="X46" s="7">
        <f t="shared" si="35"/>
        <v>-600</v>
      </c>
      <c r="Y46" s="2"/>
      <c r="Z46" s="6">
        <f t="shared" si="36"/>
        <v>-1</v>
      </c>
    </row>
    <row r="47" spans="1:26" s="28" customFormat="1" outlineLevel="1" collapsed="1" x14ac:dyDescent="0.35">
      <c r="A47" s="27"/>
      <c r="B47" s="14" t="str">
        <f>CONCATENATE("     ","Bad Debts/Over/Short                              ")</f>
        <v xml:space="preserve">     Bad Debts/Over/Short                              </v>
      </c>
      <c r="C47" s="14"/>
      <c r="D47" s="1">
        <f>SUM(OSRRefD22_3x_0)</f>
        <v>0</v>
      </c>
      <c r="E47" s="1"/>
      <c r="F47" s="5">
        <f t="shared" si="29"/>
        <v>0</v>
      </c>
      <c r="G47" s="1"/>
      <c r="H47" s="1">
        <f>SUM(OSRRefH22_3x_0)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4"/>
      <c r="P47" s="1">
        <f>SUM(OSRRefP22_3x_0)</f>
        <v>3.31</v>
      </c>
      <c r="Q47" s="1"/>
      <c r="R47" s="5">
        <f t="shared" si="33"/>
        <v>1.3365798899239642E-3</v>
      </c>
      <c r="S47" s="1"/>
      <c r="T47" s="1">
        <f>SUM(OSRRefT22_3x_0)</f>
        <v>0</v>
      </c>
      <c r="U47" s="1"/>
      <c r="V47" s="5">
        <f t="shared" si="34"/>
        <v>0</v>
      </c>
      <c r="W47" s="1"/>
      <c r="X47" s="1">
        <f t="shared" si="35"/>
        <v>3.31</v>
      </c>
      <c r="Y47" s="1"/>
      <c r="Z47" s="5">
        <f t="shared" si="36"/>
        <v>0</v>
      </c>
    </row>
    <row r="48" spans="1:26" s="24" customFormat="1" hidden="1" outlineLevel="2" x14ac:dyDescent="0.35">
      <c r="A48" s="29"/>
      <c r="B48" s="11" t="str">
        <f>CONCATENATE("          ", "6272", " - ", "CASH (OVER/SHORT)")</f>
        <v xml:space="preserve">          6272 - CASH (OVER/SHORT)</v>
      </c>
      <c r="C48" s="11"/>
      <c r="D48" s="7"/>
      <c r="E48" s="2"/>
      <c r="F48" s="6">
        <f t="shared" si="29"/>
        <v>0</v>
      </c>
      <c r="G48" s="2"/>
      <c r="H48" s="7"/>
      <c r="I48" s="2"/>
      <c r="J48" s="6">
        <f t="shared" si="30"/>
        <v>0</v>
      </c>
      <c r="K48" s="2"/>
      <c r="L48" s="7">
        <f t="shared" si="31"/>
        <v>0</v>
      </c>
      <c r="M48" s="2"/>
      <c r="N48" s="6">
        <f t="shared" si="32"/>
        <v>0</v>
      </c>
      <c r="O48" s="11"/>
      <c r="P48" s="7">
        <v>3.31</v>
      </c>
      <c r="Q48" s="2"/>
      <c r="R48" s="6">
        <f t="shared" si="33"/>
        <v>1.3365798899239642E-3</v>
      </c>
      <c r="S48" s="2"/>
      <c r="T48" s="7"/>
      <c r="U48" s="2"/>
      <c r="V48" s="6">
        <f t="shared" si="34"/>
        <v>0</v>
      </c>
      <c r="W48" s="2"/>
      <c r="X48" s="7">
        <f t="shared" si="35"/>
        <v>3.31</v>
      </c>
      <c r="Y48" s="2"/>
      <c r="Z48" s="6">
        <f t="shared" si="36"/>
        <v>0</v>
      </c>
    </row>
    <row r="49" spans="1:26" s="28" customFormat="1" outlineLevel="1" collapsed="1" x14ac:dyDescent="0.35">
      <c r="A49" s="27"/>
      <c r="B49" s="14" t="str">
        <f>CONCATENATE("     ","Bank/card Fees                                    ")</f>
        <v xml:space="preserve">     Bank/card Fees                                    </v>
      </c>
      <c r="C49" s="14"/>
      <c r="D49" s="1">
        <f>SUM(OSRRefD22_4x_0)</f>
        <v>224.95</v>
      </c>
      <c r="E49" s="1"/>
      <c r="F49" s="5">
        <f t="shared" si="29"/>
        <v>0</v>
      </c>
      <c r="G49" s="1"/>
      <c r="H49" s="1">
        <f>SUM(OSRRefH22_4x_0)</f>
        <v>660</v>
      </c>
      <c r="I49" s="1"/>
      <c r="J49" s="5">
        <f t="shared" si="30"/>
        <v>6.327900287631831E-2</v>
      </c>
      <c r="K49" s="1"/>
      <c r="L49" s="1">
        <f t="shared" si="31"/>
        <v>-435.05</v>
      </c>
      <c r="M49" s="1"/>
      <c r="N49" s="5">
        <f t="shared" si="32"/>
        <v>-0.65916666666666668</v>
      </c>
      <c r="O49" s="14"/>
      <c r="P49" s="1">
        <f>SUM(OSRRefP22_4x_0)</f>
        <v>898.28</v>
      </c>
      <c r="Q49" s="1"/>
      <c r="R49" s="5">
        <f t="shared" si="33"/>
        <v>0.36272597689453129</v>
      </c>
      <c r="S49" s="1"/>
      <c r="T49" s="1">
        <f>SUM(OSRRefT22_4x_0)</f>
        <v>2858</v>
      </c>
      <c r="U49" s="1"/>
      <c r="V49" s="5">
        <f t="shared" si="34"/>
        <v>6.336466832210004E-2</v>
      </c>
      <c r="W49" s="1"/>
      <c r="X49" s="1">
        <f t="shared" si="35"/>
        <v>-1959.72</v>
      </c>
      <c r="Y49" s="1"/>
      <c r="Z49" s="5">
        <f t="shared" si="36"/>
        <v>-0.68569629111266617</v>
      </c>
    </row>
    <row r="50" spans="1:26" s="24" customFormat="1" hidden="1" outlineLevel="2" x14ac:dyDescent="0.35">
      <c r="A50" s="29"/>
      <c r="B50" s="11" t="str">
        <f>CONCATENATE("          ", "6381", " - ", "BANK/CREDIT CARD FEES")</f>
        <v xml:space="preserve">          6381 - BANK/CREDIT CARD FEES</v>
      </c>
      <c r="C50" s="11"/>
      <c r="D50" s="7">
        <v>224.95</v>
      </c>
      <c r="E50" s="2"/>
      <c r="F50" s="6">
        <f t="shared" si="29"/>
        <v>0</v>
      </c>
      <c r="G50" s="2"/>
      <c r="H50" s="7">
        <v>660</v>
      </c>
      <c r="I50" s="2"/>
      <c r="J50" s="6">
        <f t="shared" si="30"/>
        <v>6.327900287631831E-2</v>
      </c>
      <c r="K50" s="2"/>
      <c r="L50" s="7">
        <f t="shared" si="31"/>
        <v>-435.05</v>
      </c>
      <c r="M50" s="2"/>
      <c r="N50" s="6">
        <f t="shared" si="32"/>
        <v>-0.65916666666666668</v>
      </c>
      <c r="O50" s="11"/>
      <c r="P50" s="7">
        <v>898.28</v>
      </c>
      <c r="Q50" s="2"/>
      <c r="R50" s="6">
        <f t="shared" si="33"/>
        <v>0.36272597689453129</v>
      </c>
      <c r="S50" s="2"/>
      <c r="T50" s="7">
        <v>2858</v>
      </c>
      <c r="U50" s="2"/>
      <c r="V50" s="6">
        <f t="shared" si="34"/>
        <v>6.336466832210004E-2</v>
      </c>
      <c r="W50" s="2"/>
      <c r="X50" s="7">
        <f t="shared" si="35"/>
        <v>-1959.72</v>
      </c>
      <c r="Y50" s="2"/>
      <c r="Z50" s="6">
        <f t="shared" si="36"/>
        <v>-0.68569629111266617</v>
      </c>
    </row>
    <row r="51" spans="1:26" s="28" customFormat="1" outlineLevel="1" collapsed="1" x14ac:dyDescent="0.35">
      <c r="A51" s="27"/>
      <c r="B51" s="14" t="str">
        <f>CONCATENATE("     ","Depreciation                                      ")</f>
        <v xml:space="preserve">     Depreciation                                      </v>
      </c>
      <c r="C51" s="14"/>
      <c r="D51" s="1">
        <f>SUM(OSRRefD22_5x_0)</f>
        <v>1075.3699999999999</v>
      </c>
      <c r="E51" s="1"/>
      <c r="F51" s="5">
        <f t="shared" si="29"/>
        <v>0</v>
      </c>
      <c r="G51" s="1"/>
      <c r="H51" s="1">
        <f>SUM(OSRRefH22_5x_0)</f>
        <v>1075</v>
      </c>
      <c r="I51" s="1"/>
      <c r="J51" s="5">
        <f t="shared" si="30"/>
        <v>0.10306807286673059</v>
      </c>
      <c r="K51" s="1"/>
      <c r="L51" s="1">
        <f t="shared" si="31"/>
        <v>0.36999999999989086</v>
      </c>
      <c r="M51" s="1"/>
      <c r="N51" s="5">
        <f t="shared" si="32"/>
        <v>3.4418604651152636E-4</v>
      </c>
      <c r="O51" s="14"/>
      <c r="P51" s="1">
        <f>SUM(OSRRefP22_5x_0)</f>
        <v>7527.59</v>
      </c>
      <c r="Q51" s="1"/>
      <c r="R51" s="5">
        <f t="shared" si="33"/>
        <v>3.0396451400582278</v>
      </c>
      <c r="S51" s="1"/>
      <c r="T51" s="1">
        <f>SUM(OSRRefT22_5x_0)</f>
        <v>7525</v>
      </c>
      <c r="U51" s="1"/>
      <c r="V51" s="5">
        <f t="shared" si="34"/>
        <v>0.16683664420007094</v>
      </c>
      <c r="W51" s="1"/>
      <c r="X51" s="1">
        <f t="shared" si="35"/>
        <v>2.5900000000001455</v>
      </c>
      <c r="Y51" s="1"/>
      <c r="Z51" s="5">
        <f t="shared" si="36"/>
        <v>3.4418604651164725E-4</v>
      </c>
    </row>
    <row r="52" spans="1:26" s="24" customFormat="1" hidden="1" outlineLevel="2" x14ac:dyDescent="0.35">
      <c r="A52" s="29"/>
      <c r="B52" s="11" t="str">
        <f>CONCATENATE("          ", "6322", " - ", "EQUIPMENT DEPRECIATION EXPENSE")</f>
        <v xml:space="preserve">          6322 - EQUIPMENT DEPRECIATION EXPENSE</v>
      </c>
      <c r="C52" s="11"/>
      <c r="D52" s="7">
        <v>1075.3699999999999</v>
      </c>
      <c r="E52" s="2"/>
      <c r="F52" s="6">
        <f t="shared" si="29"/>
        <v>0</v>
      </c>
      <c r="G52" s="2"/>
      <c r="H52" s="7">
        <v>1075</v>
      </c>
      <c r="I52" s="2"/>
      <c r="J52" s="6">
        <f t="shared" si="30"/>
        <v>0.10306807286673059</v>
      </c>
      <c r="K52" s="2"/>
      <c r="L52" s="7">
        <f t="shared" si="31"/>
        <v>0.36999999999989086</v>
      </c>
      <c r="M52" s="2"/>
      <c r="N52" s="6">
        <f t="shared" si="32"/>
        <v>3.4418604651152636E-4</v>
      </c>
      <c r="O52" s="11"/>
      <c r="P52" s="7">
        <v>7527.59</v>
      </c>
      <c r="Q52" s="2"/>
      <c r="R52" s="6">
        <f t="shared" si="33"/>
        <v>3.0396451400582278</v>
      </c>
      <c r="S52" s="2"/>
      <c r="T52" s="7">
        <v>7525</v>
      </c>
      <c r="U52" s="2"/>
      <c r="V52" s="6">
        <f t="shared" si="34"/>
        <v>0.16683664420007094</v>
      </c>
      <c r="W52" s="2"/>
      <c r="X52" s="7">
        <f t="shared" si="35"/>
        <v>2.5900000000001455</v>
      </c>
      <c r="Y52" s="2"/>
      <c r="Z52" s="6">
        <f t="shared" si="36"/>
        <v>3.4418604651164725E-4</v>
      </c>
    </row>
    <row r="53" spans="1:26" s="28" customFormat="1" outlineLevel="1" collapsed="1" x14ac:dyDescent="0.35">
      <c r="A53" s="27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SUM(OSRRefD22_6x_0)</f>
        <v>-421.99</v>
      </c>
      <c r="E53" s="1"/>
      <c r="F53" s="5">
        <f t="shared" si="29"/>
        <v>0</v>
      </c>
      <c r="G53" s="1"/>
      <c r="H53" s="1">
        <f>SUM(OSRRefH22_6x_0)</f>
        <v>0</v>
      </c>
      <c r="I53" s="1"/>
      <c r="J53" s="5">
        <f t="shared" si="30"/>
        <v>0</v>
      </c>
      <c r="K53" s="1"/>
      <c r="L53" s="1">
        <f t="shared" si="31"/>
        <v>-421.99</v>
      </c>
      <c r="M53" s="1"/>
      <c r="N53" s="5">
        <f t="shared" si="32"/>
        <v>0</v>
      </c>
      <c r="O53" s="14"/>
      <c r="P53" s="1">
        <f>SUM(OSRRefP22_6x_0)</f>
        <v>1138.94</v>
      </c>
      <c r="Q53" s="1"/>
      <c r="R53" s="5">
        <f t="shared" si="33"/>
        <v>0.4599046223051359</v>
      </c>
      <c r="S53" s="1"/>
      <c r="T53" s="1">
        <f>SUM(OSRRefT22_6x_0)</f>
        <v>1000</v>
      </c>
      <c r="U53" s="1"/>
      <c r="V53" s="5">
        <f t="shared" si="34"/>
        <v>2.2170982617949628E-2</v>
      </c>
      <c r="W53" s="1"/>
      <c r="X53" s="1">
        <f t="shared" si="35"/>
        <v>138.94000000000005</v>
      </c>
      <c r="Y53" s="1"/>
      <c r="Z53" s="5">
        <f t="shared" si="36"/>
        <v>0.13894000000000006</v>
      </c>
    </row>
    <row r="54" spans="1:26" s="24" customFormat="1" hidden="1" outlineLevel="2" x14ac:dyDescent="0.35">
      <c r="A54" s="29"/>
      <c r="B54" s="11" t="str">
        <f>CONCATENATE("          ", "6279", " - ", "GENERAL EXPENSE")</f>
        <v xml:space="preserve">          6279 - GENERAL EXPENSE</v>
      </c>
      <c r="C54" s="11"/>
      <c r="D54" s="7">
        <v>-421.99</v>
      </c>
      <c r="E54" s="2"/>
      <c r="F54" s="6">
        <f t="shared" si="29"/>
        <v>0</v>
      </c>
      <c r="G54" s="2"/>
      <c r="H54" s="7"/>
      <c r="I54" s="2"/>
      <c r="J54" s="6">
        <f t="shared" si="30"/>
        <v>0</v>
      </c>
      <c r="K54" s="2"/>
      <c r="L54" s="7">
        <f t="shared" si="31"/>
        <v>-421.99</v>
      </c>
      <c r="M54" s="2"/>
      <c r="N54" s="6">
        <f t="shared" si="32"/>
        <v>0</v>
      </c>
      <c r="O54" s="11"/>
      <c r="P54" s="7">
        <v>1138.94</v>
      </c>
      <c r="Q54" s="2"/>
      <c r="R54" s="6">
        <f t="shared" si="33"/>
        <v>0.4599046223051359</v>
      </c>
      <c r="S54" s="2"/>
      <c r="T54" s="7">
        <v>1000</v>
      </c>
      <c r="U54" s="2"/>
      <c r="V54" s="6">
        <f t="shared" si="34"/>
        <v>2.2170982617949628E-2</v>
      </c>
      <c r="W54" s="2"/>
      <c r="X54" s="7">
        <f t="shared" si="35"/>
        <v>138.94000000000005</v>
      </c>
      <c r="Y54" s="2"/>
      <c r="Z54" s="6">
        <f t="shared" si="36"/>
        <v>0.13894000000000006</v>
      </c>
    </row>
    <row r="55" spans="1:26" s="28" customFormat="1" outlineLevel="1" collapsed="1" x14ac:dyDescent="0.35">
      <c r="A55" s="27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SUM(OSRRefD22_7x_0)</f>
        <v>0</v>
      </c>
      <c r="E55" s="1"/>
      <c r="F55" s="5">
        <f t="shared" si="29"/>
        <v>0</v>
      </c>
      <c r="G55" s="1"/>
      <c r="H55" s="1">
        <f>SUM(OSRRefH22_7x_0)</f>
        <v>250</v>
      </c>
      <c r="I55" s="1"/>
      <c r="J55" s="5">
        <f t="shared" si="30"/>
        <v>2.3969319271332695E-2</v>
      </c>
      <c r="K55" s="1"/>
      <c r="L55" s="1">
        <f t="shared" si="31"/>
        <v>-250</v>
      </c>
      <c r="M55" s="1"/>
      <c r="N55" s="5">
        <f t="shared" si="32"/>
        <v>-1</v>
      </c>
      <c r="O55" s="14"/>
      <c r="P55" s="1">
        <f>SUM(OSRRefP22_7x_0)</f>
        <v>492.62</v>
      </c>
      <c r="Q55" s="1"/>
      <c r="R55" s="5">
        <f t="shared" si="33"/>
        <v>0.19892023727321548</v>
      </c>
      <c r="S55" s="1"/>
      <c r="T55" s="1">
        <f>SUM(OSRRefT22_7x_0)</f>
        <v>1500</v>
      </c>
      <c r="U55" s="1"/>
      <c r="V55" s="5">
        <f t="shared" si="34"/>
        <v>3.3256473926924442E-2</v>
      </c>
      <c r="W55" s="1"/>
      <c r="X55" s="1">
        <f t="shared" si="35"/>
        <v>-1007.38</v>
      </c>
      <c r="Y55" s="1"/>
      <c r="Z55" s="5">
        <f t="shared" si="36"/>
        <v>-0.67158666666666667</v>
      </c>
    </row>
    <row r="56" spans="1:26" s="24" customFormat="1" hidden="1" outlineLevel="2" x14ac:dyDescent="0.35">
      <c r="A56" s="29"/>
      <c r="B56" s="11" t="str">
        <f>CONCATENATE("          ", "6373", " - ", "MAINTENANCE CONTRACTS")</f>
        <v xml:space="preserve">          6373 - MAINTENANCE CONTRACTS</v>
      </c>
      <c r="C56" s="11"/>
      <c r="D56" s="7"/>
      <c r="E56" s="2"/>
      <c r="F56" s="6">
        <f t="shared" si="29"/>
        <v>0</v>
      </c>
      <c r="G56" s="2"/>
      <c r="H56" s="7"/>
      <c r="I56" s="2"/>
      <c r="J56" s="6">
        <f t="shared" si="30"/>
        <v>0</v>
      </c>
      <c r="K56" s="2"/>
      <c r="L56" s="7">
        <f t="shared" si="31"/>
        <v>0</v>
      </c>
      <c r="M56" s="2"/>
      <c r="N56" s="6">
        <f t="shared" si="32"/>
        <v>0</v>
      </c>
      <c r="O56" s="11"/>
      <c r="P56" s="7">
        <v>175.06</v>
      </c>
      <c r="Q56" s="2"/>
      <c r="R56" s="6">
        <f t="shared" si="33"/>
        <v>7.0689327954709724E-2</v>
      </c>
      <c r="S56" s="2"/>
      <c r="T56" s="7"/>
      <c r="U56" s="2"/>
      <c r="V56" s="6">
        <f t="shared" si="34"/>
        <v>0</v>
      </c>
      <c r="W56" s="2"/>
      <c r="X56" s="7">
        <f t="shared" si="35"/>
        <v>175.06</v>
      </c>
      <c r="Y56" s="2"/>
      <c r="Z56" s="6">
        <f t="shared" si="36"/>
        <v>0</v>
      </c>
    </row>
    <row r="57" spans="1:26" s="24" customFormat="1" hidden="1" outlineLevel="2" x14ac:dyDescent="0.35">
      <c r="A57" s="29"/>
      <c r="B57" s="11" t="str">
        <f>CONCATENATE("          ", "6375", " - ", "OUTSIDE REPAIRS &amp; MAINTENANCE")</f>
        <v xml:space="preserve">          6375 - OUTSIDE REPAIRS &amp; MAINTENANCE</v>
      </c>
      <c r="C57" s="11"/>
      <c r="D57" s="7"/>
      <c r="E57" s="2"/>
      <c r="F57" s="6">
        <f t="shared" si="29"/>
        <v>0</v>
      </c>
      <c r="G57" s="2"/>
      <c r="H57" s="7">
        <v>250</v>
      </c>
      <c r="I57" s="2"/>
      <c r="J57" s="6">
        <f t="shared" si="30"/>
        <v>2.3969319271332695E-2</v>
      </c>
      <c r="K57" s="2"/>
      <c r="L57" s="7">
        <f t="shared" si="31"/>
        <v>-250</v>
      </c>
      <c r="M57" s="2"/>
      <c r="N57" s="6">
        <f t="shared" si="32"/>
        <v>-1</v>
      </c>
      <c r="O57" s="11"/>
      <c r="P57" s="7">
        <v>317.56</v>
      </c>
      <c r="Q57" s="2"/>
      <c r="R57" s="6">
        <f t="shared" si="33"/>
        <v>0.12823090931850575</v>
      </c>
      <c r="S57" s="2"/>
      <c r="T57" s="7">
        <v>1500</v>
      </c>
      <c r="U57" s="2"/>
      <c r="V57" s="6">
        <f t="shared" si="34"/>
        <v>3.3256473926924442E-2</v>
      </c>
      <c r="W57" s="2"/>
      <c r="X57" s="7">
        <f t="shared" si="35"/>
        <v>-1182.44</v>
      </c>
      <c r="Y57" s="2"/>
      <c r="Z57" s="6">
        <f t="shared" si="36"/>
        <v>-0.7882933333333334</v>
      </c>
    </row>
    <row r="58" spans="1:26" s="28" customFormat="1" outlineLevel="1" collapsed="1" x14ac:dyDescent="0.35">
      <c r="A58" s="27"/>
      <c r="B58" s="14" t="str">
        <f>CONCATENATE("     ","Royalty &amp; Commissions                             ")</f>
        <v xml:space="preserve">     Royalty &amp; Commissions                             </v>
      </c>
      <c r="C58" s="14"/>
      <c r="D58" s="1">
        <f>SUM(OSRRefD22_8x_0)</f>
        <v>0</v>
      </c>
      <c r="E58" s="1"/>
      <c r="F58" s="5">
        <f t="shared" ref="F58:F60" si="37">IF(D$12=0,0,D58/D$12)</f>
        <v>0</v>
      </c>
      <c r="G58" s="1"/>
      <c r="H58" s="1">
        <f>SUM(OSRRefH22_8x_0)</f>
        <v>928</v>
      </c>
      <c r="I58" s="1"/>
      <c r="J58" s="5">
        <f t="shared" ref="J58:J60" si="38">IF(H$12=0,0,H58/H$12)</f>
        <v>8.8974113135186966E-2</v>
      </c>
      <c r="K58" s="1"/>
      <c r="L58" s="1">
        <f t="shared" ref="L58:L60" si="39">+D58-H58</f>
        <v>-928</v>
      </c>
      <c r="M58" s="1"/>
      <c r="N58" s="5">
        <f t="shared" ref="N58:N60" si="40">IF(H58=0,0,L58/H58)</f>
        <v>-1</v>
      </c>
      <c r="O58" s="14"/>
      <c r="P58" s="1">
        <f>SUM(OSRRefP22_8x_0)</f>
        <v>185.7</v>
      </c>
      <c r="Q58" s="1"/>
      <c r="R58" s="5">
        <f t="shared" ref="R58:R60" si="41">IF(P$12=0,0,P58/P$12)</f>
        <v>7.4985766029873155E-2</v>
      </c>
      <c r="S58" s="1"/>
      <c r="T58" s="1">
        <f>SUM(OSRRefT22_8x_0)</f>
        <v>4086</v>
      </c>
      <c r="U58" s="1"/>
      <c r="V58" s="5">
        <f t="shared" ref="V58:V60" si="42">IF(T$12=0,0,T58/T$12)</f>
        <v>9.0590634976942183E-2</v>
      </c>
      <c r="W58" s="1"/>
      <c r="X58" s="1">
        <f t="shared" ref="X58:X60" si="43">+P58-T58</f>
        <v>-3900.3</v>
      </c>
      <c r="Y58" s="1"/>
      <c r="Z58" s="5">
        <f t="shared" ref="Z58:Z60" si="44">IF(T58=0,0,X58/T58)</f>
        <v>-0.95455212922173283</v>
      </c>
    </row>
    <row r="59" spans="1:26" s="24" customFormat="1" hidden="1" outlineLevel="2" x14ac:dyDescent="0.35">
      <c r="A59" s="29"/>
      <c r="B59" s="11" t="str">
        <f>CONCATENATE("          ", "6254", " - ", "ROYALTY &amp; COMMISSIONS")</f>
        <v xml:space="preserve">          6254 - ROYALTY &amp; COMMISSIONS</v>
      </c>
      <c r="C59" s="11"/>
      <c r="D59" s="7"/>
      <c r="E59" s="2"/>
      <c r="F59" s="6">
        <f t="shared" si="37"/>
        <v>0</v>
      </c>
      <c r="G59" s="2"/>
      <c r="H59" s="7"/>
      <c r="I59" s="2"/>
      <c r="J59" s="6">
        <f t="shared" si="38"/>
        <v>0</v>
      </c>
      <c r="K59" s="2"/>
      <c r="L59" s="7">
        <f t="shared" si="39"/>
        <v>0</v>
      </c>
      <c r="M59" s="2"/>
      <c r="N59" s="6">
        <f t="shared" si="40"/>
        <v>0</v>
      </c>
      <c r="O59" s="11"/>
      <c r="P59" s="7">
        <v>185.7</v>
      </c>
      <c r="Q59" s="2"/>
      <c r="R59" s="6">
        <f t="shared" si="41"/>
        <v>7.4985766029873155E-2</v>
      </c>
      <c r="S59" s="2"/>
      <c r="T59" s="7"/>
      <c r="U59" s="2"/>
      <c r="V59" s="6">
        <f t="shared" si="42"/>
        <v>0</v>
      </c>
      <c r="W59" s="2"/>
      <c r="X59" s="7">
        <f t="shared" si="43"/>
        <v>185.7</v>
      </c>
      <c r="Y59" s="2"/>
      <c r="Z59" s="6">
        <f t="shared" si="44"/>
        <v>0</v>
      </c>
    </row>
    <row r="60" spans="1:26" s="24" customFormat="1" hidden="1" outlineLevel="2" x14ac:dyDescent="0.35">
      <c r="A60" s="29"/>
      <c r="B60" s="11" t="str">
        <f>CONCATENATE("          ", "6259", " - ", "ROYALTY &amp; COMMISSIONS")</f>
        <v xml:space="preserve">          6259 - ROYALTY &amp; COMMISSIONS</v>
      </c>
      <c r="C60" s="11"/>
      <c r="D60" s="7"/>
      <c r="E60" s="2"/>
      <c r="F60" s="6">
        <f t="shared" si="37"/>
        <v>0</v>
      </c>
      <c r="G60" s="2"/>
      <c r="H60" s="7">
        <v>928</v>
      </c>
      <c r="I60" s="2"/>
      <c r="J60" s="6">
        <f t="shared" si="38"/>
        <v>8.8974113135186966E-2</v>
      </c>
      <c r="K60" s="2"/>
      <c r="L60" s="7">
        <f t="shared" si="39"/>
        <v>-928</v>
      </c>
      <c r="M60" s="2"/>
      <c r="N60" s="6">
        <f t="shared" si="40"/>
        <v>-1</v>
      </c>
      <c r="O60" s="11"/>
      <c r="P60" s="7"/>
      <c r="Q60" s="2"/>
      <c r="R60" s="6">
        <f t="shared" si="41"/>
        <v>0</v>
      </c>
      <c r="S60" s="2"/>
      <c r="T60" s="7">
        <v>4086</v>
      </c>
      <c r="U60" s="2"/>
      <c r="V60" s="6">
        <f t="shared" si="42"/>
        <v>9.0590634976942183E-2</v>
      </c>
      <c r="W60" s="2"/>
      <c r="X60" s="7">
        <f t="shared" si="43"/>
        <v>-4086</v>
      </c>
      <c r="Y60" s="2"/>
      <c r="Z60" s="6">
        <f t="shared" si="44"/>
        <v>-1</v>
      </c>
    </row>
    <row r="61" spans="1:26" s="28" customFormat="1" outlineLevel="1" collapsed="1" x14ac:dyDescent="0.35">
      <c r="A61" s="27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SUM(OSRRefD22_9x_0)</f>
        <v>0</v>
      </c>
      <c r="E61" s="1"/>
      <c r="F61" s="5">
        <f t="shared" ref="F61:F63" si="45">IF(D$12=0,0,D61/D$12)</f>
        <v>0</v>
      </c>
      <c r="G61" s="1"/>
      <c r="H61" s="1">
        <f>SUM(OSRRefH22_9x_0)</f>
        <v>287</v>
      </c>
      <c r="I61" s="1"/>
      <c r="J61" s="5">
        <f t="shared" ref="J61:J63" si="46">IF(H$12=0,0,H61/H$12)</f>
        <v>2.7516778523489934E-2</v>
      </c>
      <c r="K61" s="1"/>
      <c r="L61" s="1">
        <f t="shared" ref="L61:L63" si="47">+D61-H61</f>
        <v>-287</v>
      </c>
      <c r="M61" s="1"/>
      <c r="N61" s="5">
        <f t="shared" ref="N61:N63" si="48">IF(H61=0,0,L61/H61)</f>
        <v>-1</v>
      </c>
      <c r="O61" s="14"/>
      <c r="P61" s="1">
        <f>SUM(OSRRefP22_9x_0)</f>
        <v>-63.319999999999993</v>
      </c>
      <c r="Q61" s="1"/>
      <c r="R61" s="5">
        <f t="shared" ref="R61:R63" si="49">IF(P$12=0,0,P61/P$12)</f>
        <v>-2.556865215407414E-2</v>
      </c>
      <c r="S61" s="1"/>
      <c r="T61" s="1">
        <f>SUM(OSRRefT22_9x_0)</f>
        <v>1722</v>
      </c>
      <c r="U61" s="1"/>
      <c r="V61" s="5">
        <f t="shared" ref="V61:V63" si="50">IF(T$12=0,0,T61/T$12)</f>
        <v>3.817843206810926E-2</v>
      </c>
      <c r="W61" s="1"/>
      <c r="X61" s="1">
        <f t="shared" ref="X61:X63" si="51">+P61-T61</f>
        <v>-1785.32</v>
      </c>
      <c r="Y61" s="1"/>
      <c r="Z61" s="5">
        <f t="shared" ref="Z61:Z63" si="52">IF(T61=0,0,X61/T61)</f>
        <v>-1.0367711962833914</v>
      </c>
    </row>
    <row r="62" spans="1:26" s="24" customFormat="1" hidden="1" outlineLevel="2" x14ac:dyDescent="0.35">
      <c r="A62" s="29"/>
      <c r="B62" s="11" t="str">
        <f>CONCATENATE("          ", "6282", " - ", "JANITORIAL/EXTERMINATOR EXPENS")</f>
        <v xml:space="preserve">          6282 - JANITORIAL/EXTERMINATOR EXPENS</v>
      </c>
      <c r="C62" s="11"/>
      <c r="D62" s="7"/>
      <c r="E62" s="2"/>
      <c r="F62" s="6">
        <f t="shared" si="45"/>
        <v>0</v>
      </c>
      <c r="G62" s="2"/>
      <c r="H62" s="7"/>
      <c r="I62" s="2"/>
      <c r="J62" s="6">
        <f t="shared" si="46"/>
        <v>0</v>
      </c>
      <c r="K62" s="2"/>
      <c r="L62" s="7">
        <f t="shared" si="47"/>
        <v>0</v>
      </c>
      <c r="M62" s="2"/>
      <c r="N62" s="6">
        <f t="shared" si="48"/>
        <v>0</v>
      </c>
      <c r="O62" s="11"/>
      <c r="P62" s="7">
        <v>82</v>
      </c>
      <c r="Q62" s="2"/>
      <c r="R62" s="6">
        <f t="shared" si="49"/>
        <v>3.3111646819868598E-2</v>
      </c>
      <c r="S62" s="2"/>
      <c r="T62" s="7"/>
      <c r="U62" s="2"/>
      <c r="V62" s="6">
        <f t="shared" si="50"/>
        <v>0</v>
      </c>
      <c r="W62" s="2"/>
      <c r="X62" s="7">
        <f t="shared" si="51"/>
        <v>82</v>
      </c>
      <c r="Y62" s="2"/>
      <c r="Z62" s="6">
        <f t="shared" si="52"/>
        <v>0</v>
      </c>
    </row>
    <row r="63" spans="1:26" s="24" customFormat="1" hidden="1" outlineLevel="2" x14ac:dyDescent="0.35">
      <c r="A63" s="29"/>
      <c r="B63" s="11" t="str">
        <f>CONCATENATE("          ", "6285", " - ", "JANITORIAL SERVICES")</f>
        <v xml:space="preserve">          6285 - JANITORIAL SERVICES</v>
      </c>
      <c r="C63" s="11"/>
      <c r="D63" s="7"/>
      <c r="E63" s="2"/>
      <c r="F63" s="6">
        <f t="shared" si="45"/>
        <v>0</v>
      </c>
      <c r="G63" s="2"/>
      <c r="H63" s="7">
        <v>287</v>
      </c>
      <c r="I63" s="2"/>
      <c r="J63" s="6">
        <f t="shared" si="46"/>
        <v>2.7516778523489934E-2</v>
      </c>
      <c r="K63" s="2"/>
      <c r="L63" s="7">
        <f t="shared" si="47"/>
        <v>-287</v>
      </c>
      <c r="M63" s="2"/>
      <c r="N63" s="6">
        <f t="shared" si="48"/>
        <v>-1</v>
      </c>
      <c r="O63" s="11"/>
      <c r="P63" s="7">
        <v>-145.32</v>
      </c>
      <c r="Q63" s="2"/>
      <c r="R63" s="6">
        <f t="shared" si="49"/>
        <v>-5.8680298973942738E-2</v>
      </c>
      <c r="S63" s="2"/>
      <c r="T63" s="7">
        <v>1722</v>
      </c>
      <c r="U63" s="2"/>
      <c r="V63" s="6">
        <f t="shared" si="50"/>
        <v>3.817843206810926E-2</v>
      </c>
      <c r="W63" s="2"/>
      <c r="X63" s="7">
        <f t="shared" si="51"/>
        <v>-1867.32</v>
      </c>
      <c r="Y63" s="2"/>
      <c r="Z63" s="6">
        <f t="shared" si="52"/>
        <v>-1.0843902439024389</v>
      </c>
    </row>
    <row r="64" spans="1:26" s="28" customFormat="1" outlineLevel="1" collapsed="1" x14ac:dyDescent="0.35">
      <c r="A64" s="27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SUM(OSRRefD22_10x_0)</f>
        <v>0</v>
      </c>
      <c r="E64" s="1"/>
      <c r="F64" s="5">
        <f t="shared" ref="F64:F67" si="53">IF(D$12=0,0,D64/D$12)</f>
        <v>0</v>
      </c>
      <c r="G64" s="1"/>
      <c r="H64" s="1">
        <f>SUM(OSRRefH22_10x_0)</f>
        <v>567</v>
      </c>
      <c r="I64" s="1"/>
      <c r="J64" s="5">
        <f t="shared" ref="J64:J67" si="54">IF(H$12=0,0,H64/H$12)</f>
        <v>5.4362416107382551E-2</v>
      </c>
      <c r="K64" s="1"/>
      <c r="L64" s="1">
        <f t="shared" ref="L64:L67" si="55">+D64-H64</f>
        <v>-567</v>
      </c>
      <c r="M64" s="1"/>
      <c r="N64" s="5">
        <f t="shared" ref="N64:N67" si="56">IF(H64=0,0,L64/H64)</f>
        <v>-1</v>
      </c>
      <c r="O64" s="14"/>
      <c r="P64" s="1">
        <f>SUM(OSRRefP22_10x_0)</f>
        <v>328.55</v>
      </c>
      <c r="Q64" s="1"/>
      <c r="R64" s="5">
        <f t="shared" ref="R64:R67" si="57">IF(P$12=0,0,P64/P$12)</f>
        <v>0.13266867759351011</v>
      </c>
      <c r="S64" s="1"/>
      <c r="T64" s="1">
        <f>SUM(OSRRefT22_10x_0)</f>
        <v>3002</v>
      </c>
      <c r="U64" s="1"/>
      <c r="V64" s="5">
        <f t="shared" ref="V64:V67" si="58">IF(T$12=0,0,T64/T$12)</f>
        <v>6.6557289819084778E-2</v>
      </c>
      <c r="W64" s="1"/>
      <c r="X64" s="1">
        <f t="shared" ref="X64:X67" si="59">+P64-T64</f>
        <v>-2673.45</v>
      </c>
      <c r="Y64" s="1"/>
      <c r="Z64" s="5">
        <f t="shared" ref="Z64:Z67" si="60">IF(T64=0,0,X64/T64)</f>
        <v>-0.89055629580279805</v>
      </c>
    </row>
    <row r="65" spans="1:26" s="24" customFormat="1" hidden="1" outlineLevel="2" x14ac:dyDescent="0.35">
      <c r="A65" s="29"/>
      <c r="B65" s="11" t="str">
        <f>CONCATENATE("          ", "6235", " - ", "COVID-19 EXPENSES")</f>
        <v xml:space="preserve">          6235 - COVID-19 EXPENSES</v>
      </c>
      <c r="C65" s="11"/>
      <c r="D65" s="7"/>
      <c r="E65" s="2"/>
      <c r="F65" s="6">
        <f t="shared" si="53"/>
        <v>0</v>
      </c>
      <c r="G65" s="2"/>
      <c r="H65" s="7">
        <v>200</v>
      </c>
      <c r="I65" s="2"/>
      <c r="J65" s="6">
        <f t="shared" si="54"/>
        <v>1.9175455417066157E-2</v>
      </c>
      <c r="K65" s="2"/>
      <c r="L65" s="7">
        <f t="shared" si="55"/>
        <v>-200</v>
      </c>
      <c r="M65" s="2"/>
      <c r="N65" s="6">
        <f t="shared" si="56"/>
        <v>-1</v>
      </c>
      <c r="O65" s="11"/>
      <c r="P65" s="7">
        <v>207.27</v>
      </c>
      <c r="Q65" s="2"/>
      <c r="R65" s="6">
        <f t="shared" si="57"/>
        <v>8.3695744345782502E-2</v>
      </c>
      <c r="S65" s="2"/>
      <c r="T65" s="7">
        <v>1200</v>
      </c>
      <c r="U65" s="2"/>
      <c r="V65" s="6">
        <f t="shared" si="58"/>
        <v>2.6605179141539554E-2</v>
      </c>
      <c r="W65" s="2"/>
      <c r="X65" s="7">
        <f t="shared" si="59"/>
        <v>-992.73</v>
      </c>
      <c r="Y65" s="2"/>
      <c r="Z65" s="6">
        <f t="shared" si="60"/>
        <v>-0.82727499999999998</v>
      </c>
    </row>
    <row r="66" spans="1:26" s="24" customFormat="1" hidden="1" outlineLevel="2" x14ac:dyDescent="0.35">
      <c r="A66" s="29"/>
      <c r="B66" s="11" t="str">
        <f>CONCATENATE("          ", "6247", " - ", "STORE SUPPLIES")</f>
        <v xml:space="preserve">          6247 - STORE SUPPLIES</v>
      </c>
      <c r="C66" s="11"/>
      <c r="D66" s="7"/>
      <c r="E66" s="2"/>
      <c r="F66" s="6">
        <f t="shared" si="53"/>
        <v>0</v>
      </c>
      <c r="G66" s="2"/>
      <c r="H66" s="7">
        <v>267</v>
      </c>
      <c r="I66" s="2"/>
      <c r="J66" s="6">
        <f t="shared" si="54"/>
        <v>2.5599232981783317E-2</v>
      </c>
      <c r="K66" s="2"/>
      <c r="L66" s="7">
        <f t="shared" si="55"/>
        <v>-267</v>
      </c>
      <c r="M66" s="2"/>
      <c r="N66" s="6">
        <f t="shared" si="56"/>
        <v>-1</v>
      </c>
      <c r="O66" s="11"/>
      <c r="P66" s="7">
        <v>121.28</v>
      </c>
      <c r="Q66" s="2"/>
      <c r="R66" s="6">
        <f t="shared" si="57"/>
        <v>4.8972933247727606E-2</v>
      </c>
      <c r="S66" s="2"/>
      <c r="T66" s="7">
        <v>1602</v>
      </c>
      <c r="U66" s="2"/>
      <c r="V66" s="6">
        <f t="shared" si="58"/>
        <v>3.5517914153955304E-2</v>
      </c>
      <c r="W66" s="2"/>
      <c r="X66" s="7">
        <f t="shared" si="59"/>
        <v>-1480.72</v>
      </c>
      <c r="Y66" s="2"/>
      <c r="Z66" s="6">
        <f t="shared" si="60"/>
        <v>-0.92429463171036208</v>
      </c>
    </row>
    <row r="67" spans="1:26" s="24" customFormat="1" hidden="1" outlineLevel="2" x14ac:dyDescent="0.35">
      <c r="A67" s="29"/>
      <c r="B67" s="11" t="str">
        <f>CONCATENATE("          ", "6248", " - ", "UNIFORMS")</f>
        <v xml:space="preserve">          6248 - UNIFORMS</v>
      </c>
      <c r="C67" s="11"/>
      <c r="D67" s="7"/>
      <c r="E67" s="2"/>
      <c r="F67" s="6">
        <f t="shared" si="53"/>
        <v>0</v>
      </c>
      <c r="G67" s="2"/>
      <c r="H67" s="7">
        <v>100</v>
      </c>
      <c r="I67" s="2"/>
      <c r="J67" s="6">
        <f t="shared" si="54"/>
        <v>9.5877277085330784E-3</v>
      </c>
      <c r="K67" s="2"/>
      <c r="L67" s="7">
        <f t="shared" si="55"/>
        <v>-100</v>
      </c>
      <c r="M67" s="2"/>
      <c r="N67" s="6">
        <f t="shared" si="56"/>
        <v>-1</v>
      </c>
      <c r="O67" s="11"/>
      <c r="P67" s="7"/>
      <c r="Q67" s="2"/>
      <c r="R67" s="6">
        <f t="shared" si="57"/>
        <v>0</v>
      </c>
      <c r="S67" s="2"/>
      <c r="T67" s="7">
        <v>200</v>
      </c>
      <c r="U67" s="2"/>
      <c r="V67" s="6">
        <f t="shared" si="58"/>
        <v>4.4341965235899254E-3</v>
      </c>
      <c r="W67" s="2"/>
      <c r="X67" s="7">
        <f t="shared" si="59"/>
        <v>-200</v>
      </c>
      <c r="Y67" s="2"/>
      <c r="Z67" s="6">
        <f t="shared" si="60"/>
        <v>-1</v>
      </c>
    </row>
    <row r="68" spans="1:26" s="28" customFormat="1" outlineLevel="1" collapsed="1" x14ac:dyDescent="0.35">
      <c r="A68" s="27"/>
      <c r="B68" s="14" t="str">
        <f>CONCATENATE("     ","Telephone/Data Lines                              ")</f>
        <v xml:space="preserve">     Telephone/Data Lines                              </v>
      </c>
      <c r="C68" s="14"/>
      <c r="D68" s="1">
        <f>SUM(OSRRefD22_11x_0)</f>
        <v>51.5</v>
      </c>
      <c r="E68" s="1"/>
      <c r="F68" s="5">
        <f t="shared" ref="F68:F70" si="61">IF(D$12=0,0,D68/D$12)</f>
        <v>0</v>
      </c>
      <c r="G68" s="1"/>
      <c r="H68" s="1">
        <f>SUM(OSRRefH22_11x_0)</f>
        <v>75</v>
      </c>
      <c r="I68" s="1"/>
      <c r="J68" s="5">
        <f t="shared" ref="J68:J70" si="62">IF(H$12=0,0,H68/H$12)</f>
        <v>7.1907957813998084E-3</v>
      </c>
      <c r="K68" s="1"/>
      <c r="L68" s="1">
        <f t="shared" ref="L68:L70" si="63">+D68-H68</f>
        <v>-23.5</v>
      </c>
      <c r="M68" s="1"/>
      <c r="N68" s="5">
        <f t="shared" ref="N68:N70" si="64">IF(H68=0,0,L68/H68)</f>
        <v>-0.31333333333333335</v>
      </c>
      <c r="O68" s="14"/>
      <c r="P68" s="1">
        <f>SUM(OSRRefP22_11x_0)</f>
        <v>684</v>
      </c>
      <c r="Q68" s="1"/>
      <c r="R68" s="5">
        <f t="shared" ref="R68:R70" si="65">IF(P$12=0,0,P68/P$12)</f>
        <v>0.27619959054622101</v>
      </c>
      <c r="S68" s="1"/>
      <c r="T68" s="1">
        <f>SUM(OSRRefT22_11x_0)</f>
        <v>525</v>
      </c>
      <c r="U68" s="1"/>
      <c r="V68" s="5">
        <f t="shared" ref="V68:V70" si="66">IF(T$12=0,0,T68/T$12)</f>
        <v>1.1639765874423554E-2</v>
      </c>
      <c r="W68" s="1"/>
      <c r="X68" s="1">
        <f t="shared" ref="X68:X70" si="67">+P68-T68</f>
        <v>159</v>
      </c>
      <c r="Y68" s="1"/>
      <c r="Z68" s="5">
        <f t="shared" ref="Z68:Z70" si="68">IF(T68=0,0,X68/T68)</f>
        <v>0.30285714285714288</v>
      </c>
    </row>
    <row r="69" spans="1:26" s="24" customFormat="1" hidden="1" outlineLevel="2" x14ac:dyDescent="0.35">
      <c r="A69" s="29"/>
      <c r="B69" s="11" t="str">
        <f>CONCATENATE("          ", "6303", " - ", "DATA PHONE LINES")</f>
        <v xml:space="preserve">          6303 - DATA PHONE LINES</v>
      </c>
      <c r="C69" s="11"/>
      <c r="D69" s="7"/>
      <c r="E69" s="2"/>
      <c r="F69" s="6">
        <f t="shared" si="61"/>
        <v>0</v>
      </c>
      <c r="G69" s="2"/>
      <c r="H69" s="7">
        <v>75</v>
      </c>
      <c r="I69" s="2"/>
      <c r="J69" s="6">
        <f t="shared" si="62"/>
        <v>7.1907957813998084E-3</v>
      </c>
      <c r="K69" s="2"/>
      <c r="L69" s="7">
        <f t="shared" si="63"/>
        <v>-75</v>
      </c>
      <c r="M69" s="2"/>
      <c r="N69" s="6">
        <f t="shared" si="64"/>
        <v>-1</v>
      </c>
      <c r="O69" s="11"/>
      <c r="P69" s="7"/>
      <c r="Q69" s="2"/>
      <c r="R69" s="6">
        <f t="shared" si="65"/>
        <v>0</v>
      </c>
      <c r="S69" s="2"/>
      <c r="T69" s="7">
        <v>525</v>
      </c>
      <c r="U69" s="2"/>
      <c r="V69" s="6">
        <f t="shared" si="66"/>
        <v>1.1639765874423554E-2</v>
      </c>
      <c r="W69" s="2"/>
      <c r="X69" s="7">
        <f t="shared" si="67"/>
        <v>-525</v>
      </c>
      <c r="Y69" s="2"/>
      <c r="Z69" s="6">
        <f t="shared" si="68"/>
        <v>-1</v>
      </c>
    </row>
    <row r="70" spans="1:26" s="24" customFormat="1" hidden="1" outlineLevel="2" x14ac:dyDescent="0.35">
      <c r="A70" s="29"/>
      <c r="B70" s="11" t="str">
        <f>CONCATENATE("          ", "6309", " - ", "TELEPHONE")</f>
        <v xml:space="preserve">          6309 - TELEPHONE</v>
      </c>
      <c r="C70" s="11"/>
      <c r="D70" s="7">
        <v>51.5</v>
      </c>
      <c r="E70" s="2"/>
      <c r="F70" s="6">
        <f t="shared" si="61"/>
        <v>0</v>
      </c>
      <c r="G70" s="2"/>
      <c r="H70" s="7"/>
      <c r="I70" s="2"/>
      <c r="J70" s="6">
        <f t="shared" si="62"/>
        <v>0</v>
      </c>
      <c r="K70" s="2"/>
      <c r="L70" s="7">
        <f t="shared" si="63"/>
        <v>51.5</v>
      </c>
      <c r="M70" s="2"/>
      <c r="N70" s="6">
        <f t="shared" si="64"/>
        <v>0</v>
      </c>
      <c r="O70" s="11"/>
      <c r="P70" s="7">
        <v>684</v>
      </c>
      <c r="Q70" s="2"/>
      <c r="R70" s="6">
        <f t="shared" si="65"/>
        <v>0.27619959054622101</v>
      </c>
      <c r="S70" s="2"/>
      <c r="T70" s="7"/>
      <c r="U70" s="2"/>
      <c r="V70" s="6">
        <f t="shared" si="66"/>
        <v>0</v>
      </c>
      <c r="W70" s="2"/>
      <c r="X70" s="7">
        <f t="shared" si="67"/>
        <v>684</v>
      </c>
      <c r="Y70" s="2"/>
      <c r="Z70" s="6">
        <f t="shared" si="68"/>
        <v>0</v>
      </c>
    </row>
    <row r="71" spans="1:26" s="28" customFormat="1" outlineLevel="1" collapsed="1" x14ac:dyDescent="0.35">
      <c r="A71" s="27"/>
      <c r="B71" s="14" t="str">
        <f>CONCATENATE("     ","Training                                          ")</f>
        <v xml:space="preserve">     Training                                          </v>
      </c>
      <c r="C71" s="14"/>
      <c r="D71" s="1">
        <f>SUM(OSRRefD22_12x_0)</f>
        <v>0</v>
      </c>
      <c r="E71" s="1"/>
      <c r="F71" s="5">
        <f t="shared" ref="F71:F74" si="69">IF(D$12=0,0,D71/D$12)</f>
        <v>0</v>
      </c>
      <c r="G71" s="1"/>
      <c r="H71" s="1">
        <f>SUM(OSRRefH22_12x_0)</f>
        <v>60</v>
      </c>
      <c r="I71" s="1"/>
      <c r="J71" s="5">
        <f t="shared" ref="J71:J74" si="70">IF(H$12=0,0,H71/H$12)</f>
        <v>5.7526366251198467E-3</v>
      </c>
      <c r="K71" s="1"/>
      <c r="L71" s="1">
        <f t="shared" ref="L71:L74" si="71">+D71-H71</f>
        <v>-60</v>
      </c>
      <c r="M71" s="1"/>
      <c r="N71" s="5">
        <f t="shared" ref="N71:N74" si="72">IF(H71=0,0,L71/H71)</f>
        <v>-1</v>
      </c>
      <c r="O71" s="14"/>
      <c r="P71" s="1">
        <f>SUM(OSRRefP22_12x_0)</f>
        <v>0</v>
      </c>
      <c r="Q71" s="1"/>
      <c r="R71" s="5">
        <f t="shared" ref="R71:R74" si="73">IF(P$12=0,0,P71/P$12)</f>
        <v>0</v>
      </c>
      <c r="S71" s="1"/>
      <c r="T71" s="1">
        <f>SUM(OSRRefT22_12x_0)</f>
        <v>120</v>
      </c>
      <c r="U71" s="1"/>
      <c r="V71" s="5">
        <f t="shared" ref="V71:V74" si="74">IF(T$12=0,0,T71/T$12)</f>
        <v>2.6605179141539555E-3</v>
      </c>
      <c r="W71" s="1"/>
      <c r="X71" s="1">
        <f t="shared" ref="X71:X74" si="75">+P71-T71</f>
        <v>-120</v>
      </c>
      <c r="Y71" s="1"/>
      <c r="Z71" s="5">
        <f t="shared" ref="Z71:Z74" si="76">IF(T71=0,0,X71/T71)</f>
        <v>-1</v>
      </c>
    </row>
    <row r="72" spans="1:26" s="24" customFormat="1" hidden="1" outlineLevel="2" x14ac:dyDescent="0.35">
      <c r="A72" s="29"/>
      <c r="B72" s="11" t="str">
        <f>CONCATENATE("          ", "6376", " - ", "TRAINING")</f>
        <v xml:space="preserve">          6376 - TRAINING</v>
      </c>
      <c r="C72" s="11"/>
      <c r="D72" s="7"/>
      <c r="E72" s="2"/>
      <c r="F72" s="6">
        <f t="shared" si="69"/>
        <v>0</v>
      </c>
      <c r="G72" s="2"/>
      <c r="H72" s="7">
        <v>60</v>
      </c>
      <c r="I72" s="2"/>
      <c r="J72" s="6">
        <f t="shared" si="70"/>
        <v>5.7526366251198467E-3</v>
      </c>
      <c r="K72" s="2"/>
      <c r="L72" s="7">
        <f t="shared" si="71"/>
        <v>-60</v>
      </c>
      <c r="M72" s="2"/>
      <c r="N72" s="6">
        <f t="shared" si="72"/>
        <v>-1</v>
      </c>
      <c r="O72" s="11"/>
      <c r="P72" s="7"/>
      <c r="Q72" s="2"/>
      <c r="R72" s="6">
        <f t="shared" si="73"/>
        <v>0</v>
      </c>
      <c r="S72" s="2"/>
      <c r="T72" s="7">
        <v>120</v>
      </c>
      <c r="U72" s="2"/>
      <c r="V72" s="6">
        <f t="shared" si="74"/>
        <v>2.6605179141539555E-3</v>
      </c>
      <c r="W72" s="2"/>
      <c r="X72" s="7">
        <f t="shared" si="75"/>
        <v>-120</v>
      </c>
      <c r="Y72" s="2"/>
      <c r="Z72" s="6">
        <f t="shared" si="76"/>
        <v>-1</v>
      </c>
    </row>
    <row r="73" spans="1:26" s="28" customFormat="1" outlineLevel="1" collapsed="1" x14ac:dyDescent="0.35">
      <c r="A73" s="27"/>
      <c r="B73" s="14" t="str">
        <f>CONCATENATE("     ","Utilities                                         ")</f>
        <v xml:space="preserve">     Utilities                                         </v>
      </c>
      <c r="C73" s="14"/>
      <c r="D73" s="1">
        <f>SUM(OSRRefD22_13x_0)</f>
        <v>50</v>
      </c>
      <c r="E73" s="1"/>
      <c r="F73" s="5">
        <f t="shared" si="69"/>
        <v>0</v>
      </c>
      <c r="G73" s="1"/>
      <c r="H73" s="1">
        <f>SUM(OSRRefH22_13x_0)</f>
        <v>50</v>
      </c>
      <c r="I73" s="1"/>
      <c r="J73" s="5">
        <f t="shared" si="70"/>
        <v>4.7938638542665392E-3</v>
      </c>
      <c r="K73" s="1"/>
      <c r="L73" s="1">
        <f t="shared" si="71"/>
        <v>0</v>
      </c>
      <c r="M73" s="1"/>
      <c r="N73" s="5">
        <f t="shared" si="72"/>
        <v>0</v>
      </c>
      <c r="O73" s="14"/>
      <c r="P73" s="1">
        <f>SUM(OSRRefP22_13x_0)</f>
        <v>350</v>
      </c>
      <c r="Q73" s="1"/>
      <c r="R73" s="5">
        <f t="shared" si="73"/>
        <v>0.14133019984090256</v>
      </c>
      <c r="S73" s="1"/>
      <c r="T73" s="1">
        <f>SUM(OSRRefT22_13x_0)</f>
        <v>350</v>
      </c>
      <c r="U73" s="1"/>
      <c r="V73" s="5">
        <f t="shared" si="74"/>
        <v>7.7598439162823701E-3</v>
      </c>
      <c r="W73" s="1"/>
      <c r="X73" s="1">
        <f t="shared" si="75"/>
        <v>0</v>
      </c>
      <c r="Y73" s="1"/>
      <c r="Z73" s="5">
        <f t="shared" si="76"/>
        <v>0</v>
      </c>
    </row>
    <row r="74" spans="1:26" s="24" customFormat="1" hidden="1" outlineLevel="2" x14ac:dyDescent="0.35">
      <c r="A74" s="29"/>
      <c r="B74" s="11" t="str">
        <f>CONCATENATE("          ", "6274", " - ", "UTILITIES")</f>
        <v xml:space="preserve">          6274 - UTILITIES</v>
      </c>
      <c r="C74" s="11"/>
      <c r="D74" s="7">
        <v>50</v>
      </c>
      <c r="E74" s="2"/>
      <c r="F74" s="6">
        <f t="shared" si="69"/>
        <v>0</v>
      </c>
      <c r="G74" s="2"/>
      <c r="H74" s="7">
        <v>50</v>
      </c>
      <c r="I74" s="2"/>
      <c r="J74" s="6">
        <f t="shared" si="70"/>
        <v>4.7938638542665392E-3</v>
      </c>
      <c r="K74" s="2"/>
      <c r="L74" s="7">
        <f t="shared" si="71"/>
        <v>0</v>
      </c>
      <c r="M74" s="2"/>
      <c r="N74" s="6">
        <f t="shared" si="72"/>
        <v>0</v>
      </c>
      <c r="O74" s="11"/>
      <c r="P74" s="7">
        <v>350</v>
      </c>
      <c r="Q74" s="2"/>
      <c r="R74" s="6">
        <f t="shared" si="73"/>
        <v>0.14133019984090256</v>
      </c>
      <c r="S74" s="2"/>
      <c r="T74" s="7">
        <v>350</v>
      </c>
      <c r="U74" s="2"/>
      <c r="V74" s="6">
        <f t="shared" si="74"/>
        <v>7.7598439162823701E-3</v>
      </c>
      <c r="W74" s="2"/>
      <c r="X74" s="7">
        <f t="shared" si="75"/>
        <v>0</v>
      </c>
      <c r="Y74" s="2"/>
      <c r="Z74" s="6">
        <f t="shared" si="76"/>
        <v>0</v>
      </c>
    </row>
    <row r="75" spans="1:26" s="55" customFormat="1" x14ac:dyDescent="0.3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35">
      <c r="A76" s="10"/>
      <c r="B76" s="25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3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35">
      <c r="A78" s="10"/>
      <c r="B78" s="26" t="s">
        <v>3</v>
      </c>
      <c r="C78" s="26"/>
      <c r="D78" s="19">
        <f>+D21-D23+D76</f>
        <v>-722.07999999999993</v>
      </c>
      <c r="E78" s="13"/>
      <c r="F78" s="21">
        <f>IF(D$12=0,0,D78/D$12)</f>
        <v>0</v>
      </c>
      <c r="G78" s="13"/>
      <c r="H78" s="19">
        <f>+H21-H23+H76</f>
        <v>-5840.0088594000008</v>
      </c>
      <c r="I78" s="13"/>
      <c r="J78" s="21">
        <f>IF(H$12=0,0,H78/H$12)</f>
        <v>-0.55992414759348041</v>
      </c>
      <c r="K78" s="16"/>
      <c r="L78" s="19">
        <f>+D78-H78</f>
        <v>5117.9288594000009</v>
      </c>
      <c r="M78" s="16"/>
      <c r="N78" s="21">
        <f>IF(H78=0,0,L78/H78)</f>
        <v>-0.87635635195351635</v>
      </c>
      <c r="O78" s="25"/>
      <c r="P78" s="19">
        <f>+P21-P23+P76</f>
        <v>-33681.87999999999</v>
      </c>
      <c r="Q78" s="13"/>
      <c r="R78" s="21">
        <f>IF(P$12=0,0,P78/P$12)</f>
        <v>-13.600762375477993</v>
      </c>
      <c r="S78" s="13"/>
      <c r="T78" s="19">
        <f>+T21-T23+T76</f>
        <v>-31773.840591300002</v>
      </c>
      <c r="U78" s="13"/>
      <c r="V78" s="21">
        <f>IF(T$12=0,0,T78/T$12)</f>
        <v>-0.70445726745521464</v>
      </c>
      <c r="W78" s="16"/>
      <c r="X78" s="19">
        <f>+P78-T78</f>
        <v>-1908.0394086999877</v>
      </c>
      <c r="Y78" s="16"/>
      <c r="Z78" s="21">
        <f>IF(T78=0,0,X78/T78)</f>
        <v>6.0050638298425531E-2</v>
      </c>
    </row>
    <row r="79" spans="1:26" x14ac:dyDescent="0.3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35">
      <c r="A80" s="52"/>
      <c r="B80" s="10" t="s">
        <v>14</v>
      </c>
      <c r="C80" s="10"/>
      <c r="D80" s="4">
        <v>-8.66</v>
      </c>
      <c r="E80" s="4"/>
      <c r="F80" s="12">
        <f>IF(D$12=0,0,D80/D$12)</f>
        <v>0</v>
      </c>
      <c r="G80" s="4"/>
      <c r="H80" s="4">
        <v>1250</v>
      </c>
      <c r="I80" s="4"/>
      <c r="J80" s="12">
        <f>IF(H$12=0,0,H80/H$12)</f>
        <v>0.11984659635666348</v>
      </c>
      <c r="K80" s="4"/>
      <c r="L80" s="4">
        <f>+D80-H80</f>
        <v>-1258.6600000000001</v>
      </c>
      <c r="M80" s="4"/>
      <c r="N80" s="12">
        <f>IF(H80=0,0,L80/H80)</f>
        <v>-1.006928</v>
      </c>
      <c r="O80" s="10"/>
      <c r="P80" s="4">
        <v>449.54</v>
      </c>
      <c r="Q80" s="4"/>
      <c r="R80" s="12">
        <f>IF(P$12=0,0,P80/P$12)</f>
        <v>0.18152450867565526</v>
      </c>
      <c r="S80" s="4"/>
      <c r="T80" s="4">
        <v>7827</v>
      </c>
      <c r="U80" s="4"/>
      <c r="V80" s="12">
        <f>IF(T$12=0,0,T80/T$12)</f>
        <v>0.17353228095069173</v>
      </c>
      <c r="W80" s="4"/>
      <c r="X80" s="4">
        <f>+P80-T80</f>
        <v>-7377.46</v>
      </c>
      <c r="Y80" s="4"/>
      <c r="Z80" s="12">
        <f>IF(T80=0,0,X80/T80)</f>
        <v>-0.94256547847195604</v>
      </c>
    </row>
    <row r="81" spans="1:26" x14ac:dyDescent="0.3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4">
      <c r="A82" s="10"/>
      <c r="B82" s="26" t="s">
        <v>4</v>
      </c>
      <c r="C82" s="26"/>
      <c r="D82" s="33">
        <f>+D78-D80</f>
        <v>-713.42</v>
      </c>
      <c r="E82" s="13"/>
      <c r="F82" s="31">
        <f>IF(D$12=0,0,D82/D$12)</f>
        <v>0</v>
      </c>
      <c r="G82" s="13"/>
      <c r="H82" s="33">
        <f>+H78-H80</f>
        <v>-7090.0088594000008</v>
      </c>
      <c r="I82" s="13"/>
      <c r="J82" s="31">
        <f>IF(H$12=0,0,H82/H$12)</f>
        <v>-0.67977074395014392</v>
      </c>
      <c r="K82" s="16"/>
      <c r="L82" s="33">
        <f>D82-H82</f>
        <v>6376.5888594000007</v>
      </c>
      <c r="M82" s="16"/>
      <c r="N82" s="31">
        <f>IF(H82=0,0,L82/H82)</f>
        <v>-0.89937671247700335</v>
      </c>
      <c r="O82" s="25"/>
      <c r="P82" s="33">
        <f>+P78-P80</f>
        <v>-34131.419999999991</v>
      </c>
      <c r="Q82" s="13"/>
      <c r="R82" s="31">
        <f>IF(P$12=0,0,P82/P$12)</f>
        <v>-13.782286884153649</v>
      </c>
      <c r="S82" s="13"/>
      <c r="T82" s="33">
        <f>+T78-T80</f>
        <v>-39600.840591300002</v>
      </c>
      <c r="U82" s="13"/>
      <c r="V82" s="31">
        <f>IF(T$12=0,0,T82/T$12)</f>
        <v>-0.87798954840590637</v>
      </c>
      <c r="W82" s="16"/>
      <c r="X82" s="33">
        <f>P82-T82</f>
        <v>5469.4205913000114</v>
      </c>
      <c r="Y82" s="16"/>
      <c r="Z82" s="31">
        <f>IF(T82=0,0,X82/T82)</f>
        <v>-0.13811374985059283</v>
      </c>
    </row>
    <row r="83" spans="1:26" ht="15" thickTop="1" x14ac:dyDescent="0.3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3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" thickBot="1" x14ac:dyDescent="0.4">
      <c r="A85" s="10"/>
      <c r="B85" s="26" t="s">
        <v>5</v>
      </c>
      <c r="C85" s="26"/>
      <c r="D85" s="34">
        <f>SUM(D82:D84)</f>
        <v>-713.42</v>
      </c>
      <c r="E85" s="13"/>
      <c r="F85" s="32">
        <f>IF(D$12=0,0,D85/D$12)</f>
        <v>0</v>
      </c>
      <c r="G85" s="13"/>
      <c r="H85" s="34">
        <f>SUM(H82:H84)</f>
        <v>-7090.0088594000008</v>
      </c>
      <c r="I85" s="13"/>
      <c r="J85" s="32">
        <f>IF(H$12=0,0,H85/H$12)</f>
        <v>-0.67977074395014392</v>
      </c>
      <c r="K85" s="16"/>
      <c r="L85" s="34">
        <f>+D85-H85</f>
        <v>6376.5888594000007</v>
      </c>
      <c r="M85" s="16"/>
      <c r="N85" s="32">
        <f>IF(H85=0,0,L85/H85)</f>
        <v>-0.89937671247700335</v>
      </c>
      <c r="O85" s="25"/>
      <c r="P85" s="34">
        <f>SUM(P82:P84)</f>
        <v>-34131.419999999991</v>
      </c>
      <c r="Q85" s="13"/>
      <c r="R85" s="32">
        <f>IF(P$12=0,0,P85/P$12)</f>
        <v>-13.782286884153649</v>
      </c>
      <c r="S85" s="13"/>
      <c r="T85" s="34">
        <f>SUM(T82:T84)</f>
        <v>-39600.840591300002</v>
      </c>
      <c r="U85" s="13"/>
      <c r="V85" s="32">
        <f>IF(T$12=0,0,T85/T$12)</f>
        <v>-0.87798954840590637</v>
      </c>
      <c r="W85" s="16"/>
      <c r="X85" s="34">
        <f>+P85-T85</f>
        <v>5469.4205913000114</v>
      </c>
      <c r="Y85" s="16"/>
      <c r="Z85" s="32">
        <f>IF(T85=0,0,X85/T85)</f>
        <v>-0.13811374985059283</v>
      </c>
    </row>
    <row r="86" spans="1:26" ht="15" thickTop="1" x14ac:dyDescent="0.3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35">
      <c r="A87" s="9"/>
      <c r="B87" s="60">
        <v>44238.490549340277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35">
      <c r="A88" s="9"/>
      <c r="B88" s="59" t="s">
        <v>314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35">
      <c r="A89" s="9"/>
      <c r="B89" s="58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3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","322", " - ", "Beach Hut")</f>
        <v>Department 322 - Beach Hut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SUM(OSRRefD16x_0)</f>
        <v>0</v>
      </c>
      <c r="E15" s="4"/>
      <c r="F15" s="12">
        <f t="shared" ref="F15:F17" si="4">IF(D$12=0,0,D15/D$12)</f>
        <v>0</v>
      </c>
      <c r="G15" s="4"/>
      <c r="H15" s="4">
        <f>SUM(OSRRefH16x_0)</f>
        <v>0</v>
      </c>
      <c r="I15" s="4"/>
      <c r="J15" s="12">
        <f t="shared" ref="J15:J17" si="5">IF(H$12=0,0,H15/H$12)</f>
        <v>0</v>
      </c>
      <c r="K15" s="4"/>
      <c r="L15" s="4">
        <f t="shared" ref="L15:L17" si="6">+D15-H15</f>
        <v>0</v>
      </c>
      <c r="M15" s="4"/>
      <c r="N15" s="12">
        <f t="shared" ref="N15:N17" si="7">IF(H15=0,0,L15/H15)</f>
        <v>0</v>
      </c>
      <c r="O15" s="10"/>
      <c r="P15" s="4">
        <f>SUM(OSRRefP16x_0)</f>
        <v>-1222.33</v>
      </c>
      <c r="Q15" s="4"/>
      <c r="R15" s="12">
        <f t="shared" ref="R15:R17" si="8">IF(P$12=0,0,P15/P$12)</f>
        <v>0</v>
      </c>
      <c r="S15" s="4"/>
      <c r="T15" s="4">
        <f>SUM(OSRRefT16x_0)</f>
        <v>0</v>
      </c>
      <c r="U15" s="4"/>
      <c r="V15" s="12">
        <f t="shared" ref="V15:V17" si="9">IF(T$12=0,0,T15/T$12)</f>
        <v>0</v>
      </c>
      <c r="W15" s="4"/>
      <c r="X15" s="4">
        <f t="shared" ref="X15:X17" si="10">+P15-T15</f>
        <v>-1222.33</v>
      </c>
      <c r="Y15" s="4"/>
      <c r="Z15" s="12">
        <f t="shared" ref="Z15:Z17" si="11">IF(T15=0,0,X15/T15)</f>
        <v>0</v>
      </c>
    </row>
    <row r="16" spans="1:26" s="24" customFormat="1" hidden="1" outlineLevel="1" x14ac:dyDescent="0.3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0</v>
      </c>
      <c r="I16" s="2"/>
      <c r="J16" s="22">
        <f t="shared" si="5"/>
        <v>0</v>
      </c>
      <c r="K16" s="2"/>
      <c r="L16" s="2">
        <f t="shared" si="6"/>
        <v>0</v>
      </c>
      <c r="M16" s="2"/>
      <c r="N16" s="22">
        <f t="shared" si="7"/>
        <v>0</v>
      </c>
      <c r="O16" s="11"/>
      <c r="P16" s="2"/>
      <c r="Q16" s="2"/>
      <c r="R16" s="22">
        <f t="shared" si="8"/>
        <v>0</v>
      </c>
      <c r="S16" s="2"/>
      <c r="T16" s="2">
        <v>0</v>
      </c>
      <c r="U16" s="2"/>
      <c r="V16" s="22">
        <f t="shared" si="9"/>
        <v>0</v>
      </c>
      <c r="W16" s="2"/>
      <c r="X16" s="2">
        <f t="shared" si="10"/>
        <v>0</v>
      </c>
      <c r="Y16" s="2"/>
      <c r="Z16" s="22">
        <f t="shared" si="11"/>
        <v>0</v>
      </c>
    </row>
    <row r="17" spans="1:26" s="24" customFormat="1" hidden="1" outlineLevel="1" x14ac:dyDescent="0.35">
      <c r="A17" s="51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22">
        <f t="shared" si="4"/>
        <v>0</v>
      </c>
      <c r="G17" s="2"/>
      <c r="H17" s="2"/>
      <c r="I17" s="2"/>
      <c r="J17" s="22">
        <f t="shared" si="5"/>
        <v>0</v>
      </c>
      <c r="K17" s="2"/>
      <c r="L17" s="2">
        <f t="shared" si="6"/>
        <v>0</v>
      </c>
      <c r="M17" s="2"/>
      <c r="N17" s="22">
        <f t="shared" si="7"/>
        <v>0</v>
      </c>
      <c r="O17" s="11"/>
      <c r="P17" s="2">
        <v>-1222.33</v>
      </c>
      <c r="Q17" s="2"/>
      <c r="R17" s="22">
        <f t="shared" si="8"/>
        <v>0</v>
      </c>
      <c r="S17" s="2"/>
      <c r="T17" s="2"/>
      <c r="U17" s="2"/>
      <c r="V17" s="22">
        <f t="shared" si="9"/>
        <v>0</v>
      </c>
      <c r="W17" s="2"/>
      <c r="X17" s="2">
        <f t="shared" si="10"/>
        <v>-1222.33</v>
      </c>
      <c r="Y17" s="2"/>
      <c r="Z17" s="22">
        <f t="shared" si="11"/>
        <v>0</v>
      </c>
    </row>
    <row r="18" spans="1:26" x14ac:dyDescent="0.3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35">
      <c r="A19" s="10"/>
      <c r="B19" s="26" t="s">
        <v>6</v>
      </c>
      <c r="C19" s="26"/>
      <c r="D19" s="19">
        <f>D12-D15</f>
        <v>0</v>
      </c>
      <c r="E19" s="13"/>
      <c r="F19" s="21">
        <f>IF(D$12=0,0,D19/D$12)</f>
        <v>0</v>
      </c>
      <c r="G19" s="13"/>
      <c r="H19" s="19">
        <f>H12-H15</f>
        <v>0</v>
      </c>
      <c r="I19" s="13"/>
      <c r="J19" s="21">
        <f>IF(H$12=0,0,H19/H$12)</f>
        <v>0</v>
      </c>
      <c r="K19" s="16"/>
      <c r="L19" s="19">
        <f>+D19-H19</f>
        <v>0</v>
      </c>
      <c r="M19" s="16"/>
      <c r="N19" s="21">
        <f>IF(H19=0,0,L19/H19)</f>
        <v>0</v>
      </c>
      <c r="O19" s="25"/>
      <c r="P19" s="19">
        <f>P12-P15</f>
        <v>1222.33</v>
      </c>
      <c r="Q19" s="13"/>
      <c r="R19" s="21">
        <f>IF(P$12=0,0,P19/P$12)</f>
        <v>0</v>
      </c>
      <c r="S19" s="13"/>
      <c r="T19" s="19">
        <f>T12-T15</f>
        <v>0</v>
      </c>
      <c r="U19" s="13"/>
      <c r="V19" s="21">
        <f>IF(T$12=0,0,T19/T$12)</f>
        <v>0</v>
      </c>
      <c r="W19" s="16"/>
      <c r="X19" s="19">
        <f>+P19-T19</f>
        <v>1222.33</v>
      </c>
      <c r="Y19" s="16"/>
      <c r="Z19" s="21">
        <f>IF(T19=0,0,X19/T19)</f>
        <v>0</v>
      </c>
    </row>
    <row r="20" spans="1:26" x14ac:dyDescent="0.3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35">
      <c r="A21" s="10"/>
      <c r="B21" s="25" t="s">
        <v>9</v>
      </c>
      <c r="C21" s="10"/>
      <c r="D21" s="20">
        <f>SUM(OSRRefD22x_0)</f>
        <v>2225.34</v>
      </c>
      <c r="E21" s="20"/>
      <c r="F21" s="30">
        <f t="shared" ref="F21:F30" si="12">IF(D$12=0,0,D21/D$12)</f>
        <v>0</v>
      </c>
      <c r="G21" s="20"/>
      <c r="H21" s="20">
        <f>SUM(OSRRefH22x_0)</f>
        <v>2017</v>
      </c>
      <c r="I21" s="20"/>
      <c r="J21" s="30">
        <f t="shared" ref="J21:J30" si="13">IF(H$12=0,0,H21/H$12)</f>
        <v>0</v>
      </c>
      <c r="K21" s="4"/>
      <c r="L21" s="20">
        <f t="shared" ref="L21:L30" si="14">+D21-H21</f>
        <v>208.34000000000015</v>
      </c>
      <c r="M21" s="4"/>
      <c r="N21" s="30">
        <f t="shared" ref="N21:N30" si="15">IF(H21=0,0,L21/H21)</f>
        <v>0.10329201784828961</v>
      </c>
      <c r="O21" s="10"/>
      <c r="P21" s="20">
        <f>SUM(OSRRefP22x_0)</f>
        <v>18015.629999999997</v>
      </c>
      <c r="Q21" s="20"/>
      <c r="R21" s="30">
        <f t="shared" ref="R21:R30" si="16">IF(P$12=0,0,P21/P$12)</f>
        <v>0</v>
      </c>
      <c r="S21" s="20"/>
      <c r="T21" s="20">
        <f>SUM(OSRRefT22x_0)</f>
        <v>14119</v>
      </c>
      <c r="U21" s="20"/>
      <c r="V21" s="30">
        <f t="shared" ref="V21:V30" si="17">IF(T$12=0,0,T21/T$12)</f>
        <v>0</v>
      </c>
      <c r="W21" s="4"/>
      <c r="X21" s="20">
        <f t="shared" ref="X21:X30" si="18">+P21-T21</f>
        <v>3896.6299999999974</v>
      </c>
      <c r="Y21" s="4"/>
      <c r="Z21" s="30">
        <f t="shared" ref="Z21:Z30" si="19">IF(T21=0,0,X21/T21)</f>
        <v>0.27598484311920091</v>
      </c>
    </row>
    <row r="22" spans="1:26" s="28" customFormat="1" outlineLevel="1" collapsed="1" x14ac:dyDescent="0.3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0</v>
      </c>
      <c r="I22" s="1"/>
      <c r="J22" s="5">
        <f t="shared" si="13"/>
        <v>0</v>
      </c>
      <c r="K22" s="1"/>
      <c r="L22" s="1">
        <f t="shared" si="14"/>
        <v>0</v>
      </c>
      <c r="M22" s="1"/>
      <c r="N22" s="5">
        <f t="shared" si="15"/>
        <v>0</v>
      </c>
      <c r="O22" s="14"/>
      <c r="P22" s="1">
        <f>SUM(OSRRefP22_0x_0)</f>
        <v>1595.9699999999998</v>
      </c>
      <c r="Q22" s="1"/>
      <c r="R22" s="5">
        <f t="shared" si="16"/>
        <v>0</v>
      </c>
      <c r="S22" s="1"/>
      <c r="T22" s="1">
        <f>SUM(OSRRefT22_0x_0)</f>
        <v>0</v>
      </c>
      <c r="U22" s="1"/>
      <c r="V22" s="5">
        <f t="shared" si="17"/>
        <v>0</v>
      </c>
      <c r="W22" s="1"/>
      <c r="X22" s="1">
        <f t="shared" si="18"/>
        <v>1595.9699999999998</v>
      </c>
      <c r="Y22" s="1"/>
      <c r="Z22" s="5">
        <f t="shared" si="19"/>
        <v>0</v>
      </c>
    </row>
    <row r="23" spans="1:26" s="24" customFormat="1" hidden="1" outlineLevel="2" x14ac:dyDescent="0.35">
      <c r="A23" s="29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2"/>
        <v>0</v>
      </c>
      <c r="G23" s="2"/>
      <c r="H23" s="7">
        <v>0</v>
      </c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>
        <v>159.12</v>
      </c>
      <c r="Q23" s="2"/>
      <c r="R23" s="6">
        <f t="shared" si="16"/>
        <v>0</v>
      </c>
      <c r="S23" s="2"/>
      <c r="T23" s="7">
        <v>0</v>
      </c>
      <c r="U23" s="2"/>
      <c r="V23" s="6">
        <f t="shared" si="17"/>
        <v>0</v>
      </c>
      <c r="W23" s="2"/>
      <c r="X23" s="7">
        <f t="shared" si="18"/>
        <v>159.12</v>
      </c>
      <c r="Y23" s="2"/>
      <c r="Z23" s="6">
        <f t="shared" si="19"/>
        <v>0</v>
      </c>
    </row>
    <row r="24" spans="1:26" s="24" customFormat="1" hidden="1" outlineLevel="2" x14ac:dyDescent="0.35">
      <c r="A24" s="29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2"/>
        <v>0</v>
      </c>
      <c r="G24" s="2"/>
      <c r="H24" s="7">
        <v>0</v>
      </c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0</v>
      </c>
      <c r="U24" s="2"/>
      <c r="V24" s="6">
        <f t="shared" si="17"/>
        <v>0</v>
      </c>
      <c r="W24" s="2"/>
      <c r="X24" s="7">
        <f t="shared" si="18"/>
        <v>0</v>
      </c>
      <c r="Y24" s="2"/>
      <c r="Z24" s="6">
        <f t="shared" si="19"/>
        <v>0</v>
      </c>
    </row>
    <row r="25" spans="1:26" s="24" customFormat="1" hidden="1" outlineLevel="2" x14ac:dyDescent="0.35">
      <c r="A25" s="29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2"/>
        <v>0</v>
      </c>
      <c r="G25" s="2"/>
      <c r="H25" s="7">
        <v>0</v>
      </c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>
        <v>683.68</v>
      </c>
      <c r="Q25" s="2"/>
      <c r="R25" s="6">
        <f t="shared" si="16"/>
        <v>0</v>
      </c>
      <c r="S25" s="2"/>
      <c r="T25" s="7">
        <v>0</v>
      </c>
      <c r="U25" s="2"/>
      <c r="V25" s="6">
        <f t="shared" si="17"/>
        <v>0</v>
      </c>
      <c r="W25" s="2"/>
      <c r="X25" s="7">
        <f t="shared" si="18"/>
        <v>683.68</v>
      </c>
      <c r="Y25" s="2"/>
      <c r="Z25" s="6">
        <f t="shared" si="19"/>
        <v>0</v>
      </c>
    </row>
    <row r="26" spans="1:26" s="24" customFormat="1" hidden="1" outlineLevel="2" x14ac:dyDescent="0.3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2"/>
        <v>0</v>
      </c>
      <c r="G26" s="2"/>
      <c r="H26" s="7">
        <v>0</v>
      </c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0</v>
      </c>
      <c r="U26" s="2"/>
      <c r="V26" s="6">
        <f t="shared" si="17"/>
        <v>0</v>
      </c>
      <c r="W26" s="2"/>
      <c r="X26" s="7">
        <f t="shared" si="18"/>
        <v>0</v>
      </c>
      <c r="Y26" s="2"/>
      <c r="Z26" s="6">
        <f t="shared" si="19"/>
        <v>0</v>
      </c>
    </row>
    <row r="27" spans="1:26" s="24" customFormat="1" hidden="1" outlineLevel="2" x14ac:dyDescent="0.35">
      <c r="A27" s="29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>
        <v>321.57</v>
      </c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321.57</v>
      </c>
      <c r="Y27" s="2"/>
      <c r="Z27" s="6">
        <f t="shared" si="19"/>
        <v>0</v>
      </c>
    </row>
    <row r="28" spans="1:26" s="24" customFormat="1" hidden="1" outlineLevel="2" x14ac:dyDescent="0.35">
      <c r="A28" s="29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35">
      <c r="A29" s="29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>
        <v>239.72</v>
      </c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239.72</v>
      </c>
      <c r="Y29" s="2"/>
      <c r="Z29" s="6">
        <f t="shared" si="19"/>
        <v>0</v>
      </c>
    </row>
    <row r="30" spans="1:26" s="24" customFormat="1" hidden="1" outlineLevel="2" x14ac:dyDescent="0.35">
      <c r="A30" s="29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2"/>
        <v>0</v>
      </c>
      <c r="G30" s="2"/>
      <c r="H30" s="7">
        <v>0</v>
      </c>
      <c r="I30" s="2"/>
      <c r="J30" s="6">
        <f t="shared" si="13"/>
        <v>0</v>
      </c>
      <c r="K30" s="2"/>
      <c r="L30" s="7">
        <f t="shared" si="14"/>
        <v>0</v>
      </c>
      <c r="M30" s="2"/>
      <c r="N30" s="6">
        <f t="shared" si="15"/>
        <v>0</v>
      </c>
      <c r="O30" s="11"/>
      <c r="P30" s="7">
        <v>191.88</v>
      </c>
      <c r="Q30" s="2"/>
      <c r="R30" s="6">
        <f t="shared" si="16"/>
        <v>0</v>
      </c>
      <c r="S30" s="2"/>
      <c r="T30" s="7">
        <v>0</v>
      </c>
      <c r="U30" s="2"/>
      <c r="V30" s="6">
        <f t="shared" si="17"/>
        <v>0</v>
      </c>
      <c r="W30" s="2"/>
      <c r="X30" s="7">
        <f t="shared" si="18"/>
        <v>191.88</v>
      </c>
      <c r="Y30" s="2"/>
      <c r="Z30" s="6">
        <f t="shared" si="19"/>
        <v>0</v>
      </c>
    </row>
    <row r="31" spans="1:26" s="28" customFormat="1" outlineLevel="1" collapsed="1" x14ac:dyDescent="0.3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41" si="20">IF(D$12=0,0,D31/D$12)</f>
        <v>0</v>
      </c>
      <c r="G31" s="1"/>
      <c r="H31" s="1">
        <f>SUM(OSRRefH22_1x_0)</f>
        <v>0</v>
      </c>
      <c r="I31" s="1"/>
      <c r="J31" s="5">
        <f t="shared" ref="J31:J41" si="21">IF(H$12=0,0,H31/H$12)</f>
        <v>0</v>
      </c>
      <c r="K31" s="1"/>
      <c r="L31" s="1">
        <f t="shared" ref="L31:L41" si="22">+D31-H31</f>
        <v>0</v>
      </c>
      <c r="M31" s="1"/>
      <c r="N31" s="5">
        <f t="shared" ref="N31:N41" si="23">IF(H31=0,0,L31/H31)</f>
        <v>0</v>
      </c>
      <c r="O31" s="14"/>
      <c r="P31" s="1">
        <f>SUM(OSRRefP22_1x_0)</f>
        <v>2080</v>
      </c>
      <c r="Q31" s="1"/>
      <c r="R31" s="5">
        <f t="shared" ref="R31:R41" si="24">IF(P$12=0,0,P31/P$12)</f>
        <v>0</v>
      </c>
      <c r="S31" s="1"/>
      <c r="T31" s="1">
        <f>SUM(OSRRefT22_1x_0)</f>
        <v>0</v>
      </c>
      <c r="U31" s="1"/>
      <c r="V31" s="5">
        <f t="shared" ref="V31:V41" si="25">IF(T$12=0,0,T31/T$12)</f>
        <v>0</v>
      </c>
      <c r="W31" s="1"/>
      <c r="X31" s="1">
        <f t="shared" ref="X31:X41" si="26">+P31-T31</f>
        <v>2080</v>
      </c>
      <c r="Y31" s="1"/>
      <c r="Z31" s="5">
        <f t="shared" ref="Z31:Z41" si="27">IF(T31=0,0,X31/T31)</f>
        <v>0</v>
      </c>
    </row>
    <row r="32" spans="1:26" s="24" customFormat="1" hidden="1" outlineLevel="2" x14ac:dyDescent="0.35">
      <c r="A32" s="29"/>
      <c r="B32" s="11" t="str">
        <f>CONCATENATE("          ", "6001", " - ", "ADMINISTRATIVE SALARIES")</f>
        <v xml:space="preserve">          6001 - ADMINISTRATIVE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35">
      <c r="A33" s="29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>
        <v>2080</v>
      </c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2080</v>
      </c>
      <c r="Y33" s="2"/>
      <c r="Z33" s="6">
        <f t="shared" si="27"/>
        <v>0</v>
      </c>
    </row>
    <row r="34" spans="1:26" s="24" customFormat="1" hidden="1" outlineLevel="2" x14ac:dyDescent="0.35">
      <c r="A34" s="29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35">
      <c r="A35" s="29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35">
      <c r="A36" s="29"/>
      <c r="B36" s="11" t="str">
        <f>CONCATENATE("          ", "6005", " - ", "TEMPORARY WAGES-HOURLY")</f>
        <v xml:space="preserve">          6005 - TEMPORARY WAGES-HOURLY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35">
      <c r="A37" s="29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35">
      <c r="A38" s="29"/>
      <c r="B38" s="11" t="str">
        <f>CONCATENATE("          ", "6007", " - ", "STUDENT HOURLY")</f>
        <v xml:space="preserve">          6007 - STUDENT HOURLY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3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35">
      <c r="A40" s="29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35">
      <c r="A41" s="29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8" customFormat="1" outlineLevel="1" collapsed="1" x14ac:dyDescent="0.35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4" si="28">IF(D$12=0,0,D42/D$12)</f>
        <v>0</v>
      </c>
      <c r="G42" s="1"/>
      <c r="H42" s="1">
        <f>SUM(OSRRefH22_2x_0)</f>
        <v>0</v>
      </c>
      <c r="I42" s="1"/>
      <c r="J42" s="5">
        <f t="shared" ref="J42:J54" si="29">IF(H$12=0,0,H42/H$12)</f>
        <v>0</v>
      </c>
      <c r="K42" s="1"/>
      <c r="L42" s="1">
        <f t="shared" ref="L42:L54" si="30">+D42-H42</f>
        <v>0</v>
      </c>
      <c r="M42" s="1"/>
      <c r="N42" s="5">
        <f t="shared" ref="N42:N54" si="31">IF(H42=0,0,L42/H42)</f>
        <v>0</v>
      </c>
      <c r="O42" s="14"/>
      <c r="P42" s="1">
        <f>SUM(OSRRefP22_2x_0)</f>
        <v>0</v>
      </c>
      <c r="Q42" s="1"/>
      <c r="R42" s="5">
        <f t="shared" ref="R42:R54" si="32">IF(P$12=0,0,P42/P$12)</f>
        <v>0</v>
      </c>
      <c r="S42" s="1"/>
      <c r="T42" s="1">
        <f>SUM(OSRRefT22_2x_0)</f>
        <v>0</v>
      </c>
      <c r="U42" s="1"/>
      <c r="V42" s="5">
        <f t="shared" ref="V42:V54" si="33">IF(T$12=0,0,T42/T$12)</f>
        <v>0</v>
      </c>
      <c r="W42" s="1"/>
      <c r="X42" s="1">
        <f t="shared" ref="X42:X54" si="34">+P42-T42</f>
        <v>0</v>
      </c>
      <c r="Y42" s="1"/>
      <c r="Z42" s="5">
        <f t="shared" ref="Z42:Z54" si="35">IF(T42=0,0,X42/T42)</f>
        <v>0</v>
      </c>
    </row>
    <row r="43" spans="1:26" s="24" customFormat="1" hidden="1" outlineLevel="2" x14ac:dyDescent="0.35">
      <c r="A43" s="29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8"/>
        <v>0</v>
      </c>
      <c r="G43" s="2"/>
      <c r="H43" s="7">
        <v>0</v>
      </c>
      <c r="I43" s="2"/>
      <c r="J43" s="6">
        <f t="shared" si="29"/>
        <v>0</v>
      </c>
      <c r="K43" s="2"/>
      <c r="L43" s="7">
        <f t="shared" si="30"/>
        <v>0</v>
      </c>
      <c r="M43" s="2"/>
      <c r="N43" s="6">
        <f t="shared" si="31"/>
        <v>0</v>
      </c>
      <c r="O43" s="11"/>
      <c r="P43" s="7"/>
      <c r="Q43" s="2"/>
      <c r="R43" s="6">
        <f t="shared" si="32"/>
        <v>0</v>
      </c>
      <c r="S43" s="2"/>
      <c r="T43" s="7">
        <v>0</v>
      </c>
      <c r="U43" s="2"/>
      <c r="V43" s="6">
        <f t="shared" si="33"/>
        <v>0</v>
      </c>
      <c r="W43" s="2"/>
      <c r="X43" s="7">
        <f t="shared" si="34"/>
        <v>0</v>
      </c>
      <c r="Y43" s="2"/>
      <c r="Z43" s="6">
        <f t="shared" si="35"/>
        <v>0</v>
      </c>
    </row>
    <row r="44" spans="1:26" s="28" customFormat="1" outlineLevel="1" collapsed="1" x14ac:dyDescent="0.3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0</v>
      </c>
      <c r="E44" s="1"/>
      <c r="F44" s="5">
        <f t="shared" si="28"/>
        <v>0</v>
      </c>
      <c r="G44" s="1"/>
      <c r="H44" s="1">
        <f>SUM(OSRRefH22_3x_0)</f>
        <v>0</v>
      </c>
      <c r="I44" s="1"/>
      <c r="J44" s="5">
        <f t="shared" si="29"/>
        <v>0</v>
      </c>
      <c r="K44" s="1"/>
      <c r="L44" s="1">
        <f t="shared" si="30"/>
        <v>0</v>
      </c>
      <c r="M44" s="1"/>
      <c r="N44" s="5">
        <f t="shared" si="31"/>
        <v>0</v>
      </c>
      <c r="O44" s="14"/>
      <c r="P44" s="1">
        <f>SUM(OSRRefP22_3x_0)</f>
        <v>0</v>
      </c>
      <c r="Q44" s="1"/>
      <c r="R44" s="5">
        <f t="shared" si="32"/>
        <v>0</v>
      </c>
      <c r="S44" s="1"/>
      <c r="T44" s="1">
        <f>SUM(OSRRefT22_3x_0)</f>
        <v>0</v>
      </c>
      <c r="U44" s="1"/>
      <c r="V44" s="5">
        <f t="shared" si="33"/>
        <v>0</v>
      </c>
      <c r="W44" s="1"/>
      <c r="X44" s="1">
        <f t="shared" si="34"/>
        <v>0</v>
      </c>
      <c r="Y44" s="1"/>
      <c r="Z44" s="5">
        <f t="shared" si="35"/>
        <v>0</v>
      </c>
    </row>
    <row r="45" spans="1:26" s="24" customFormat="1" hidden="1" outlineLevel="2" x14ac:dyDescent="0.35">
      <c r="A45" s="29"/>
      <c r="B45" s="11" t="str">
        <f>CONCATENATE("          ", "6381", " - ", "BANK/CREDIT CARD FEES")</f>
        <v xml:space="preserve">          6381 - BANK/CREDIT CARD FEES</v>
      </c>
      <c r="C45" s="11"/>
      <c r="D45" s="7"/>
      <c r="E45" s="2"/>
      <c r="F45" s="6">
        <f t="shared" si="28"/>
        <v>0</v>
      </c>
      <c r="G45" s="2"/>
      <c r="H45" s="7">
        <v>0</v>
      </c>
      <c r="I45" s="2"/>
      <c r="J45" s="6">
        <f t="shared" si="29"/>
        <v>0</v>
      </c>
      <c r="K45" s="2"/>
      <c r="L45" s="7">
        <f t="shared" si="30"/>
        <v>0</v>
      </c>
      <c r="M45" s="2"/>
      <c r="N45" s="6">
        <f t="shared" si="31"/>
        <v>0</v>
      </c>
      <c r="O45" s="11"/>
      <c r="P45" s="7"/>
      <c r="Q45" s="2"/>
      <c r="R45" s="6">
        <f t="shared" si="32"/>
        <v>0</v>
      </c>
      <c r="S45" s="2"/>
      <c r="T45" s="7">
        <v>0</v>
      </c>
      <c r="U45" s="2"/>
      <c r="V45" s="6">
        <f t="shared" si="33"/>
        <v>0</v>
      </c>
      <c r="W45" s="2"/>
      <c r="X45" s="7">
        <f t="shared" si="34"/>
        <v>0</v>
      </c>
      <c r="Y45" s="2"/>
      <c r="Z45" s="6">
        <f t="shared" si="35"/>
        <v>0</v>
      </c>
    </row>
    <row r="46" spans="1:26" s="28" customFormat="1" outlineLevel="1" collapsed="1" x14ac:dyDescent="0.35">
      <c r="A46" s="27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SUM(OSRRefD22_4x_0)</f>
        <v>2017.34</v>
      </c>
      <c r="E46" s="1"/>
      <c r="F46" s="5">
        <f t="shared" si="28"/>
        <v>0</v>
      </c>
      <c r="G46" s="1"/>
      <c r="H46" s="1">
        <f>SUM(OSRRefH22_4x_0)</f>
        <v>2017</v>
      </c>
      <c r="I46" s="1"/>
      <c r="J46" s="5">
        <f t="shared" si="29"/>
        <v>0</v>
      </c>
      <c r="K46" s="1"/>
      <c r="L46" s="1">
        <f t="shared" si="30"/>
        <v>0.33999999999991815</v>
      </c>
      <c r="M46" s="1"/>
      <c r="N46" s="5">
        <f t="shared" si="31"/>
        <v>1.6856717897864064E-4</v>
      </c>
      <c r="O46" s="14"/>
      <c r="P46" s="1">
        <f>SUM(OSRRefP22_4x_0)</f>
        <v>14121.38</v>
      </c>
      <c r="Q46" s="1"/>
      <c r="R46" s="5">
        <f t="shared" si="32"/>
        <v>0</v>
      </c>
      <c r="S46" s="1"/>
      <c r="T46" s="1">
        <f>SUM(OSRRefT22_4x_0)</f>
        <v>14119</v>
      </c>
      <c r="U46" s="1"/>
      <c r="V46" s="5">
        <f t="shared" si="33"/>
        <v>0</v>
      </c>
      <c r="W46" s="1"/>
      <c r="X46" s="1">
        <f t="shared" si="34"/>
        <v>2.3799999999991996</v>
      </c>
      <c r="Y46" s="1"/>
      <c r="Z46" s="5">
        <f t="shared" si="35"/>
        <v>1.6856717897862451E-4</v>
      </c>
    </row>
    <row r="47" spans="1:26" s="24" customFormat="1" hidden="1" outlineLevel="2" x14ac:dyDescent="0.35">
      <c r="A47" s="29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2017.34</v>
      </c>
      <c r="E47" s="2"/>
      <c r="F47" s="6">
        <f t="shared" si="28"/>
        <v>0</v>
      </c>
      <c r="G47" s="2"/>
      <c r="H47" s="7">
        <v>2017</v>
      </c>
      <c r="I47" s="2"/>
      <c r="J47" s="6">
        <f t="shared" si="29"/>
        <v>0</v>
      </c>
      <c r="K47" s="2"/>
      <c r="L47" s="7">
        <f t="shared" si="30"/>
        <v>0.33999999999991815</v>
      </c>
      <c r="M47" s="2"/>
      <c r="N47" s="6">
        <f t="shared" si="31"/>
        <v>1.6856717897864064E-4</v>
      </c>
      <c r="O47" s="11"/>
      <c r="P47" s="7">
        <v>14121.38</v>
      </c>
      <c r="Q47" s="2"/>
      <c r="R47" s="6">
        <f t="shared" si="32"/>
        <v>0</v>
      </c>
      <c r="S47" s="2"/>
      <c r="T47" s="7">
        <v>14119</v>
      </c>
      <c r="U47" s="2"/>
      <c r="V47" s="6">
        <f t="shared" si="33"/>
        <v>0</v>
      </c>
      <c r="W47" s="2"/>
      <c r="X47" s="7">
        <f t="shared" si="34"/>
        <v>2.3799999999991996</v>
      </c>
      <c r="Y47" s="2"/>
      <c r="Z47" s="6">
        <f t="shared" si="35"/>
        <v>1.6856717897862451E-4</v>
      </c>
    </row>
    <row r="48" spans="1:26" s="28" customFormat="1" outlineLevel="1" collapsed="1" x14ac:dyDescent="0.35">
      <c r="A48" s="27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SUM(OSRRefD22_5x_0)</f>
        <v>0</v>
      </c>
      <c r="E48" s="1"/>
      <c r="F48" s="5">
        <f t="shared" si="28"/>
        <v>0</v>
      </c>
      <c r="G48" s="1"/>
      <c r="H48" s="1">
        <f>SUM(OSRRefH22_5x_0)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4"/>
      <c r="P48" s="1">
        <f>SUM(OSRRefP22_5x_0)</f>
        <v>0</v>
      </c>
      <c r="Q48" s="1"/>
      <c r="R48" s="5">
        <f t="shared" si="32"/>
        <v>0</v>
      </c>
      <c r="S48" s="1"/>
      <c r="T48" s="1">
        <f>SUM(OSRRefT22_5x_0)</f>
        <v>0</v>
      </c>
      <c r="U48" s="1"/>
      <c r="V48" s="5">
        <f t="shared" si="33"/>
        <v>0</v>
      </c>
      <c r="W48" s="1"/>
      <c r="X48" s="1">
        <f t="shared" si="34"/>
        <v>0</v>
      </c>
      <c r="Y48" s="1"/>
      <c r="Z48" s="5">
        <f t="shared" si="35"/>
        <v>0</v>
      </c>
    </row>
    <row r="49" spans="1:26" s="24" customFormat="1" hidden="1" outlineLevel="2" x14ac:dyDescent="0.35">
      <c r="A49" s="29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28"/>
        <v>0</v>
      </c>
      <c r="G49" s="2"/>
      <c r="H49" s="7"/>
      <c r="I49" s="2"/>
      <c r="J49" s="6">
        <f t="shared" si="29"/>
        <v>0</v>
      </c>
      <c r="K49" s="2"/>
      <c r="L49" s="7">
        <f t="shared" si="30"/>
        <v>0</v>
      </c>
      <c r="M49" s="2"/>
      <c r="N49" s="6">
        <f t="shared" si="31"/>
        <v>0</v>
      </c>
      <c r="O49" s="11"/>
      <c r="P49" s="7"/>
      <c r="Q49" s="2"/>
      <c r="R49" s="6">
        <f t="shared" si="32"/>
        <v>0</v>
      </c>
      <c r="S49" s="2"/>
      <c r="T49" s="7">
        <v>0</v>
      </c>
      <c r="U49" s="2"/>
      <c r="V49" s="6">
        <f t="shared" si="33"/>
        <v>0</v>
      </c>
      <c r="W49" s="2"/>
      <c r="X49" s="7">
        <f t="shared" si="34"/>
        <v>0</v>
      </c>
      <c r="Y49" s="2"/>
      <c r="Z49" s="6">
        <f t="shared" si="35"/>
        <v>0</v>
      </c>
    </row>
    <row r="50" spans="1:26" s="28" customFormat="1" outlineLevel="1" collapsed="1" x14ac:dyDescent="0.35">
      <c r="A50" s="27"/>
      <c r="B50" s="14" t="str">
        <f>CONCATENATE("     ","Rent                                              ")</f>
        <v xml:space="preserve">     Rent                                              </v>
      </c>
      <c r="C50" s="14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0</v>
      </c>
      <c r="I50" s="1"/>
      <c r="J50" s="5">
        <f t="shared" si="29"/>
        <v>0</v>
      </c>
      <c r="K50" s="1"/>
      <c r="L50" s="1">
        <f t="shared" si="30"/>
        <v>0</v>
      </c>
      <c r="M50" s="1"/>
      <c r="N50" s="5">
        <f t="shared" si="31"/>
        <v>0</v>
      </c>
      <c r="O50" s="14"/>
      <c r="P50" s="1">
        <f>SUM(OSRRefP22_6x_0)</f>
        <v>0</v>
      </c>
      <c r="Q50" s="1"/>
      <c r="R50" s="5">
        <f t="shared" si="32"/>
        <v>0</v>
      </c>
      <c r="S50" s="1"/>
      <c r="T50" s="1">
        <f>SUM(OSRRefT22_6x_0)</f>
        <v>0</v>
      </c>
      <c r="U50" s="1"/>
      <c r="V50" s="5">
        <f t="shared" si="33"/>
        <v>0</v>
      </c>
      <c r="W50" s="1"/>
      <c r="X50" s="1">
        <f t="shared" si="34"/>
        <v>0</v>
      </c>
      <c r="Y50" s="1"/>
      <c r="Z50" s="5">
        <f t="shared" si="35"/>
        <v>0</v>
      </c>
    </row>
    <row r="51" spans="1:26" s="24" customFormat="1" hidden="1" outlineLevel="2" x14ac:dyDescent="0.35">
      <c r="A51" s="29"/>
      <c r="B51" s="11" t="str">
        <f>CONCATENATE("          ", "6273", " - ", "RENT")</f>
        <v xml:space="preserve">          6273 - RENT</v>
      </c>
      <c r="C51" s="11"/>
      <c r="D51" s="7"/>
      <c r="E51" s="2"/>
      <c r="F51" s="6">
        <f t="shared" si="28"/>
        <v>0</v>
      </c>
      <c r="G51" s="2"/>
      <c r="H51" s="7">
        <v>0</v>
      </c>
      <c r="I51" s="2"/>
      <c r="J51" s="6">
        <f t="shared" si="29"/>
        <v>0</v>
      </c>
      <c r="K51" s="2"/>
      <c r="L51" s="7">
        <f t="shared" si="30"/>
        <v>0</v>
      </c>
      <c r="M51" s="2"/>
      <c r="N51" s="6">
        <f t="shared" si="31"/>
        <v>0</v>
      </c>
      <c r="O51" s="11"/>
      <c r="P51" s="7"/>
      <c r="Q51" s="2"/>
      <c r="R51" s="6">
        <f t="shared" si="32"/>
        <v>0</v>
      </c>
      <c r="S51" s="2"/>
      <c r="T51" s="7">
        <v>0</v>
      </c>
      <c r="U51" s="2"/>
      <c r="V51" s="6">
        <f t="shared" si="33"/>
        <v>0</v>
      </c>
      <c r="W51" s="2"/>
      <c r="X51" s="7">
        <f t="shared" si="34"/>
        <v>0</v>
      </c>
      <c r="Y51" s="2"/>
      <c r="Z51" s="6">
        <f t="shared" si="35"/>
        <v>0</v>
      </c>
    </row>
    <row r="52" spans="1:26" s="28" customFormat="1" outlineLevel="1" collapsed="1" x14ac:dyDescent="0.35">
      <c r="A52" s="27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SUM(OSRRefD22_7x_0)</f>
        <v>0</v>
      </c>
      <c r="E52" s="1"/>
      <c r="F52" s="5">
        <f t="shared" si="28"/>
        <v>0</v>
      </c>
      <c r="G52" s="1"/>
      <c r="H52" s="1">
        <f>SUM(OSRRefH22_7x_0)</f>
        <v>0</v>
      </c>
      <c r="I52" s="1"/>
      <c r="J52" s="5">
        <f t="shared" si="29"/>
        <v>0</v>
      </c>
      <c r="K52" s="1"/>
      <c r="L52" s="1">
        <f t="shared" si="30"/>
        <v>0</v>
      </c>
      <c r="M52" s="1"/>
      <c r="N52" s="5">
        <f t="shared" si="31"/>
        <v>0</v>
      </c>
      <c r="O52" s="14"/>
      <c r="P52" s="1">
        <f>SUM(OSRRefP22_7x_0)</f>
        <v>223.3</v>
      </c>
      <c r="Q52" s="1"/>
      <c r="R52" s="5">
        <f t="shared" si="32"/>
        <v>0</v>
      </c>
      <c r="S52" s="1"/>
      <c r="T52" s="1">
        <f>SUM(OSRRefT22_7x_0)</f>
        <v>0</v>
      </c>
      <c r="U52" s="1"/>
      <c r="V52" s="5">
        <f t="shared" si="33"/>
        <v>0</v>
      </c>
      <c r="W52" s="1"/>
      <c r="X52" s="1">
        <f t="shared" si="34"/>
        <v>223.3</v>
      </c>
      <c r="Y52" s="1"/>
      <c r="Z52" s="5">
        <f t="shared" si="35"/>
        <v>0</v>
      </c>
    </row>
    <row r="53" spans="1:26" s="24" customFormat="1" hidden="1" outlineLevel="2" x14ac:dyDescent="0.35">
      <c r="A53" s="29"/>
      <c r="B53" s="11" t="str">
        <f>CONCATENATE("          ", "6373", " - ", "MAINTENANCE CONTRACTS")</f>
        <v xml:space="preserve">          6373 - MAINTENANCE CONTRACTS</v>
      </c>
      <c r="C53" s="11"/>
      <c r="D53" s="7"/>
      <c r="E53" s="2"/>
      <c r="F53" s="6">
        <f t="shared" si="28"/>
        <v>0</v>
      </c>
      <c r="G53" s="2"/>
      <c r="H53" s="7"/>
      <c r="I53" s="2"/>
      <c r="J53" s="6">
        <f t="shared" si="29"/>
        <v>0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>
        <v>223.3</v>
      </c>
      <c r="Q53" s="2"/>
      <c r="R53" s="6">
        <f t="shared" si="32"/>
        <v>0</v>
      </c>
      <c r="S53" s="2"/>
      <c r="T53" s="7"/>
      <c r="U53" s="2"/>
      <c r="V53" s="6">
        <f t="shared" si="33"/>
        <v>0</v>
      </c>
      <c r="W53" s="2"/>
      <c r="X53" s="7">
        <f t="shared" si="34"/>
        <v>223.3</v>
      </c>
      <c r="Y53" s="2"/>
      <c r="Z53" s="6">
        <f t="shared" si="35"/>
        <v>0</v>
      </c>
    </row>
    <row r="54" spans="1:26" s="24" customFormat="1" hidden="1" outlineLevel="2" x14ac:dyDescent="0.35">
      <c r="A54" s="29"/>
      <c r="B54" s="11" t="str">
        <f>CONCATENATE("          ", "6375", " - ", "OUTSIDE REPAIRS &amp; MAINTENANCE")</f>
        <v xml:space="preserve">          6375 - OUTSIDE REPAIRS &amp; MAINTENANCE</v>
      </c>
      <c r="C54" s="11"/>
      <c r="D54" s="7"/>
      <c r="E54" s="2"/>
      <c r="F54" s="6">
        <f t="shared" si="28"/>
        <v>0</v>
      </c>
      <c r="G54" s="2"/>
      <c r="H54" s="7">
        <v>0</v>
      </c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/>
      <c r="Q54" s="2"/>
      <c r="R54" s="6">
        <f t="shared" si="32"/>
        <v>0</v>
      </c>
      <c r="S54" s="2"/>
      <c r="T54" s="7">
        <v>0</v>
      </c>
      <c r="U54" s="2"/>
      <c r="V54" s="6">
        <f t="shared" si="33"/>
        <v>0</v>
      </c>
      <c r="W54" s="2"/>
      <c r="X54" s="7">
        <f t="shared" si="34"/>
        <v>0</v>
      </c>
      <c r="Y54" s="2"/>
      <c r="Z54" s="6">
        <f t="shared" si="35"/>
        <v>0</v>
      </c>
    </row>
    <row r="55" spans="1:26" s="28" customFormat="1" outlineLevel="1" collapsed="1" x14ac:dyDescent="0.35">
      <c r="A55" s="27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SUM(OSRRefD22_8x_0)</f>
        <v>0</v>
      </c>
      <c r="E55" s="1"/>
      <c r="F55" s="5">
        <f t="shared" ref="F55:F57" si="36">IF(D$12=0,0,D55/D$12)</f>
        <v>0</v>
      </c>
      <c r="G55" s="1"/>
      <c r="H55" s="1">
        <f>SUM(OSRRefH22_8x_0)</f>
        <v>0</v>
      </c>
      <c r="I55" s="1"/>
      <c r="J55" s="5">
        <f t="shared" ref="J55:J57" si="37">IF(H$12=0,0,H55/H$12)</f>
        <v>0</v>
      </c>
      <c r="K55" s="1"/>
      <c r="L55" s="1">
        <f t="shared" ref="L55:L57" si="38">+D55-H55</f>
        <v>0</v>
      </c>
      <c r="M55" s="1"/>
      <c r="N55" s="5">
        <f t="shared" ref="N55:N57" si="39">IF(H55=0,0,L55/H55)</f>
        <v>0</v>
      </c>
      <c r="O55" s="14"/>
      <c r="P55" s="1">
        <f>SUM(OSRRefP22_8x_0)</f>
        <v>-1053.52</v>
      </c>
      <c r="Q55" s="1"/>
      <c r="R55" s="5">
        <f t="shared" ref="R55:R57" si="40">IF(P$12=0,0,P55/P$12)</f>
        <v>0</v>
      </c>
      <c r="S55" s="1"/>
      <c r="T55" s="1">
        <f>SUM(OSRRefT22_8x_0)</f>
        <v>0</v>
      </c>
      <c r="U55" s="1"/>
      <c r="V55" s="5">
        <f t="shared" ref="V55:V57" si="41">IF(T$12=0,0,T55/T$12)</f>
        <v>0</v>
      </c>
      <c r="W55" s="1"/>
      <c r="X55" s="1">
        <f t="shared" ref="X55:X57" si="42">+P55-T55</f>
        <v>-1053.52</v>
      </c>
      <c r="Y55" s="1"/>
      <c r="Z55" s="5">
        <f t="shared" ref="Z55:Z57" si="43">IF(T55=0,0,X55/T55)</f>
        <v>0</v>
      </c>
    </row>
    <row r="56" spans="1:26" s="24" customFormat="1" hidden="1" outlineLevel="2" x14ac:dyDescent="0.35">
      <c r="A56" s="29"/>
      <c r="B56" s="11" t="str">
        <f>CONCATENATE("          ", "6282", " - ", "JANITORIAL/EXTERMINATOR EXPENS")</f>
        <v xml:space="preserve">          6282 - JANITORIAL/EXTERMINATOR EXPENS</v>
      </c>
      <c r="C56" s="11"/>
      <c r="D56" s="7"/>
      <c r="E56" s="2"/>
      <c r="F56" s="6">
        <f t="shared" si="36"/>
        <v>0</v>
      </c>
      <c r="G56" s="2"/>
      <c r="H56" s="7"/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-567.28</v>
      </c>
      <c r="Q56" s="2"/>
      <c r="R56" s="6">
        <f t="shared" si="40"/>
        <v>0</v>
      </c>
      <c r="S56" s="2"/>
      <c r="T56" s="7"/>
      <c r="U56" s="2"/>
      <c r="V56" s="6">
        <f t="shared" si="41"/>
        <v>0</v>
      </c>
      <c r="W56" s="2"/>
      <c r="X56" s="7">
        <f t="shared" si="42"/>
        <v>-567.28</v>
      </c>
      <c r="Y56" s="2"/>
      <c r="Z56" s="6">
        <f t="shared" si="43"/>
        <v>0</v>
      </c>
    </row>
    <row r="57" spans="1:26" s="24" customFormat="1" hidden="1" outlineLevel="2" x14ac:dyDescent="0.35">
      <c r="A57" s="29"/>
      <c r="B57" s="11" t="str">
        <f>CONCATENATE("          ", "6285", " - ", "JANITORIAL SERVICES")</f>
        <v xml:space="preserve">          6285 - JANITORIAL SERVICES</v>
      </c>
      <c r="C57" s="11"/>
      <c r="D57" s="7"/>
      <c r="E57" s="2"/>
      <c r="F57" s="6">
        <f t="shared" si="36"/>
        <v>0</v>
      </c>
      <c r="G57" s="2"/>
      <c r="H57" s="7">
        <v>0</v>
      </c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>
        <v>-486.24</v>
      </c>
      <c r="Q57" s="2"/>
      <c r="R57" s="6">
        <f t="shared" si="40"/>
        <v>0</v>
      </c>
      <c r="S57" s="2"/>
      <c r="T57" s="7">
        <v>0</v>
      </c>
      <c r="U57" s="2"/>
      <c r="V57" s="6">
        <f t="shared" si="41"/>
        <v>0</v>
      </c>
      <c r="W57" s="2"/>
      <c r="X57" s="7">
        <f t="shared" si="42"/>
        <v>-486.24</v>
      </c>
      <c r="Y57" s="2"/>
      <c r="Z57" s="6">
        <f t="shared" si="43"/>
        <v>0</v>
      </c>
    </row>
    <row r="58" spans="1:26" s="28" customFormat="1" outlineLevel="1" collapsed="1" x14ac:dyDescent="0.35">
      <c r="A58" s="27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SUM(OSRRefD22_9x_0)</f>
        <v>0</v>
      </c>
      <c r="E58" s="1"/>
      <c r="F58" s="5">
        <f t="shared" ref="F58:F62" si="44">IF(D$12=0,0,D58/D$12)</f>
        <v>0</v>
      </c>
      <c r="G58" s="1"/>
      <c r="H58" s="1">
        <f>SUM(OSRRefH22_9x_0)</f>
        <v>0</v>
      </c>
      <c r="I58" s="1"/>
      <c r="J58" s="5">
        <f t="shared" ref="J58:J62" si="45">IF(H$12=0,0,H58/H$12)</f>
        <v>0</v>
      </c>
      <c r="K58" s="1"/>
      <c r="L58" s="1">
        <f t="shared" ref="L58:L62" si="46">+D58-H58</f>
        <v>0</v>
      </c>
      <c r="M58" s="1"/>
      <c r="N58" s="5">
        <f t="shared" ref="N58:N62" si="47">IF(H58=0,0,L58/H58)</f>
        <v>0</v>
      </c>
      <c r="O58" s="14"/>
      <c r="P58" s="1">
        <f>SUM(OSRRefP22_9x_0)</f>
        <v>131.30000000000001</v>
      </c>
      <c r="Q58" s="1"/>
      <c r="R58" s="5">
        <f t="shared" ref="R58:R62" si="48">IF(P$12=0,0,P58/P$12)</f>
        <v>0</v>
      </c>
      <c r="S58" s="1"/>
      <c r="T58" s="1">
        <f>SUM(OSRRefT22_9x_0)</f>
        <v>0</v>
      </c>
      <c r="U58" s="1"/>
      <c r="V58" s="5">
        <f t="shared" ref="V58:V62" si="49">IF(T$12=0,0,T58/T$12)</f>
        <v>0</v>
      </c>
      <c r="W58" s="1"/>
      <c r="X58" s="1">
        <f t="shared" ref="X58:X62" si="50">+P58-T58</f>
        <v>131.30000000000001</v>
      </c>
      <c r="Y58" s="1"/>
      <c r="Z58" s="5">
        <f t="shared" ref="Z58:Z62" si="51">IF(T58=0,0,X58/T58)</f>
        <v>0</v>
      </c>
    </row>
    <row r="59" spans="1:26" s="24" customFormat="1" hidden="1" outlineLevel="2" x14ac:dyDescent="0.35">
      <c r="A59" s="29"/>
      <c r="B59" s="11" t="str">
        <f>CONCATENATE("          ", "6235", " - ", "COVID-19 EXPENSES")</f>
        <v xml:space="preserve">          6235 - COVID-19 EXPENSES</v>
      </c>
      <c r="C59" s="11"/>
      <c r="D59" s="7"/>
      <c r="E59" s="2"/>
      <c r="F59" s="6">
        <f t="shared" si="44"/>
        <v>0</v>
      </c>
      <c r="G59" s="2"/>
      <c r="H59" s="7">
        <v>0</v>
      </c>
      <c r="I59" s="2"/>
      <c r="J59" s="6">
        <f t="shared" si="45"/>
        <v>0</v>
      </c>
      <c r="K59" s="2"/>
      <c r="L59" s="7">
        <f t="shared" si="46"/>
        <v>0</v>
      </c>
      <c r="M59" s="2"/>
      <c r="N59" s="6">
        <f t="shared" si="47"/>
        <v>0</v>
      </c>
      <c r="O59" s="11"/>
      <c r="P59" s="7"/>
      <c r="Q59" s="2"/>
      <c r="R59" s="6">
        <f t="shared" si="48"/>
        <v>0</v>
      </c>
      <c r="S59" s="2"/>
      <c r="T59" s="7">
        <v>0</v>
      </c>
      <c r="U59" s="2"/>
      <c r="V59" s="6">
        <f t="shared" si="49"/>
        <v>0</v>
      </c>
      <c r="W59" s="2"/>
      <c r="X59" s="7">
        <f t="shared" si="50"/>
        <v>0</v>
      </c>
      <c r="Y59" s="2"/>
      <c r="Z59" s="6">
        <f t="shared" si="51"/>
        <v>0</v>
      </c>
    </row>
    <row r="60" spans="1:26" s="24" customFormat="1" hidden="1" outlineLevel="2" x14ac:dyDescent="0.35">
      <c r="A60" s="29"/>
      <c r="B60" s="11" t="str">
        <f>CONCATENATE("          ", "6241", " - ", "OFFICE EXPENSE")</f>
        <v xml:space="preserve">          6241 - OFFICE EXPENSE</v>
      </c>
      <c r="C60" s="11"/>
      <c r="D60" s="7"/>
      <c r="E60" s="2"/>
      <c r="F60" s="6">
        <f t="shared" si="44"/>
        <v>0</v>
      </c>
      <c r="G60" s="2"/>
      <c r="H60" s="7"/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>
        <v>131.30000000000001</v>
      </c>
      <c r="Q60" s="2"/>
      <c r="R60" s="6">
        <f t="shared" si="48"/>
        <v>0</v>
      </c>
      <c r="S60" s="2"/>
      <c r="T60" s="7"/>
      <c r="U60" s="2"/>
      <c r="V60" s="6">
        <f t="shared" si="49"/>
        <v>0</v>
      </c>
      <c r="W60" s="2"/>
      <c r="X60" s="7">
        <f t="shared" si="50"/>
        <v>131.30000000000001</v>
      </c>
      <c r="Y60" s="2"/>
      <c r="Z60" s="6">
        <f t="shared" si="51"/>
        <v>0</v>
      </c>
    </row>
    <row r="61" spans="1:26" s="24" customFormat="1" hidden="1" outlineLevel="2" x14ac:dyDescent="0.35">
      <c r="A61" s="29"/>
      <c r="B61" s="11" t="str">
        <f>CONCATENATE("          ", "6247", " - ", "STORE SUPPLIES")</f>
        <v xml:space="preserve">          6247 - STORE SUPPLIES</v>
      </c>
      <c r="C61" s="11"/>
      <c r="D61" s="7"/>
      <c r="E61" s="2"/>
      <c r="F61" s="6">
        <f t="shared" si="44"/>
        <v>0</v>
      </c>
      <c r="G61" s="2"/>
      <c r="H61" s="7">
        <v>0</v>
      </c>
      <c r="I61" s="2"/>
      <c r="J61" s="6">
        <f t="shared" si="45"/>
        <v>0</v>
      </c>
      <c r="K61" s="2"/>
      <c r="L61" s="7">
        <f t="shared" si="46"/>
        <v>0</v>
      </c>
      <c r="M61" s="2"/>
      <c r="N61" s="6">
        <f t="shared" si="47"/>
        <v>0</v>
      </c>
      <c r="O61" s="11"/>
      <c r="P61" s="7"/>
      <c r="Q61" s="2"/>
      <c r="R61" s="6">
        <f t="shared" si="48"/>
        <v>0</v>
      </c>
      <c r="S61" s="2"/>
      <c r="T61" s="7">
        <v>0</v>
      </c>
      <c r="U61" s="2"/>
      <c r="V61" s="6">
        <f t="shared" si="49"/>
        <v>0</v>
      </c>
      <c r="W61" s="2"/>
      <c r="X61" s="7">
        <f t="shared" si="50"/>
        <v>0</v>
      </c>
      <c r="Y61" s="2"/>
      <c r="Z61" s="6">
        <f t="shared" si="51"/>
        <v>0</v>
      </c>
    </row>
    <row r="62" spans="1:26" s="24" customFormat="1" hidden="1" outlineLevel="2" x14ac:dyDescent="0.35">
      <c r="A62" s="29"/>
      <c r="B62" s="11" t="str">
        <f>CONCATENATE("          ", "6248", " - ", "UNIFORMS")</f>
        <v xml:space="preserve">          6248 - UNIFORMS</v>
      </c>
      <c r="C62" s="11"/>
      <c r="D62" s="7"/>
      <c r="E62" s="2"/>
      <c r="F62" s="6">
        <f t="shared" si="44"/>
        <v>0</v>
      </c>
      <c r="G62" s="2"/>
      <c r="H62" s="7">
        <v>0</v>
      </c>
      <c r="I62" s="2"/>
      <c r="J62" s="6">
        <f t="shared" si="45"/>
        <v>0</v>
      </c>
      <c r="K62" s="2"/>
      <c r="L62" s="7">
        <f t="shared" si="46"/>
        <v>0</v>
      </c>
      <c r="M62" s="2"/>
      <c r="N62" s="6">
        <f t="shared" si="47"/>
        <v>0</v>
      </c>
      <c r="O62" s="11"/>
      <c r="P62" s="7"/>
      <c r="Q62" s="2"/>
      <c r="R62" s="6">
        <f t="shared" si="48"/>
        <v>0</v>
      </c>
      <c r="S62" s="2"/>
      <c r="T62" s="7">
        <v>0</v>
      </c>
      <c r="U62" s="2"/>
      <c r="V62" s="6">
        <f t="shared" si="49"/>
        <v>0</v>
      </c>
      <c r="W62" s="2"/>
      <c r="X62" s="7">
        <f t="shared" si="50"/>
        <v>0</v>
      </c>
      <c r="Y62" s="2"/>
      <c r="Z62" s="6">
        <f t="shared" si="51"/>
        <v>0</v>
      </c>
    </row>
    <row r="63" spans="1:26" s="28" customFormat="1" outlineLevel="1" collapsed="1" x14ac:dyDescent="0.35">
      <c r="A63" s="27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SUM(OSRRefD22_10x_0)</f>
        <v>0</v>
      </c>
      <c r="E63" s="1"/>
      <c r="F63" s="5">
        <f t="shared" ref="F63:F66" si="52">IF(D$12=0,0,D63/D$12)</f>
        <v>0</v>
      </c>
      <c r="G63" s="1"/>
      <c r="H63" s="1">
        <f>SUM(OSRRefH22_10x_0)</f>
        <v>0</v>
      </c>
      <c r="I63" s="1"/>
      <c r="J63" s="5">
        <f t="shared" ref="J63:J66" si="53">IF(H$12=0,0,H63/H$12)</f>
        <v>0</v>
      </c>
      <c r="K63" s="1"/>
      <c r="L63" s="1">
        <f t="shared" ref="L63:L66" si="54">+D63-H63</f>
        <v>0</v>
      </c>
      <c r="M63" s="1"/>
      <c r="N63" s="5">
        <f t="shared" ref="N63:N66" si="55">IF(H63=0,0,L63/H63)</f>
        <v>0</v>
      </c>
      <c r="O63" s="14"/>
      <c r="P63" s="1">
        <f>SUM(OSRRefP22_10x_0)</f>
        <v>85.2</v>
      </c>
      <c r="Q63" s="1"/>
      <c r="R63" s="5">
        <f t="shared" ref="R63:R66" si="56">IF(P$12=0,0,P63/P$12)</f>
        <v>0</v>
      </c>
      <c r="S63" s="1"/>
      <c r="T63" s="1">
        <f>SUM(OSRRefT22_10x_0)</f>
        <v>0</v>
      </c>
      <c r="U63" s="1"/>
      <c r="V63" s="5">
        <f t="shared" ref="V63:V66" si="57">IF(T$12=0,0,T63/T$12)</f>
        <v>0</v>
      </c>
      <c r="W63" s="1"/>
      <c r="X63" s="1">
        <f t="shared" ref="X63:X66" si="58">+P63-T63</f>
        <v>85.2</v>
      </c>
      <c r="Y63" s="1"/>
      <c r="Z63" s="5">
        <f t="shared" ref="Z63:Z66" si="59">IF(T63=0,0,X63/T63)</f>
        <v>0</v>
      </c>
    </row>
    <row r="64" spans="1:26" s="24" customFormat="1" hidden="1" outlineLevel="2" x14ac:dyDescent="0.35">
      <c r="A64" s="29"/>
      <c r="B64" s="11" t="str">
        <f>CONCATENATE("          ", "6309", " - ", "TELEPHONE")</f>
        <v xml:space="preserve">          6309 - TELEPHONE</v>
      </c>
      <c r="C64" s="11"/>
      <c r="D64" s="7"/>
      <c r="E64" s="2"/>
      <c r="F64" s="6">
        <f t="shared" si="52"/>
        <v>0</v>
      </c>
      <c r="G64" s="2"/>
      <c r="H64" s="7"/>
      <c r="I64" s="2"/>
      <c r="J64" s="6">
        <f t="shared" si="53"/>
        <v>0</v>
      </c>
      <c r="K64" s="2"/>
      <c r="L64" s="7">
        <f t="shared" si="54"/>
        <v>0</v>
      </c>
      <c r="M64" s="2"/>
      <c r="N64" s="6">
        <f t="shared" si="55"/>
        <v>0</v>
      </c>
      <c r="O64" s="11"/>
      <c r="P64" s="7">
        <v>85.2</v>
      </c>
      <c r="Q64" s="2"/>
      <c r="R64" s="6">
        <f t="shared" si="56"/>
        <v>0</v>
      </c>
      <c r="S64" s="2"/>
      <c r="T64" s="7"/>
      <c r="U64" s="2"/>
      <c r="V64" s="6">
        <f t="shared" si="57"/>
        <v>0</v>
      </c>
      <c r="W64" s="2"/>
      <c r="X64" s="7">
        <f t="shared" si="58"/>
        <v>85.2</v>
      </c>
      <c r="Y64" s="2"/>
      <c r="Z64" s="6">
        <f t="shared" si="59"/>
        <v>0</v>
      </c>
    </row>
    <row r="65" spans="1:26" s="28" customFormat="1" outlineLevel="1" collapsed="1" x14ac:dyDescent="0.35">
      <c r="A65" s="27"/>
      <c r="B65" s="14" t="str">
        <f>CONCATENATE("     ","Utilities                                         ")</f>
        <v xml:space="preserve">     Utilities                                         </v>
      </c>
      <c r="C65" s="14"/>
      <c r="D65" s="1">
        <f>SUM(OSRRefD22_11x_0)</f>
        <v>208</v>
      </c>
      <c r="E65" s="1"/>
      <c r="F65" s="5">
        <f t="shared" si="52"/>
        <v>0</v>
      </c>
      <c r="G65" s="1"/>
      <c r="H65" s="1">
        <f>SUM(OSRRefH22_11x_0)</f>
        <v>0</v>
      </c>
      <c r="I65" s="1"/>
      <c r="J65" s="5">
        <f t="shared" si="53"/>
        <v>0</v>
      </c>
      <c r="K65" s="1"/>
      <c r="L65" s="1">
        <f t="shared" si="54"/>
        <v>208</v>
      </c>
      <c r="M65" s="1"/>
      <c r="N65" s="5">
        <f t="shared" si="55"/>
        <v>0</v>
      </c>
      <c r="O65" s="14"/>
      <c r="P65" s="1">
        <f>SUM(OSRRefP22_11x_0)</f>
        <v>832</v>
      </c>
      <c r="Q65" s="1"/>
      <c r="R65" s="5">
        <f t="shared" si="56"/>
        <v>0</v>
      </c>
      <c r="S65" s="1"/>
      <c r="T65" s="1">
        <f>SUM(OSRRefT22_11x_0)</f>
        <v>0</v>
      </c>
      <c r="U65" s="1"/>
      <c r="V65" s="5">
        <f t="shared" si="57"/>
        <v>0</v>
      </c>
      <c r="W65" s="1"/>
      <c r="X65" s="1">
        <f t="shared" si="58"/>
        <v>832</v>
      </c>
      <c r="Y65" s="1"/>
      <c r="Z65" s="5">
        <f t="shared" si="59"/>
        <v>0</v>
      </c>
    </row>
    <row r="66" spans="1:26" s="24" customFormat="1" hidden="1" outlineLevel="2" x14ac:dyDescent="0.35">
      <c r="A66" s="29"/>
      <c r="B66" s="11" t="str">
        <f>CONCATENATE("          ", "6274", " - ", "UTILITIES")</f>
        <v xml:space="preserve">          6274 - UTILITIES</v>
      </c>
      <c r="C66" s="11"/>
      <c r="D66" s="7">
        <v>208</v>
      </c>
      <c r="E66" s="2"/>
      <c r="F66" s="6">
        <f t="shared" si="52"/>
        <v>0</v>
      </c>
      <c r="G66" s="2"/>
      <c r="H66" s="7">
        <v>0</v>
      </c>
      <c r="I66" s="2"/>
      <c r="J66" s="6">
        <f t="shared" si="53"/>
        <v>0</v>
      </c>
      <c r="K66" s="2"/>
      <c r="L66" s="7">
        <f t="shared" si="54"/>
        <v>208</v>
      </c>
      <c r="M66" s="2"/>
      <c r="N66" s="6">
        <f t="shared" si="55"/>
        <v>0</v>
      </c>
      <c r="O66" s="11"/>
      <c r="P66" s="7">
        <v>832</v>
      </c>
      <c r="Q66" s="2"/>
      <c r="R66" s="6">
        <f t="shared" si="56"/>
        <v>0</v>
      </c>
      <c r="S66" s="2"/>
      <c r="T66" s="7">
        <v>0</v>
      </c>
      <c r="U66" s="2"/>
      <c r="V66" s="6">
        <f t="shared" si="57"/>
        <v>0</v>
      </c>
      <c r="W66" s="2"/>
      <c r="X66" s="7">
        <f t="shared" si="58"/>
        <v>832</v>
      </c>
      <c r="Y66" s="2"/>
      <c r="Z66" s="6">
        <f t="shared" si="59"/>
        <v>0</v>
      </c>
    </row>
    <row r="67" spans="1:26" s="55" customFormat="1" x14ac:dyDescent="0.3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35">
      <c r="A68" s="10"/>
      <c r="B68" s="25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3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35">
      <c r="A70" s="10"/>
      <c r="B70" s="26" t="s">
        <v>3</v>
      </c>
      <c r="C70" s="26"/>
      <c r="D70" s="19">
        <f>+D19-D21+D68</f>
        <v>-2225.34</v>
      </c>
      <c r="E70" s="13"/>
      <c r="F70" s="21">
        <f>IF(D$12=0,0,D70/D$12)</f>
        <v>0</v>
      </c>
      <c r="G70" s="13"/>
      <c r="H70" s="19">
        <f>+H19-H21+H68</f>
        <v>-2017</v>
      </c>
      <c r="I70" s="13"/>
      <c r="J70" s="21">
        <f>IF(H$12=0,0,H70/H$12)</f>
        <v>0</v>
      </c>
      <c r="K70" s="16"/>
      <c r="L70" s="19">
        <f>+D70-H70</f>
        <v>-208.34000000000015</v>
      </c>
      <c r="M70" s="16"/>
      <c r="N70" s="21">
        <f>IF(H70=0,0,L70/H70)</f>
        <v>0.10329201784828961</v>
      </c>
      <c r="O70" s="25"/>
      <c r="P70" s="19">
        <f>+P19-P21+P68</f>
        <v>-16793.299999999996</v>
      </c>
      <c r="Q70" s="13"/>
      <c r="R70" s="21">
        <f>IF(P$12=0,0,P70/P$12)</f>
        <v>0</v>
      </c>
      <c r="S70" s="13"/>
      <c r="T70" s="19">
        <f>+T19-T21+T68</f>
        <v>-14119</v>
      </c>
      <c r="U70" s="13"/>
      <c r="V70" s="21">
        <f>IF(T$12=0,0,T70/T$12)</f>
        <v>0</v>
      </c>
      <c r="W70" s="16"/>
      <c r="X70" s="19">
        <f>+P70-T70</f>
        <v>-2674.2999999999956</v>
      </c>
      <c r="Y70" s="16"/>
      <c r="Z70" s="21">
        <f>IF(T70=0,0,X70/T70)</f>
        <v>0.1894114314044901</v>
      </c>
    </row>
    <row r="71" spans="1:26" x14ac:dyDescent="0.3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35">
      <c r="A72" s="52"/>
      <c r="B72" s="10" t="s">
        <v>14</v>
      </c>
      <c r="C72" s="10"/>
      <c r="D72" s="4"/>
      <c r="E72" s="4"/>
      <c r="F72" s="12">
        <f>IF(D$12=0,0,D72/D$12)</f>
        <v>0</v>
      </c>
      <c r="G72" s="4"/>
      <c r="H72" s="4"/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/>
      <c r="Q72" s="4"/>
      <c r="R72" s="12">
        <f>IF(P$12=0,0,P72/P$12)</f>
        <v>0</v>
      </c>
      <c r="S72" s="4"/>
      <c r="T72" s="4"/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3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" thickBot="1" x14ac:dyDescent="0.4">
      <c r="A74" s="10"/>
      <c r="B74" s="26" t="s">
        <v>4</v>
      </c>
      <c r="C74" s="26"/>
      <c r="D74" s="33">
        <f>+D70-D72</f>
        <v>-2225.34</v>
      </c>
      <c r="E74" s="13"/>
      <c r="F74" s="31">
        <f>IF(D$12=0,0,D74/D$12)</f>
        <v>0</v>
      </c>
      <c r="G74" s="13"/>
      <c r="H74" s="33">
        <f>+H70-H72</f>
        <v>-2017</v>
      </c>
      <c r="I74" s="13"/>
      <c r="J74" s="31">
        <f>IF(H$12=0,0,H74/H$12)</f>
        <v>0</v>
      </c>
      <c r="K74" s="16"/>
      <c r="L74" s="33">
        <f>D74-H74</f>
        <v>-208.34000000000015</v>
      </c>
      <c r="M74" s="16"/>
      <c r="N74" s="31">
        <f>IF(H74=0,0,L74/H74)</f>
        <v>0.10329201784828961</v>
      </c>
      <c r="O74" s="25"/>
      <c r="P74" s="33">
        <f>+P70-P72</f>
        <v>-16793.299999999996</v>
      </c>
      <c r="Q74" s="13"/>
      <c r="R74" s="31">
        <f>IF(P$12=0,0,P74/P$12)</f>
        <v>0</v>
      </c>
      <c r="S74" s="13"/>
      <c r="T74" s="33">
        <f>+T70-T72</f>
        <v>-14119</v>
      </c>
      <c r="U74" s="13"/>
      <c r="V74" s="31">
        <f>IF(T$12=0,0,T74/T$12)</f>
        <v>0</v>
      </c>
      <c r="W74" s="16"/>
      <c r="X74" s="33">
        <f>P74-T74</f>
        <v>-2674.2999999999956</v>
      </c>
      <c r="Y74" s="16"/>
      <c r="Z74" s="31">
        <f>IF(T74=0,0,X74/T74)</f>
        <v>0.1894114314044901</v>
      </c>
    </row>
    <row r="75" spans="1:26" ht="15" thickTop="1" x14ac:dyDescent="0.3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3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" thickBot="1" x14ac:dyDescent="0.4">
      <c r="A77" s="10"/>
      <c r="B77" s="26" t="s">
        <v>5</v>
      </c>
      <c r="C77" s="26"/>
      <c r="D77" s="34">
        <f>SUM(D74:D76)</f>
        <v>-2225.34</v>
      </c>
      <c r="E77" s="13"/>
      <c r="F77" s="32">
        <f>IF(D$12=0,0,D77/D$12)</f>
        <v>0</v>
      </c>
      <c r="G77" s="13"/>
      <c r="H77" s="34">
        <f>SUM(H74:H76)</f>
        <v>-2017</v>
      </c>
      <c r="I77" s="13"/>
      <c r="J77" s="32">
        <f>IF(H$12=0,0,H77/H$12)</f>
        <v>0</v>
      </c>
      <c r="K77" s="16"/>
      <c r="L77" s="34">
        <f>+D77-H77</f>
        <v>-208.34000000000015</v>
      </c>
      <c r="M77" s="16"/>
      <c r="N77" s="32">
        <f>IF(H77=0,0,L77/H77)</f>
        <v>0.10329201784828961</v>
      </c>
      <c r="O77" s="25"/>
      <c r="P77" s="34">
        <f>SUM(P74:P76)</f>
        <v>-16793.299999999996</v>
      </c>
      <c r="Q77" s="13"/>
      <c r="R77" s="32">
        <f>IF(P$12=0,0,P77/P$12)</f>
        <v>0</v>
      </c>
      <c r="S77" s="13"/>
      <c r="T77" s="34">
        <f>SUM(T74:T76)</f>
        <v>-14119</v>
      </c>
      <c r="U77" s="13"/>
      <c r="V77" s="32">
        <f>IF(T$12=0,0,T77/T$12)</f>
        <v>0</v>
      </c>
      <c r="W77" s="16"/>
      <c r="X77" s="34">
        <f>+P77-T77</f>
        <v>-2674.2999999999956</v>
      </c>
      <c r="Y77" s="16"/>
      <c r="Z77" s="32">
        <f>IF(T77=0,0,X77/T77)</f>
        <v>0.1894114314044901</v>
      </c>
    </row>
    <row r="78" spans="1:26" ht="15" thickTop="1" x14ac:dyDescent="0.35">
      <c r="A78" s="9"/>
      <c r="C78" s="9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35">
      <c r="A79" s="9"/>
      <c r="B79" s="60">
        <v>44238.490562233797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35">
      <c r="A80" s="9"/>
      <c r="B80" s="59" t="s">
        <v>314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35">
      <c r="A81" s="9"/>
      <c r="B81" s="58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35"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299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","325", " - ", "Outpost C-Store")</f>
        <v>Department 325 - Outpost C-Store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24769</v>
      </c>
      <c r="I12" s="4"/>
      <c r="J12" s="12"/>
      <c r="K12" s="4"/>
      <c r="L12" s="4">
        <f t="shared" ref="L12:L14" si="0">+D12-H12</f>
        <v>-24769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114488</v>
      </c>
      <c r="U12" s="4"/>
      <c r="V12" s="12"/>
      <c r="W12" s="4"/>
      <c r="X12" s="4">
        <f t="shared" ref="X12:X14" si="2">+P12-T12</f>
        <v>-114488</v>
      </c>
      <c r="Y12" s="4"/>
      <c r="Z12" s="12">
        <f t="shared" ref="Z12:Z14" si="3">IF(T12=0,0,X12/T12)</f>
        <v>-1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4390</v>
      </c>
      <c r="I13" s="2"/>
      <c r="J13" s="22"/>
      <c r="K13" s="2"/>
      <c r="L13" s="2">
        <f t="shared" si="0"/>
        <v>-4390</v>
      </c>
      <c r="M13" s="2"/>
      <c r="N13" s="22">
        <f t="shared" si="1"/>
        <v>-1</v>
      </c>
      <c r="O13" s="11"/>
      <c r="P13" s="2">
        <f t="shared" ref="P13:P14" si="5">0</f>
        <v>0</v>
      </c>
      <c r="Q13" s="2"/>
      <c r="R13" s="22"/>
      <c r="S13" s="2"/>
      <c r="T13" s="2">
        <v>20737</v>
      </c>
      <c r="U13" s="2"/>
      <c r="V13" s="22"/>
      <c r="W13" s="2"/>
      <c r="X13" s="2">
        <f t="shared" si="2"/>
        <v>-20737</v>
      </c>
      <c r="Y13" s="2"/>
      <c r="Z13" s="22">
        <f t="shared" si="3"/>
        <v>-1</v>
      </c>
    </row>
    <row r="14" spans="1:26" s="24" customFormat="1" hidden="1" outlineLevel="1" x14ac:dyDescent="0.3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20379</v>
      </c>
      <c r="I14" s="2"/>
      <c r="J14" s="22"/>
      <c r="K14" s="2"/>
      <c r="L14" s="2">
        <f t="shared" si="0"/>
        <v>-20379</v>
      </c>
      <c r="M14" s="2"/>
      <c r="N14" s="22">
        <f t="shared" si="1"/>
        <v>-1</v>
      </c>
      <c r="O14" s="11"/>
      <c r="P14" s="2">
        <f t="shared" si="5"/>
        <v>0</v>
      </c>
      <c r="Q14" s="2"/>
      <c r="R14" s="22"/>
      <c r="S14" s="2"/>
      <c r="T14" s="2">
        <v>93751</v>
      </c>
      <c r="U14" s="2"/>
      <c r="V14" s="22"/>
      <c r="W14" s="2"/>
      <c r="X14" s="2">
        <f t="shared" si="2"/>
        <v>-93751</v>
      </c>
      <c r="Y14" s="2"/>
      <c r="Z14" s="22">
        <f t="shared" si="3"/>
        <v>-1</v>
      </c>
    </row>
    <row r="15" spans="1:26" x14ac:dyDescent="0.3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9" si="6">IF(D$12=0,0,D16/D$12)</f>
        <v>0</v>
      </c>
      <c r="G16" s="4"/>
      <c r="H16" s="4">
        <f>SUM(OSRRefH16x_0)</f>
        <v>11889</v>
      </c>
      <c r="I16" s="4"/>
      <c r="J16" s="12">
        <f t="shared" ref="J16:J19" si="7">IF(H$12=0,0,H16/H$12)</f>
        <v>0.47999515523436553</v>
      </c>
      <c r="K16" s="4"/>
      <c r="L16" s="4">
        <f t="shared" ref="L16:L19" si="8">+D16-H16</f>
        <v>-11889</v>
      </c>
      <c r="M16" s="4"/>
      <c r="N16" s="12">
        <f t="shared" ref="N16:N19" si="9">IF(H16=0,0,L16/H16)</f>
        <v>-1</v>
      </c>
      <c r="O16" s="10"/>
      <c r="P16" s="4">
        <f>SUM(OSRRefP16x_0)</f>
        <v>10641.24</v>
      </c>
      <c r="Q16" s="4"/>
      <c r="R16" s="12">
        <f t="shared" ref="R16:R19" si="10">IF(P$12=0,0,P16/P$12)</f>
        <v>0</v>
      </c>
      <c r="S16" s="4"/>
      <c r="T16" s="4">
        <f>SUM(OSRRefT16x_0)</f>
        <v>44003</v>
      </c>
      <c r="U16" s="4"/>
      <c r="V16" s="12">
        <f t="shared" ref="V16:V19" si="11">IF(T$12=0,0,T16/T$12)</f>
        <v>0.38434595765495072</v>
      </c>
      <c r="W16" s="4"/>
      <c r="X16" s="4">
        <f t="shared" ref="X16:X19" si="12">+P16-T16</f>
        <v>-33361.760000000002</v>
      </c>
      <c r="Y16" s="4"/>
      <c r="Z16" s="12">
        <f t="shared" ref="Z16:Z19" si="13">IF(T16=0,0,X16/T16)</f>
        <v>-0.75817012476422063</v>
      </c>
    </row>
    <row r="17" spans="1:26" s="24" customFormat="1" hidden="1" outlineLevel="1" x14ac:dyDescent="0.3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11889</v>
      </c>
      <c r="I17" s="2"/>
      <c r="J17" s="22">
        <f t="shared" si="7"/>
        <v>0.47999515523436553</v>
      </c>
      <c r="K17" s="2"/>
      <c r="L17" s="2">
        <f t="shared" si="8"/>
        <v>-11889</v>
      </c>
      <c r="M17" s="2"/>
      <c r="N17" s="22">
        <f t="shared" si="9"/>
        <v>-1</v>
      </c>
      <c r="O17" s="11"/>
      <c r="P17" s="2"/>
      <c r="Q17" s="2"/>
      <c r="R17" s="22">
        <f t="shared" si="10"/>
        <v>0</v>
      </c>
      <c r="S17" s="2"/>
      <c r="T17" s="2">
        <v>44003</v>
      </c>
      <c r="U17" s="2"/>
      <c r="V17" s="22">
        <f t="shared" si="11"/>
        <v>0.38434595765495072</v>
      </c>
      <c r="W17" s="2"/>
      <c r="X17" s="2">
        <f t="shared" si="12"/>
        <v>-44003</v>
      </c>
      <c r="Y17" s="2"/>
      <c r="Z17" s="22">
        <f t="shared" si="13"/>
        <v>-1</v>
      </c>
    </row>
    <row r="18" spans="1:26" s="24" customFormat="1" hidden="1" outlineLevel="1" x14ac:dyDescent="0.35">
      <c r="A18" s="51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22">
        <f t="shared" si="6"/>
        <v>0</v>
      </c>
      <c r="G18" s="2"/>
      <c r="H18" s="2"/>
      <c r="I18" s="2"/>
      <c r="J18" s="22">
        <f t="shared" si="7"/>
        <v>0</v>
      </c>
      <c r="K18" s="2"/>
      <c r="L18" s="2">
        <f t="shared" si="8"/>
        <v>0</v>
      </c>
      <c r="M18" s="2"/>
      <c r="N18" s="22">
        <f t="shared" si="9"/>
        <v>0</v>
      </c>
      <c r="O18" s="11"/>
      <c r="P18" s="2">
        <v>-987.76</v>
      </c>
      <c r="Q18" s="2"/>
      <c r="R18" s="22">
        <f t="shared" si="10"/>
        <v>0</v>
      </c>
      <c r="S18" s="2"/>
      <c r="T18" s="2"/>
      <c r="U18" s="2"/>
      <c r="V18" s="22">
        <f t="shared" si="11"/>
        <v>0</v>
      </c>
      <c r="W18" s="2"/>
      <c r="X18" s="2">
        <f t="shared" si="12"/>
        <v>-987.76</v>
      </c>
      <c r="Y18" s="2"/>
      <c r="Z18" s="22">
        <f t="shared" si="13"/>
        <v>0</v>
      </c>
    </row>
    <row r="19" spans="1:26" s="24" customFormat="1" hidden="1" outlineLevel="1" x14ac:dyDescent="0.35">
      <c r="A19" s="51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22">
        <f t="shared" si="6"/>
        <v>0</v>
      </c>
      <c r="G19" s="2"/>
      <c r="H19" s="2"/>
      <c r="I19" s="2"/>
      <c r="J19" s="22">
        <f t="shared" si="7"/>
        <v>0</v>
      </c>
      <c r="K19" s="2"/>
      <c r="L19" s="2">
        <f t="shared" si="8"/>
        <v>0</v>
      </c>
      <c r="M19" s="2"/>
      <c r="N19" s="22">
        <f t="shared" si="9"/>
        <v>0</v>
      </c>
      <c r="O19" s="11"/>
      <c r="P19" s="2">
        <v>11629</v>
      </c>
      <c r="Q19" s="2"/>
      <c r="R19" s="22">
        <f t="shared" si="10"/>
        <v>0</v>
      </c>
      <c r="S19" s="2"/>
      <c r="T19" s="2"/>
      <c r="U19" s="2"/>
      <c r="V19" s="22">
        <f t="shared" si="11"/>
        <v>0</v>
      </c>
      <c r="W19" s="2"/>
      <c r="X19" s="2">
        <f t="shared" si="12"/>
        <v>11629</v>
      </c>
      <c r="Y19" s="2"/>
      <c r="Z19" s="22">
        <f t="shared" si="13"/>
        <v>0</v>
      </c>
    </row>
    <row r="20" spans="1:26" x14ac:dyDescent="0.3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5">
      <c r="A21" s="10"/>
      <c r="B21" s="26" t="s">
        <v>6</v>
      </c>
      <c r="C21" s="26"/>
      <c r="D21" s="19">
        <f>D12-D16</f>
        <v>0</v>
      </c>
      <c r="E21" s="13"/>
      <c r="F21" s="21">
        <f>IF(D$12=0,0,D21/D$12)</f>
        <v>0</v>
      </c>
      <c r="G21" s="13"/>
      <c r="H21" s="19">
        <f>H12-H16</f>
        <v>12880</v>
      </c>
      <c r="I21" s="13"/>
      <c r="J21" s="21">
        <f>IF(H$12=0,0,H21/H$12)</f>
        <v>0.52000484476563447</v>
      </c>
      <c r="K21" s="16"/>
      <c r="L21" s="19">
        <f>+D21-H21</f>
        <v>-12880</v>
      </c>
      <c r="M21" s="16"/>
      <c r="N21" s="21">
        <f>IF(H21=0,0,L21/H21)</f>
        <v>-1</v>
      </c>
      <c r="O21" s="25"/>
      <c r="P21" s="19">
        <f>P12-P16</f>
        <v>-10641.24</v>
      </c>
      <c r="Q21" s="13"/>
      <c r="R21" s="21">
        <f>IF(P$12=0,0,P21/P$12)</f>
        <v>0</v>
      </c>
      <c r="S21" s="13"/>
      <c r="T21" s="19">
        <f>T12-T16</f>
        <v>70485</v>
      </c>
      <c r="U21" s="13"/>
      <c r="V21" s="21">
        <f>IF(T$12=0,0,T21/T$12)</f>
        <v>0.61565404234504928</v>
      </c>
      <c r="W21" s="16"/>
      <c r="X21" s="19">
        <f>+P21-T21</f>
        <v>-81126.240000000005</v>
      </c>
      <c r="Y21" s="16"/>
      <c r="Z21" s="21">
        <f>IF(T21=0,0,X21/T21)</f>
        <v>-1.1509716961055545</v>
      </c>
    </row>
    <row r="22" spans="1:26" x14ac:dyDescent="0.3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5">
      <c r="A23" s="10"/>
      <c r="B23" s="25" t="s">
        <v>9</v>
      </c>
      <c r="C23" s="10"/>
      <c r="D23" s="20">
        <f>SUM(OSRRefD22x_0)</f>
        <v>11903.55</v>
      </c>
      <c r="E23" s="20"/>
      <c r="F23" s="30">
        <f t="shared" ref="F23:F32" si="14">IF(D$12=0,0,D23/D$12)</f>
        <v>0</v>
      </c>
      <c r="G23" s="20"/>
      <c r="H23" s="20">
        <f>SUM(OSRRefH22x_0)</f>
        <v>27266.902040000001</v>
      </c>
      <c r="I23" s="20"/>
      <c r="J23" s="30">
        <f t="shared" ref="J23:J32" si="15">IF(H$12=0,0,H23/H$12)</f>
        <v>1.1008479163470468</v>
      </c>
      <c r="K23" s="4"/>
      <c r="L23" s="20">
        <f t="shared" ref="L23:L32" si="16">+D23-H23</f>
        <v>-15363.352040000002</v>
      </c>
      <c r="M23" s="4"/>
      <c r="N23" s="30">
        <f t="shared" ref="N23:N32" si="17">IF(H23=0,0,L23/H23)</f>
        <v>-0.56344325502993597</v>
      </c>
      <c r="O23" s="10"/>
      <c r="P23" s="20">
        <f>SUM(OSRRefP22x_0)</f>
        <v>80433.570000000007</v>
      </c>
      <c r="Q23" s="20"/>
      <c r="R23" s="30">
        <f t="shared" ref="R23:R32" si="18">IF(P$12=0,0,P23/P$12)</f>
        <v>0</v>
      </c>
      <c r="S23" s="20"/>
      <c r="T23" s="20">
        <f>SUM(OSRRefT22x_0)</f>
        <v>191326.02340000001</v>
      </c>
      <c r="U23" s="20"/>
      <c r="V23" s="30">
        <f t="shared" ref="V23:V32" si="19">IF(T$12=0,0,T23/T$12)</f>
        <v>1.671144778492069</v>
      </c>
      <c r="W23" s="4"/>
      <c r="X23" s="20">
        <f t="shared" ref="X23:X32" si="20">+P23-T23</f>
        <v>-110892.4534</v>
      </c>
      <c r="Y23" s="4"/>
      <c r="Z23" s="30">
        <f t="shared" ref="Z23:Z32" si="21">IF(T23=0,0,X23/T23)</f>
        <v>-0.57959942630574735</v>
      </c>
    </row>
    <row r="24" spans="1:26" s="28" customFormat="1" outlineLevel="1" collapsed="1" x14ac:dyDescent="0.3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0</v>
      </c>
      <c r="E24" s="1"/>
      <c r="F24" s="5">
        <f t="shared" si="14"/>
        <v>0</v>
      </c>
      <c r="G24" s="1"/>
      <c r="H24" s="1">
        <f>SUM(OSRRefH22_0x_0)</f>
        <v>3757.0100400000006</v>
      </c>
      <c r="I24" s="1"/>
      <c r="J24" s="5">
        <f t="shared" si="15"/>
        <v>0.15168194275101946</v>
      </c>
      <c r="K24" s="1"/>
      <c r="L24" s="1">
        <f t="shared" si="16"/>
        <v>-3757.0100400000006</v>
      </c>
      <c r="M24" s="1"/>
      <c r="N24" s="5">
        <f t="shared" si="17"/>
        <v>-1</v>
      </c>
      <c r="O24" s="14"/>
      <c r="P24" s="1">
        <f>SUM(OSRRefP22_0x_0)</f>
        <v>2889.72</v>
      </c>
      <c r="Q24" s="1"/>
      <c r="R24" s="5">
        <f t="shared" si="18"/>
        <v>0</v>
      </c>
      <c r="S24" s="1"/>
      <c r="T24" s="1">
        <f>SUM(OSRRefT22_0x_0)</f>
        <v>24464.279399999999</v>
      </c>
      <c r="U24" s="1"/>
      <c r="V24" s="5">
        <f t="shared" si="19"/>
        <v>0.21368422367409684</v>
      </c>
      <c r="W24" s="1"/>
      <c r="X24" s="1">
        <f t="shared" si="20"/>
        <v>-21574.559399999998</v>
      </c>
      <c r="Y24" s="1"/>
      <c r="Z24" s="5">
        <f t="shared" si="21"/>
        <v>-0.88188002790713704</v>
      </c>
    </row>
    <row r="25" spans="1:26" s="24" customFormat="1" hidden="1" outlineLevel="2" x14ac:dyDescent="0.35">
      <c r="A25" s="29"/>
      <c r="B25" s="11" t="str">
        <f>CONCATENATE("          ", "6111", " - ", "F.I.C.A.")</f>
        <v xml:space="preserve">          6111 - F.I.C.A.</v>
      </c>
      <c r="C25" s="11"/>
      <c r="D25" s="7"/>
      <c r="E25" s="2"/>
      <c r="F25" s="6">
        <f t="shared" si="14"/>
        <v>0</v>
      </c>
      <c r="G25" s="2"/>
      <c r="H25" s="7">
        <v>429.79248000000001</v>
      </c>
      <c r="I25" s="2"/>
      <c r="J25" s="6">
        <f t="shared" si="15"/>
        <v>1.7352031975453187E-2</v>
      </c>
      <c r="K25" s="2"/>
      <c r="L25" s="7">
        <f t="shared" si="16"/>
        <v>-429.79248000000001</v>
      </c>
      <c r="M25" s="2"/>
      <c r="N25" s="6">
        <f t="shared" si="17"/>
        <v>-1</v>
      </c>
      <c r="O25" s="11"/>
      <c r="P25" s="7">
        <v>159.12</v>
      </c>
      <c r="Q25" s="2"/>
      <c r="R25" s="6">
        <f t="shared" si="18"/>
        <v>0</v>
      </c>
      <c r="S25" s="2"/>
      <c r="T25" s="7">
        <v>2558.8570800000002</v>
      </c>
      <c r="U25" s="2"/>
      <c r="V25" s="6">
        <f t="shared" si="19"/>
        <v>2.2350439172664386E-2</v>
      </c>
      <c r="W25" s="2"/>
      <c r="X25" s="7">
        <f t="shared" si="20"/>
        <v>-2399.7370800000003</v>
      </c>
      <c r="Y25" s="2"/>
      <c r="Z25" s="6">
        <f t="shared" si="21"/>
        <v>-0.93781598775340747</v>
      </c>
    </row>
    <row r="26" spans="1:26" s="24" customFormat="1" hidden="1" outlineLevel="2" x14ac:dyDescent="0.35">
      <c r="A26" s="29"/>
      <c r="B26" s="11" t="str">
        <f>CONCATENATE("          ", "6112", " - ", "COMPENSATION INSURANCE")</f>
        <v xml:space="preserve">          6112 - COMPENSATION INSURANCE</v>
      </c>
      <c r="C26" s="11"/>
      <c r="D26" s="7"/>
      <c r="E26" s="2"/>
      <c r="F26" s="6">
        <f t="shared" si="14"/>
        <v>0</v>
      </c>
      <c r="G26" s="2"/>
      <c r="H26" s="7">
        <v>170.5626</v>
      </c>
      <c r="I26" s="2"/>
      <c r="J26" s="6">
        <f t="shared" si="15"/>
        <v>6.8861318583713516E-3</v>
      </c>
      <c r="K26" s="2"/>
      <c r="L26" s="7">
        <f t="shared" si="16"/>
        <v>-170.5626</v>
      </c>
      <c r="M26" s="2"/>
      <c r="N26" s="6">
        <f t="shared" si="17"/>
        <v>-1</v>
      </c>
      <c r="O26" s="11"/>
      <c r="P26" s="7"/>
      <c r="Q26" s="2"/>
      <c r="R26" s="6">
        <f t="shared" si="18"/>
        <v>0</v>
      </c>
      <c r="S26" s="2"/>
      <c r="T26" s="7">
        <v>1068.3972000000001</v>
      </c>
      <c r="U26" s="2"/>
      <c r="V26" s="6">
        <f t="shared" si="19"/>
        <v>9.3319579344560144E-3</v>
      </c>
      <c r="W26" s="2"/>
      <c r="X26" s="7">
        <f t="shared" si="20"/>
        <v>-1068.3972000000001</v>
      </c>
      <c r="Y26" s="2"/>
      <c r="Z26" s="6">
        <f t="shared" si="21"/>
        <v>-1</v>
      </c>
    </row>
    <row r="27" spans="1:26" s="24" customFormat="1" hidden="1" outlineLevel="2" x14ac:dyDescent="0.35">
      <c r="A27" s="29"/>
      <c r="B27" s="11" t="str">
        <f>CONCATENATE("          ", "6113", " - ", "GROUP INSURANCE")</f>
        <v xml:space="preserve">          6113 - GROUP INSURANCE</v>
      </c>
      <c r="C27" s="11"/>
      <c r="D27" s="7"/>
      <c r="E27" s="2"/>
      <c r="F27" s="6">
        <f t="shared" si="14"/>
        <v>0</v>
      </c>
      <c r="G27" s="2"/>
      <c r="H27" s="7">
        <v>1980</v>
      </c>
      <c r="I27" s="2"/>
      <c r="J27" s="6">
        <f t="shared" si="15"/>
        <v>7.9938632968630144E-2</v>
      </c>
      <c r="K27" s="2"/>
      <c r="L27" s="7">
        <f t="shared" si="16"/>
        <v>-1980</v>
      </c>
      <c r="M27" s="2"/>
      <c r="N27" s="6">
        <f t="shared" si="17"/>
        <v>-1</v>
      </c>
      <c r="O27" s="11"/>
      <c r="P27" s="7">
        <v>1915.63</v>
      </c>
      <c r="Q27" s="2"/>
      <c r="R27" s="6">
        <f t="shared" si="18"/>
        <v>0</v>
      </c>
      <c r="S27" s="2"/>
      <c r="T27" s="7">
        <v>13860</v>
      </c>
      <c r="U27" s="2"/>
      <c r="V27" s="6">
        <f t="shared" si="19"/>
        <v>0.12106072252113759</v>
      </c>
      <c r="W27" s="2"/>
      <c r="X27" s="7">
        <f t="shared" si="20"/>
        <v>-11944.369999999999</v>
      </c>
      <c r="Y27" s="2"/>
      <c r="Z27" s="6">
        <f t="shared" si="21"/>
        <v>-0.86178715728715727</v>
      </c>
    </row>
    <row r="28" spans="1:26" s="24" customFormat="1" hidden="1" outlineLevel="2" x14ac:dyDescent="0.35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7"/>
      <c r="E28" s="2"/>
      <c r="F28" s="6">
        <f t="shared" si="14"/>
        <v>0</v>
      </c>
      <c r="G28" s="2"/>
      <c r="H28" s="7">
        <v>23.970960000000002</v>
      </c>
      <c r="I28" s="2"/>
      <c r="J28" s="6">
        <f t="shared" si="15"/>
        <v>9.6778069360894676E-4</v>
      </c>
      <c r="K28" s="2"/>
      <c r="L28" s="7">
        <f t="shared" si="16"/>
        <v>-23.970960000000002</v>
      </c>
      <c r="M28" s="2"/>
      <c r="N28" s="6">
        <f t="shared" si="17"/>
        <v>-1</v>
      </c>
      <c r="O28" s="11"/>
      <c r="P28" s="7"/>
      <c r="Q28" s="2"/>
      <c r="R28" s="6">
        <f t="shared" si="18"/>
        <v>0</v>
      </c>
      <c r="S28" s="2"/>
      <c r="T28" s="7">
        <v>150.15312</v>
      </c>
      <c r="U28" s="2"/>
      <c r="V28" s="6">
        <f t="shared" si="19"/>
        <v>1.3115184124100343E-3</v>
      </c>
      <c r="W28" s="2"/>
      <c r="X28" s="7">
        <f t="shared" si="20"/>
        <v>-150.15312</v>
      </c>
      <c r="Y28" s="2"/>
      <c r="Z28" s="6">
        <f t="shared" si="21"/>
        <v>-1</v>
      </c>
    </row>
    <row r="29" spans="1:26" s="24" customFormat="1" hidden="1" outlineLevel="2" x14ac:dyDescent="0.35">
      <c r="A29" s="29"/>
      <c r="B29" s="11" t="str">
        <f>CONCATENATE("          ", "6115", " - ", "P.E.R.S.")</f>
        <v xml:space="preserve">          6115 - P.E.R.S.</v>
      </c>
      <c r="C29" s="11"/>
      <c r="D29" s="7"/>
      <c r="E29" s="2"/>
      <c r="F29" s="6">
        <f t="shared" si="14"/>
        <v>0</v>
      </c>
      <c r="G29" s="2"/>
      <c r="H29" s="7">
        <v>482.976</v>
      </c>
      <c r="I29" s="2"/>
      <c r="J29" s="6">
        <f t="shared" si="15"/>
        <v>1.94992127255844E-2</v>
      </c>
      <c r="K29" s="2"/>
      <c r="L29" s="7">
        <f t="shared" si="16"/>
        <v>-482.976</v>
      </c>
      <c r="M29" s="2"/>
      <c r="N29" s="6">
        <f t="shared" si="17"/>
        <v>-1</v>
      </c>
      <c r="O29" s="11"/>
      <c r="P29" s="7">
        <v>458.89</v>
      </c>
      <c r="Q29" s="2"/>
      <c r="R29" s="6">
        <f t="shared" si="18"/>
        <v>0</v>
      </c>
      <c r="S29" s="2"/>
      <c r="T29" s="7">
        <v>2808.4160000000002</v>
      </c>
      <c r="U29" s="2"/>
      <c r="V29" s="6">
        <f t="shared" si="19"/>
        <v>2.4530221507930963E-2</v>
      </c>
      <c r="W29" s="2"/>
      <c r="X29" s="7">
        <f t="shared" si="20"/>
        <v>-2349.5260000000003</v>
      </c>
      <c r="Y29" s="2"/>
      <c r="Z29" s="6">
        <f t="shared" si="21"/>
        <v>-0.83660184246208547</v>
      </c>
    </row>
    <row r="30" spans="1:26" s="24" customFormat="1" hidden="1" outlineLevel="2" x14ac:dyDescent="0.35">
      <c r="A30" s="29"/>
      <c r="B30" s="11" t="str">
        <f>CONCATENATE("          ", "6116", " - ", "EDUCATIONAL BENEFITS")</f>
        <v xml:space="preserve">          6116 - EDUCATIONAL BENEFITS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/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0</v>
      </c>
      <c r="Y30" s="2"/>
      <c r="Z30" s="6">
        <f t="shared" si="21"/>
        <v>0</v>
      </c>
    </row>
    <row r="31" spans="1:26" s="24" customFormat="1" hidden="1" outlineLevel="2" x14ac:dyDescent="0.35">
      <c r="A31" s="29"/>
      <c r="B31" s="11" t="str">
        <f>CONCATENATE("          ", "6118", " - ", "VACATION")</f>
        <v xml:space="preserve">          6118 - VACATION</v>
      </c>
      <c r="C31" s="11"/>
      <c r="D31" s="7"/>
      <c r="E31" s="2"/>
      <c r="F31" s="6">
        <f t="shared" si="14"/>
        <v>0</v>
      </c>
      <c r="G31" s="2"/>
      <c r="H31" s="7">
        <v>280.8</v>
      </c>
      <c r="I31" s="2"/>
      <c r="J31" s="6">
        <f t="shared" si="15"/>
        <v>1.1336751584642094E-2</v>
      </c>
      <c r="K31" s="2"/>
      <c r="L31" s="7">
        <f t="shared" si="16"/>
        <v>-280.8</v>
      </c>
      <c r="M31" s="2"/>
      <c r="N31" s="6">
        <f t="shared" si="17"/>
        <v>-1</v>
      </c>
      <c r="O31" s="11"/>
      <c r="P31" s="7">
        <v>152.1</v>
      </c>
      <c r="Q31" s="2"/>
      <c r="R31" s="6">
        <f t="shared" si="18"/>
        <v>0</v>
      </c>
      <c r="S31" s="2"/>
      <c r="T31" s="7">
        <v>1632.8</v>
      </c>
      <c r="U31" s="2"/>
      <c r="V31" s="6">
        <f t="shared" si="19"/>
        <v>1.4261756690657535E-2</v>
      </c>
      <c r="W31" s="2"/>
      <c r="X31" s="7">
        <f t="shared" si="20"/>
        <v>-1480.7</v>
      </c>
      <c r="Y31" s="2"/>
      <c r="Z31" s="6">
        <f t="shared" si="21"/>
        <v>-0.90684713375796189</v>
      </c>
    </row>
    <row r="32" spans="1:26" s="24" customFormat="1" hidden="1" outlineLevel="2" x14ac:dyDescent="0.35">
      <c r="A32" s="29"/>
      <c r="B32" s="11" t="str">
        <f>CONCATENATE("          ", "6119", " - ", "SICK LEAVE")</f>
        <v xml:space="preserve">          6119 - SICK LEAVE</v>
      </c>
      <c r="C32" s="11"/>
      <c r="D32" s="7"/>
      <c r="E32" s="2"/>
      <c r="F32" s="6">
        <f t="shared" si="14"/>
        <v>0</v>
      </c>
      <c r="G32" s="2"/>
      <c r="H32" s="7">
        <v>388.90800000000002</v>
      </c>
      <c r="I32" s="2"/>
      <c r="J32" s="6">
        <f t="shared" si="15"/>
        <v>1.5701400944729299E-2</v>
      </c>
      <c r="K32" s="2"/>
      <c r="L32" s="7">
        <f t="shared" si="16"/>
        <v>-388.90800000000002</v>
      </c>
      <c r="M32" s="2"/>
      <c r="N32" s="6">
        <f t="shared" si="17"/>
        <v>-1</v>
      </c>
      <c r="O32" s="11"/>
      <c r="P32" s="7">
        <v>203.98</v>
      </c>
      <c r="Q32" s="2"/>
      <c r="R32" s="6">
        <f t="shared" si="18"/>
        <v>0</v>
      </c>
      <c r="S32" s="2"/>
      <c r="T32" s="7">
        <v>2385.6559999999999</v>
      </c>
      <c r="U32" s="2"/>
      <c r="V32" s="6">
        <f t="shared" si="19"/>
        <v>2.0837607434840331E-2</v>
      </c>
      <c r="W32" s="2"/>
      <c r="X32" s="7">
        <f t="shared" si="20"/>
        <v>-2181.6759999999999</v>
      </c>
      <c r="Y32" s="2"/>
      <c r="Z32" s="6">
        <f t="shared" si="21"/>
        <v>-0.91449731226966502</v>
      </c>
    </row>
    <row r="33" spans="1:26" s="28" customFormat="1" outlineLevel="1" collapsed="1" x14ac:dyDescent="0.35">
      <c r="A33" s="27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0</v>
      </c>
      <c r="E33" s="1"/>
      <c r="F33" s="5">
        <f t="shared" ref="F33:F43" si="22">IF(D$12=0,0,D33/D$12)</f>
        <v>0</v>
      </c>
      <c r="G33" s="1"/>
      <c r="H33" s="1">
        <f>SUM(OSRRefH22_1x_0)</f>
        <v>8549.8919999999998</v>
      </c>
      <c r="I33" s="1"/>
      <c r="J33" s="5">
        <f t="shared" ref="J33:J43" si="23">IF(H$12=0,0,H33/H$12)</f>
        <v>0.3451851911663773</v>
      </c>
      <c r="K33" s="1"/>
      <c r="L33" s="1">
        <f t="shared" ref="L33:L43" si="24">+D33-H33</f>
        <v>-8549.8919999999998</v>
      </c>
      <c r="M33" s="1"/>
      <c r="N33" s="5">
        <f t="shared" ref="N33:N43" si="25">IF(H33=0,0,L33/H33)</f>
        <v>-1</v>
      </c>
      <c r="O33" s="14"/>
      <c r="P33" s="1">
        <f>SUM(OSRRefP22_1x_0)</f>
        <v>884</v>
      </c>
      <c r="Q33" s="1"/>
      <c r="R33" s="5">
        <f t="shared" ref="R33:R43" si="26">IF(P$12=0,0,P33/P$12)</f>
        <v>0</v>
      </c>
      <c r="S33" s="1"/>
      <c r="T33" s="1">
        <f>SUM(OSRRefT22_1x_0)</f>
        <v>53732.743999999999</v>
      </c>
      <c r="U33" s="1"/>
      <c r="V33" s="5">
        <f t="shared" ref="V33:V43" si="27">IF(T$12=0,0,T33/T$12)</f>
        <v>0.46933079449374604</v>
      </c>
      <c r="W33" s="1"/>
      <c r="X33" s="1">
        <f t="shared" ref="X33:X43" si="28">+P33-T33</f>
        <v>-52848.743999999999</v>
      </c>
      <c r="Y33" s="1"/>
      <c r="Z33" s="5">
        <f t="shared" ref="Z33:Z43" si="29">IF(T33=0,0,X33/T33)</f>
        <v>-0.98354820665775045</v>
      </c>
    </row>
    <row r="34" spans="1:26" s="24" customFormat="1" hidden="1" outlineLevel="2" x14ac:dyDescent="0.35">
      <c r="A34" s="29"/>
      <c r="B34" s="11" t="str">
        <f>CONCATENATE("          ", "6001", " - ", "ADMINISTRATIVE SALARIES")</f>
        <v xml:space="preserve">          6001 - ADMINISTRATIVE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35">
      <c r="A35" s="29"/>
      <c r="B35" s="11" t="str">
        <f>CONCATENATE("          ", "6002", " - ", "STAFF SALARIES")</f>
        <v xml:space="preserve">          6002 - STAFF SALARIES</v>
      </c>
      <c r="C35" s="11"/>
      <c r="D35" s="7"/>
      <c r="E35" s="2"/>
      <c r="F35" s="6">
        <f t="shared" si="22"/>
        <v>0</v>
      </c>
      <c r="G35" s="2"/>
      <c r="H35" s="7">
        <v>5054.3999999999996</v>
      </c>
      <c r="I35" s="2"/>
      <c r="J35" s="6">
        <f t="shared" si="23"/>
        <v>0.20406152852355766</v>
      </c>
      <c r="K35" s="2"/>
      <c r="L35" s="7">
        <f t="shared" si="24"/>
        <v>-5054.3999999999996</v>
      </c>
      <c r="M35" s="2"/>
      <c r="N35" s="6">
        <f t="shared" si="25"/>
        <v>-1</v>
      </c>
      <c r="O35" s="11"/>
      <c r="P35" s="7">
        <v>884</v>
      </c>
      <c r="Q35" s="2"/>
      <c r="R35" s="6">
        <f t="shared" si="26"/>
        <v>0</v>
      </c>
      <c r="S35" s="2"/>
      <c r="T35" s="7">
        <v>29390.400000000001</v>
      </c>
      <c r="U35" s="2"/>
      <c r="V35" s="6">
        <f t="shared" si="27"/>
        <v>0.25671162043183565</v>
      </c>
      <c r="W35" s="2"/>
      <c r="X35" s="7">
        <f t="shared" si="28"/>
        <v>-28506.400000000001</v>
      </c>
      <c r="Y35" s="2"/>
      <c r="Z35" s="6">
        <f t="shared" si="29"/>
        <v>-0.96992215145081384</v>
      </c>
    </row>
    <row r="36" spans="1:26" s="24" customFormat="1" hidden="1" outlineLevel="2" x14ac:dyDescent="0.35">
      <c r="A36" s="29"/>
      <c r="B36" s="11" t="str">
        <f>CONCATENATE("          ", "6003", " - ", "STAFF HOURLY-9 MONTH")</f>
        <v xml:space="preserve">          6003 - STAFF HOURLY-9 MONTH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35">
      <c r="A37" s="29"/>
      <c r="B37" s="11" t="str">
        <f>CONCATENATE("          ", "6004", " - ", "STAFF HOURLY")</f>
        <v xml:space="preserve">          6004 - STAFF HOURLY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35">
      <c r="A38" s="29"/>
      <c r="B38" s="11" t="str">
        <f>CONCATENATE("          ", "6005", " - ", "TEMPORARY WAGES-HOURLY")</f>
        <v xml:space="preserve">          6005 - TEMPORARY WAGES-HOURLY</v>
      </c>
      <c r="C38" s="11"/>
      <c r="D38" s="7"/>
      <c r="E38" s="2"/>
      <c r="F38" s="6">
        <f t="shared" si="22"/>
        <v>0</v>
      </c>
      <c r="G38" s="2"/>
      <c r="H38" s="7">
        <v>907.92</v>
      </c>
      <c r="I38" s="2"/>
      <c r="J38" s="6">
        <f t="shared" si="23"/>
        <v>3.6655496790342766E-2</v>
      </c>
      <c r="K38" s="2"/>
      <c r="L38" s="7">
        <f t="shared" si="24"/>
        <v>-907.92</v>
      </c>
      <c r="M38" s="2"/>
      <c r="N38" s="6">
        <f t="shared" si="25"/>
        <v>-1</v>
      </c>
      <c r="O38" s="11"/>
      <c r="P38" s="7"/>
      <c r="Q38" s="2"/>
      <c r="R38" s="6">
        <f t="shared" si="26"/>
        <v>0</v>
      </c>
      <c r="S38" s="2"/>
      <c r="T38" s="7">
        <v>8224.2420000000002</v>
      </c>
      <c r="U38" s="2"/>
      <c r="V38" s="6">
        <f t="shared" si="27"/>
        <v>7.1834969603801271E-2</v>
      </c>
      <c r="W38" s="2"/>
      <c r="X38" s="7">
        <f t="shared" si="28"/>
        <v>-8224.2420000000002</v>
      </c>
      <c r="Y38" s="2"/>
      <c r="Z38" s="6">
        <f t="shared" si="29"/>
        <v>-1</v>
      </c>
    </row>
    <row r="39" spans="1:26" s="24" customFormat="1" hidden="1" outlineLevel="2" x14ac:dyDescent="0.35">
      <c r="A39" s="29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35">
      <c r="A40" s="29"/>
      <c r="B40" s="11" t="str">
        <f>CONCATENATE("          ", "6007", " - ", "STUDENT HOURLY")</f>
        <v xml:space="preserve">          6007 - STUDENT HOURLY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756.6</v>
      </c>
      <c r="U40" s="2"/>
      <c r="V40" s="6">
        <f t="shared" si="27"/>
        <v>6.6085528614352601E-3</v>
      </c>
      <c r="W40" s="2"/>
      <c r="X40" s="7">
        <f t="shared" si="28"/>
        <v>-756.6</v>
      </c>
      <c r="Y40" s="2"/>
      <c r="Z40" s="6">
        <f t="shared" si="29"/>
        <v>-1</v>
      </c>
    </row>
    <row r="41" spans="1:26" s="24" customFormat="1" hidden="1" outlineLevel="2" x14ac:dyDescent="0.35">
      <c r="A41" s="29"/>
      <c r="B41" s="11" t="str">
        <f>CONCATENATE("          ", "6008", " - ", "STUDENT HOURLY-FICA EXEMPT")</f>
        <v xml:space="preserve">          6008 - STUDENT HOURLY-FICA EXEMPT</v>
      </c>
      <c r="C41" s="11"/>
      <c r="D41" s="7"/>
      <c r="E41" s="2"/>
      <c r="F41" s="6">
        <f t="shared" si="22"/>
        <v>0</v>
      </c>
      <c r="G41" s="2"/>
      <c r="H41" s="7">
        <v>2587.5720000000001</v>
      </c>
      <c r="I41" s="2"/>
      <c r="J41" s="6">
        <f t="shared" si="23"/>
        <v>0.1044681658524769</v>
      </c>
      <c r="K41" s="2"/>
      <c r="L41" s="7">
        <f t="shared" si="24"/>
        <v>-2587.5720000000001</v>
      </c>
      <c r="M41" s="2"/>
      <c r="N41" s="6">
        <f t="shared" si="25"/>
        <v>-1</v>
      </c>
      <c r="O41" s="11"/>
      <c r="P41" s="7"/>
      <c r="Q41" s="2"/>
      <c r="R41" s="6">
        <f t="shared" si="26"/>
        <v>0</v>
      </c>
      <c r="S41" s="2"/>
      <c r="T41" s="7">
        <v>15361.502000000002</v>
      </c>
      <c r="U41" s="2"/>
      <c r="V41" s="6">
        <f t="shared" si="27"/>
        <v>0.13417565159667391</v>
      </c>
      <c r="W41" s="2"/>
      <c r="X41" s="7">
        <f t="shared" si="28"/>
        <v>-15361.502000000002</v>
      </c>
      <c r="Y41" s="2"/>
      <c r="Z41" s="6">
        <f t="shared" si="29"/>
        <v>-1</v>
      </c>
    </row>
    <row r="42" spans="1:26" s="24" customFormat="1" hidden="1" outlineLevel="2" x14ac:dyDescent="0.35">
      <c r="A42" s="29"/>
      <c r="B42" s="11" t="str">
        <f>CONCATENATE("          ", "6009", " - ", "TEMPORARY-SEASONAL")</f>
        <v xml:space="preserve">          6009 - TEMPORARY-SEASONAL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4" customFormat="1" hidden="1" outlineLevel="2" x14ac:dyDescent="0.35">
      <c r="A43" s="29"/>
      <c r="B43" s="11" t="str">
        <f>CONCATENATE("          ", "6010", " - ", "GRATUITY")</f>
        <v xml:space="preserve">          6010 - GRATUITY</v>
      </c>
      <c r="C43" s="11"/>
      <c r="D43" s="7"/>
      <c r="E43" s="2"/>
      <c r="F43" s="6">
        <f t="shared" si="22"/>
        <v>0</v>
      </c>
      <c r="G43" s="2"/>
      <c r="H43" s="7">
        <v>0</v>
      </c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/>
      <c r="Q43" s="2"/>
      <c r="R43" s="6">
        <f t="shared" si="26"/>
        <v>0</v>
      </c>
      <c r="S43" s="2"/>
      <c r="T43" s="7">
        <v>0</v>
      </c>
      <c r="U43" s="2"/>
      <c r="V43" s="6">
        <f t="shared" si="27"/>
        <v>0</v>
      </c>
      <c r="W43" s="2"/>
      <c r="X43" s="7">
        <f t="shared" si="28"/>
        <v>0</v>
      </c>
      <c r="Y43" s="2"/>
      <c r="Z43" s="6">
        <f t="shared" si="29"/>
        <v>0</v>
      </c>
    </row>
    <row r="44" spans="1:26" s="28" customFormat="1" outlineLevel="1" collapsed="1" x14ac:dyDescent="0.35">
      <c r="A44" s="27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52" si="30">IF(D$12=0,0,D44/D$12)</f>
        <v>0</v>
      </c>
      <c r="G44" s="1"/>
      <c r="H44" s="1">
        <f>SUM(OSRRefH22_2x_0)</f>
        <v>12</v>
      </c>
      <c r="I44" s="1"/>
      <c r="J44" s="5">
        <f t="shared" ref="J44:J52" si="31">IF(H$12=0,0,H44/H$12)</f>
        <v>4.8447656344624329E-4</v>
      </c>
      <c r="K44" s="1"/>
      <c r="L44" s="1">
        <f t="shared" ref="L44:L52" si="32">+D44-H44</f>
        <v>-12</v>
      </c>
      <c r="M44" s="1"/>
      <c r="N44" s="5">
        <f t="shared" ref="N44:N52" si="33">IF(H44=0,0,L44/H44)</f>
        <v>-1</v>
      </c>
      <c r="O44" s="14"/>
      <c r="P44" s="1">
        <f>SUM(OSRRefP22_2x_0)</f>
        <v>0</v>
      </c>
      <c r="Q44" s="1"/>
      <c r="R44" s="5">
        <f t="shared" ref="R44:R52" si="34">IF(P$12=0,0,P44/P$12)</f>
        <v>0</v>
      </c>
      <c r="S44" s="1"/>
      <c r="T44" s="1">
        <f>SUM(OSRRefT22_2x_0)</f>
        <v>730</v>
      </c>
      <c r="U44" s="1"/>
      <c r="V44" s="5">
        <f t="shared" ref="V44:V52" si="35">IF(T$12=0,0,T44/T$12)</f>
        <v>6.3762141010411571E-3</v>
      </c>
      <c r="W44" s="1"/>
      <c r="X44" s="1">
        <f t="shared" ref="X44:X52" si="36">+P44-T44</f>
        <v>-730</v>
      </c>
      <c r="Y44" s="1"/>
      <c r="Z44" s="5">
        <f t="shared" ref="Z44:Z52" si="37">IF(T44=0,0,X44/T44)</f>
        <v>-1</v>
      </c>
    </row>
    <row r="45" spans="1:26" s="24" customFormat="1" hidden="1" outlineLevel="2" x14ac:dyDescent="0.35">
      <c r="A45" s="29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30"/>
        <v>0</v>
      </c>
      <c r="G45" s="2"/>
      <c r="H45" s="7">
        <v>12</v>
      </c>
      <c r="I45" s="2"/>
      <c r="J45" s="6">
        <f t="shared" si="31"/>
        <v>4.8447656344624329E-4</v>
      </c>
      <c r="K45" s="2"/>
      <c r="L45" s="7">
        <f t="shared" si="32"/>
        <v>-12</v>
      </c>
      <c r="M45" s="2"/>
      <c r="N45" s="6">
        <f t="shared" si="33"/>
        <v>-1</v>
      </c>
      <c r="O45" s="11"/>
      <c r="P45" s="7"/>
      <c r="Q45" s="2"/>
      <c r="R45" s="6">
        <f t="shared" si="34"/>
        <v>0</v>
      </c>
      <c r="S45" s="2"/>
      <c r="T45" s="7">
        <v>730</v>
      </c>
      <c r="U45" s="2"/>
      <c r="V45" s="6">
        <f t="shared" si="35"/>
        <v>6.3762141010411571E-3</v>
      </c>
      <c r="W45" s="2"/>
      <c r="X45" s="7">
        <f t="shared" si="36"/>
        <v>-730</v>
      </c>
      <c r="Y45" s="2"/>
      <c r="Z45" s="6">
        <f t="shared" si="37"/>
        <v>-1</v>
      </c>
    </row>
    <row r="46" spans="1:26" s="28" customFormat="1" outlineLevel="1" collapsed="1" x14ac:dyDescent="0.35">
      <c r="A46" s="27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0</v>
      </c>
      <c r="E46" s="1"/>
      <c r="F46" s="5">
        <f t="shared" si="30"/>
        <v>0</v>
      </c>
      <c r="G46" s="1"/>
      <c r="H46" s="1">
        <f>SUM(OSRRefH22_3x_0)</f>
        <v>5</v>
      </c>
      <c r="I46" s="1"/>
      <c r="J46" s="5">
        <f t="shared" si="31"/>
        <v>2.0186523476926804E-4</v>
      </c>
      <c r="K46" s="1"/>
      <c r="L46" s="1">
        <f t="shared" si="32"/>
        <v>-5</v>
      </c>
      <c r="M46" s="1"/>
      <c r="N46" s="5">
        <f t="shared" si="33"/>
        <v>-1</v>
      </c>
      <c r="O46" s="14"/>
      <c r="P46" s="1">
        <f>SUM(OSRRefP22_3x_0)</f>
        <v>0</v>
      </c>
      <c r="Q46" s="1"/>
      <c r="R46" s="5">
        <f t="shared" si="34"/>
        <v>0</v>
      </c>
      <c r="S46" s="1"/>
      <c r="T46" s="1">
        <f>SUM(OSRRefT22_3x_0)</f>
        <v>59</v>
      </c>
      <c r="U46" s="1"/>
      <c r="V46" s="5">
        <f t="shared" si="35"/>
        <v>5.1533785200195655E-4</v>
      </c>
      <c r="W46" s="1"/>
      <c r="X46" s="1">
        <f t="shared" si="36"/>
        <v>-59</v>
      </c>
      <c r="Y46" s="1"/>
      <c r="Z46" s="5">
        <f t="shared" si="37"/>
        <v>-1</v>
      </c>
    </row>
    <row r="47" spans="1:26" s="24" customFormat="1" hidden="1" outlineLevel="2" x14ac:dyDescent="0.35">
      <c r="A47" s="29"/>
      <c r="B47" s="11" t="str">
        <f>CONCATENATE("          ", "6272", " - ", "CASH (OVER/SHORT)")</f>
        <v xml:space="preserve">          6272 - CASH (OVER/SHORT)</v>
      </c>
      <c r="C47" s="11"/>
      <c r="D47" s="7"/>
      <c r="E47" s="2"/>
      <c r="F47" s="6">
        <f t="shared" si="30"/>
        <v>0</v>
      </c>
      <c r="G47" s="2"/>
      <c r="H47" s="7">
        <v>5</v>
      </c>
      <c r="I47" s="2"/>
      <c r="J47" s="6">
        <f t="shared" si="31"/>
        <v>2.0186523476926804E-4</v>
      </c>
      <c r="K47" s="2"/>
      <c r="L47" s="7">
        <f t="shared" si="32"/>
        <v>-5</v>
      </c>
      <c r="M47" s="2"/>
      <c r="N47" s="6">
        <f t="shared" si="33"/>
        <v>-1</v>
      </c>
      <c r="O47" s="11"/>
      <c r="P47" s="7"/>
      <c r="Q47" s="2"/>
      <c r="R47" s="6">
        <f t="shared" si="34"/>
        <v>0</v>
      </c>
      <c r="S47" s="2"/>
      <c r="T47" s="7">
        <v>59</v>
      </c>
      <c r="U47" s="2"/>
      <c r="V47" s="6">
        <f t="shared" si="35"/>
        <v>5.1533785200195655E-4</v>
      </c>
      <c r="W47" s="2"/>
      <c r="X47" s="7">
        <f t="shared" si="36"/>
        <v>-59</v>
      </c>
      <c r="Y47" s="2"/>
      <c r="Z47" s="6">
        <f t="shared" si="37"/>
        <v>-1</v>
      </c>
    </row>
    <row r="48" spans="1:26" s="28" customFormat="1" outlineLevel="1" collapsed="1" x14ac:dyDescent="0.35">
      <c r="A48" s="27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0</v>
      </c>
      <c r="E48" s="1"/>
      <c r="F48" s="5">
        <f t="shared" si="30"/>
        <v>0</v>
      </c>
      <c r="G48" s="1"/>
      <c r="H48" s="1">
        <f>SUM(OSRRefH22_4x_0)</f>
        <v>2046</v>
      </c>
      <c r="I48" s="1"/>
      <c r="J48" s="5">
        <f t="shared" si="31"/>
        <v>8.2603254067584481E-2</v>
      </c>
      <c r="K48" s="1"/>
      <c r="L48" s="1">
        <f t="shared" si="32"/>
        <v>-2046</v>
      </c>
      <c r="M48" s="1"/>
      <c r="N48" s="5">
        <f t="shared" si="33"/>
        <v>-1</v>
      </c>
      <c r="O48" s="14"/>
      <c r="P48" s="1">
        <f>SUM(OSRRefP22_4x_0)</f>
        <v>0</v>
      </c>
      <c r="Q48" s="1"/>
      <c r="R48" s="5">
        <f t="shared" si="34"/>
        <v>0</v>
      </c>
      <c r="S48" s="1"/>
      <c r="T48" s="1">
        <f>SUM(OSRRefT22_4x_0)</f>
        <v>16382</v>
      </c>
      <c r="U48" s="1"/>
      <c r="V48" s="5">
        <f t="shared" si="35"/>
        <v>0.14308923205925511</v>
      </c>
      <c r="W48" s="1"/>
      <c r="X48" s="1">
        <f t="shared" si="36"/>
        <v>-16382</v>
      </c>
      <c r="Y48" s="1"/>
      <c r="Z48" s="5">
        <f t="shared" si="37"/>
        <v>-1</v>
      </c>
    </row>
    <row r="49" spans="1:26" s="24" customFormat="1" hidden="1" outlineLevel="2" x14ac:dyDescent="0.35">
      <c r="A49" s="29"/>
      <c r="B49" s="11" t="str">
        <f>CONCATENATE("          ", "6381", " - ", "BANK/CREDIT CARD FEES")</f>
        <v xml:space="preserve">          6381 - BANK/CREDIT CARD FEES</v>
      </c>
      <c r="C49" s="11"/>
      <c r="D49" s="7"/>
      <c r="E49" s="2"/>
      <c r="F49" s="6">
        <f t="shared" si="30"/>
        <v>0</v>
      </c>
      <c r="G49" s="2"/>
      <c r="H49" s="7">
        <v>2046</v>
      </c>
      <c r="I49" s="2"/>
      <c r="J49" s="6">
        <f t="shared" si="31"/>
        <v>8.2603254067584481E-2</v>
      </c>
      <c r="K49" s="2"/>
      <c r="L49" s="7">
        <f t="shared" si="32"/>
        <v>-2046</v>
      </c>
      <c r="M49" s="2"/>
      <c r="N49" s="6">
        <f t="shared" si="33"/>
        <v>-1</v>
      </c>
      <c r="O49" s="11"/>
      <c r="P49" s="7"/>
      <c r="Q49" s="2"/>
      <c r="R49" s="6">
        <f t="shared" si="34"/>
        <v>0</v>
      </c>
      <c r="S49" s="2"/>
      <c r="T49" s="7">
        <v>16382</v>
      </c>
      <c r="U49" s="2"/>
      <c r="V49" s="6">
        <f t="shared" si="35"/>
        <v>0.14308923205925511</v>
      </c>
      <c r="W49" s="2"/>
      <c r="X49" s="7">
        <f t="shared" si="36"/>
        <v>-16382</v>
      </c>
      <c r="Y49" s="2"/>
      <c r="Z49" s="6">
        <f t="shared" si="37"/>
        <v>-1</v>
      </c>
    </row>
    <row r="50" spans="1:26" s="28" customFormat="1" outlineLevel="1" collapsed="1" x14ac:dyDescent="0.35">
      <c r="A50" s="27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5471.21</v>
      </c>
      <c r="E50" s="1"/>
      <c r="F50" s="5">
        <f t="shared" si="30"/>
        <v>0</v>
      </c>
      <c r="G50" s="1"/>
      <c r="H50" s="1">
        <f>SUM(OSRRefH22_5x_0)</f>
        <v>5471</v>
      </c>
      <c r="I50" s="1"/>
      <c r="J50" s="5">
        <f t="shared" si="31"/>
        <v>0.22088093988453308</v>
      </c>
      <c r="K50" s="1"/>
      <c r="L50" s="1">
        <f t="shared" si="32"/>
        <v>0.21000000000003638</v>
      </c>
      <c r="M50" s="1"/>
      <c r="N50" s="5">
        <f t="shared" si="33"/>
        <v>3.8384207640291792E-5</v>
      </c>
      <c r="O50" s="14"/>
      <c r="P50" s="1">
        <f>SUM(OSRRefP22_5x_0)</f>
        <v>38743.97</v>
      </c>
      <c r="Q50" s="1"/>
      <c r="R50" s="5">
        <f t="shared" si="34"/>
        <v>0</v>
      </c>
      <c r="S50" s="1"/>
      <c r="T50" s="1">
        <f>SUM(OSRRefT22_5x_0)</f>
        <v>38745</v>
      </c>
      <c r="U50" s="1"/>
      <c r="V50" s="5">
        <f t="shared" si="35"/>
        <v>0.33841974704772554</v>
      </c>
      <c r="W50" s="1"/>
      <c r="X50" s="1">
        <f t="shared" si="36"/>
        <v>-1.0299999999988358</v>
      </c>
      <c r="Y50" s="1"/>
      <c r="Z50" s="5">
        <f t="shared" si="37"/>
        <v>-2.6584075364533124E-5</v>
      </c>
    </row>
    <row r="51" spans="1:26" s="24" customFormat="1" hidden="1" outlineLevel="2" x14ac:dyDescent="0.35">
      <c r="A51" s="29"/>
      <c r="B51" s="11" t="str">
        <f>CONCATENATE("          ", "6321", " - ", "BUILDING DEPRECIATION")</f>
        <v xml:space="preserve">          6321 - BUILDING DEPRECIATION</v>
      </c>
      <c r="C51" s="11"/>
      <c r="D51" s="7">
        <v>5080.51</v>
      </c>
      <c r="E51" s="2"/>
      <c r="F51" s="6">
        <f t="shared" si="30"/>
        <v>0</v>
      </c>
      <c r="G51" s="2"/>
      <c r="H51" s="7"/>
      <c r="I51" s="2"/>
      <c r="J51" s="6">
        <f t="shared" si="31"/>
        <v>0</v>
      </c>
      <c r="K51" s="2"/>
      <c r="L51" s="7">
        <f t="shared" si="32"/>
        <v>5080.51</v>
      </c>
      <c r="M51" s="2"/>
      <c r="N51" s="6">
        <f t="shared" si="33"/>
        <v>0</v>
      </c>
      <c r="O51" s="11"/>
      <c r="P51" s="7">
        <v>35563.57</v>
      </c>
      <c r="Q51" s="2"/>
      <c r="R51" s="6">
        <f t="shared" si="34"/>
        <v>0</v>
      </c>
      <c r="S51" s="2"/>
      <c r="T51" s="7"/>
      <c r="U51" s="2"/>
      <c r="V51" s="6">
        <f t="shared" si="35"/>
        <v>0</v>
      </c>
      <c r="W51" s="2"/>
      <c r="X51" s="7">
        <f t="shared" si="36"/>
        <v>35563.57</v>
      </c>
      <c r="Y51" s="2"/>
      <c r="Z51" s="6">
        <f t="shared" si="37"/>
        <v>0</v>
      </c>
    </row>
    <row r="52" spans="1:26" s="24" customFormat="1" hidden="1" outlineLevel="2" x14ac:dyDescent="0.35">
      <c r="A52" s="29"/>
      <c r="B52" s="11" t="str">
        <f>CONCATENATE("          ", "6322", " - ", "EQUIPMENT DEPRECIATION EXPENSE")</f>
        <v xml:space="preserve">          6322 - EQUIPMENT DEPRECIATION EXPENSE</v>
      </c>
      <c r="C52" s="11"/>
      <c r="D52" s="7">
        <v>390.7</v>
      </c>
      <c r="E52" s="2"/>
      <c r="F52" s="6">
        <f t="shared" si="30"/>
        <v>0</v>
      </c>
      <c r="G52" s="2"/>
      <c r="H52" s="7">
        <v>5471</v>
      </c>
      <c r="I52" s="2"/>
      <c r="J52" s="6">
        <f t="shared" si="31"/>
        <v>0.22088093988453308</v>
      </c>
      <c r="K52" s="2"/>
      <c r="L52" s="7">
        <f t="shared" si="32"/>
        <v>-5080.3</v>
      </c>
      <c r="M52" s="2"/>
      <c r="N52" s="6">
        <f t="shared" si="33"/>
        <v>-0.92858709559495523</v>
      </c>
      <c r="O52" s="11"/>
      <c r="P52" s="7">
        <v>3180.4</v>
      </c>
      <c r="Q52" s="2"/>
      <c r="R52" s="6">
        <f t="shared" si="34"/>
        <v>0</v>
      </c>
      <c r="S52" s="2"/>
      <c r="T52" s="7">
        <v>38745</v>
      </c>
      <c r="U52" s="2"/>
      <c r="V52" s="6">
        <f t="shared" si="35"/>
        <v>0.33841974704772554</v>
      </c>
      <c r="W52" s="2"/>
      <c r="X52" s="7">
        <f t="shared" si="36"/>
        <v>-35564.6</v>
      </c>
      <c r="Y52" s="2"/>
      <c r="Z52" s="6">
        <f t="shared" si="37"/>
        <v>-0.91791456962188667</v>
      </c>
    </row>
    <row r="53" spans="1:26" s="28" customFormat="1" outlineLevel="1" collapsed="1" x14ac:dyDescent="0.35">
      <c r="A53" s="27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SUM(OSRRefD22_6x_0)</f>
        <v>0</v>
      </c>
      <c r="E53" s="1"/>
      <c r="F53" s="5">
        <f t="shared" ref="F53:F67" si="38">IF(D$12=0,0,D53/D$12)</f>
        <v>0</v>
      </c>
      <c r="G53" s="1"/>
      <c r="H53" s="1">
        <f>SUM(OSRRefH22_6x_0)</f>
        <v>0</v>
      </c>
      <c r="I53" s="1"/>
      <c r="J53" s="5">
        <f t="shared" ref="J53:J67" si="39">IF(H$12=0,0,H53/H$12)</f>
        <v>0</v>
      </c>
      <c r="K53" s="1"/>
      <c r="L53" s="1">
        <f t="shared" ref="L53:L67" si="40">+D53-H53</f>
        <v>0</v>
      </c>
      <c r="M53" s="1"/>
      <c r="N53" s="5">
        <f t="shared" ref="N53:N67" si="41">IF(H53=0,0,L53/H53)</f>
        <v>0</v>
      </c>
      <c r="O53" s="14"/>
      <c r="P53" s="1">
        <f>SUM(OSRRefP22_6x_0)</f>
        <v>0</v>
      </c>
      <c r="Q53" s="1"/>
      <c r="R53" s="5">
        <f t="shared" ref="R53:R67" si="42">IF(P$12=0,0,P53/P$12)</f>
        <v>0</v>
      </c>
      <c r="S53" s="1"/>
      <c r="T53" s="1">
        <f>SUM(OSRRefT22_6x_0)</f>
        <v>50</v>
      </c>
      <c r="U53" s="1"/>
      <c r="V53" s="5">
        <f t="shared" ref="V53:V67" si="43">IF(T$12=0,0,T53/T$12)</f>
        <v>4.3672699322199707E-4</v>
      </c>
      <c r="W53" s="1"/>
      <c r="X53" s="1">
        <f t="shared" ref="X53:X67" si="44">+P53-T53</f>
        <v>-50</v>
      </c>
      <c r="Y53" s="1"/>
      <c r="Z53" s="5">
        <f t="shared" ref="Z53:Z67" si="45">IF(T53=0,0,X53/T53)</f>
        <v>-1</v>
      </c>
    </row>
    <row r="54" spans="1:26" s="24" customFormat="1" hidden="1" outlineLevel="2" x14ac:dyDescent="0.35">
      <c r="A54" s="29"/>
      <c r="B54" s="11" t="str">
        <f>CONCATENATE("          ", "6277", " - ", "EMPLOYEE APPRECIATION")</f>
        <v xml:space="preserve">          6277 - EMPLOYEE APPRECIATION</v>
      </c>
      <c r="C54" s="11"/>
      <c r="D54" s="7"/>
      <c r="E54" s="2"/>
      <c r="F54" s="6">
        <f t="shared" si="38"/>
        <v>0</v>
      </c>
      <c r="G54" s="2"/>
      <c r="H54" s="7"/>
      <c r="I54" s="2"/>
      <c r="J54" s="6">
        <f t="shared" si="39"/>
        <v>0</v>
      </c>
      <c r="K54" s="2"/>
      <c r="L54" s="7">
        <f t="shared" si="40"/>
        <v>0</v>
      </c>
      <c r="M54" s="2"/>
      <c r="N54" s="6">
        <f t="shared" si="41"/>
        <v>0</v>
      </c>
      <c r="O54" s="11"/>
      <c r="P54" s="7"/>
      <c r="Q54" s="2"/>
      <c r="R54" s="6">
        <f t="shared" si="42"/>
        <v>0</v>
      </c>
      <c r="S54" s="2"/>
      <c r="T54" s="7">
        <v>50</v>
      </c>
      <c r="U54" s="2"/>
      <c r="V54" s="6">
        <f t="shared" si="43"/>
        <v>4.3672699322199707E-4</v>
      </c>
      <c r="W54" s="2"/>
      <c r="X54" s="7">
        <f t="shared" si="44"/>
        <v>-50</v>
      </c>
      <c r="Y54" s="2"/>
      <c r="Z54" s="6">
        <f t="shared" si="45"/>
        <v>-1</v>
      </c>
    </row>
    <row r="55" spans="1:26" s="28" customFormat="1" outlineLevel="1" collapsed="1" x14ac:dyDescent="0.35">
      <c r="A55" s="27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SUM(OSRRefD22_7x_0)</f>
        <v>176.4</v>
      </c>
      <c r="E55" s="1"/>
      <c r="F55" s="5">
        <f t="shared" si="38"/>
        <v>0</v>
      </c>
      <c r="G55" s="1"/>
      <c r="H55" s="1">
        <f>SUM(OSRRefH22_7x_0)</f>
        <v>146</v>
      </c>
      <c r="I55" s="1"/>
      <c r="J55" s="5">
        <f t="shared" si="39"/>
        <v>5.8944648552626266E-3</v>
      </c>
      <c r="K55" s="1"/>
      <c r="L55" s="1">
        <f t="shared" si="40"/>
        <v>30.400000000000006</v>
      </c>
      <c r="M55" s="1"/>
      <c r="N55" s="5">
        <f t="shared" si="41"/>
        <v>0.20821917808219181</v>
      </c>
      <c r="O55" s="14"/>
      <c r="P55" s="1">
        <f>SUM(OSRRefP22_7x_0)</f>
        <v>252.55</v>
      </c>
      <c r="Q55" s="1"/>
      <c r="R55" s="5">
        <f t="shared" si="42"/>
        <v>0</v>
      </c>
      <c r="S55" s="1"/>
      <c r="T55" s="1">
        <f>SUM(OSRRefT22_7x_0)</f>
        <v>584</v>
      </c>
      <c r="U55" s="1"/>
      <c r="V55" s="5">
        <f t="shared" si="43"/>
        <v>5.1009712808329256E-3</v>
      </c>
      <c r="W55" s="1"/>
      <c r="X55" s="1">
        <f t="shared" si="44"/>
        <v>-331.45</v>
      </c>
      <c r="Y55" s="1"/>
      <c r="Z55" s="5">
        <f t="shared" si="45"/>
        <v>-0.56755136986301369</v>
      </c>
    </row>
    <row r="56" spans="1:26" s="24" customFormat="1" hidden="1" outlineLevel="2" x14ac:dyDescent="0.35">
      <c r="A56" s="29"/>
      <c r="B56" s="11" t="str">
        <f>CONCATENATE("          ", "6351", " - ", "EQUIPMENT RENTAL")</f>
        <v xml:space="preserve">          6351 - EQUIPMENT RENTAL</v>
      </c>
      <c r="C56" s="11"/>
      <c r="D56" s="7">
        <v>176.4</v>
      </c>
      <c r="E56" s="2"/>
      <c r="F56" s="6">
        <f t="shared" si="38"/>
        <v>0</v>
      </c>
      <c r="G56" s="2"/>
      <c r="H56" s="7">
        <v>146</v>
      </c>
      <c r="I56" s="2"/>
      <c r="J56" s="6">
        <f t="shared" si="39"/>
        <v>5.8944648552626266E-3</v>
      </c>
      <c r="K56" s="2"/>
      <c r="L56" s="7">
        <f t="shared" si="40"/>
        <v>30.400000000000006</v>
      </c>
      <c r="M56" s="2"/>
      <c r="N56" s="6">
        <f t="shared" si="41"/>
        <v>0.20821917808219181</v>
      </c>
      <c r="O56" s="11"/>
      <c r="P56" s="7">
        <v>252.55</v>
      </c>
      <c r="Q56" s="2"/>
      <c r="R56" s="6">
        <f t="shared" si="42"/>
        <v>0</v>
      </c>
      <c r="S56" s="2"/>
      <c r="T56" s="7">
        <v>584</v>
      </c>
      <c r="U56" s="2"/>
      <c r="V56" s="6">
        <f t="shared" si="43"/>
        <v>5.1009712808329256E-3</v>
      </c>
      <c r="W56" s="2"/>
      <c r="X56" s="7">
        <f t="shared" si="44"/>
        <v>-331.45</v>
      </c>
      <c r="Y56" s="2"/>
      <c r="Z56" s="6">
        <f t="shared" si="45"/>
        <v>-0.56755136986301369</v>
      </c>
    </row>
    <row r="57" spans="1:26" s="28" customFormat="1" outlineLevel="1" collapsed="1" x14ac:dyDescent="0.35">
      <c r="A57" s="27"/>
      <c r="B57" s="14" t="str">
        <f>CONCATENATE("     ","General                                           ")</f>
        <v xml:space="preserve">     General                                           </v>
      </c>
      <c r="C57" s="14"/>
      <c r="D57" s="1">
        <f>SUM(OSRRefD22_8x_0)</f>
        <v>0</v>
      </c>
      <c r="E57" s="1"/>
      <c r="F57" s="5">
        <f t="shared" si="38"/>
        <v>0</v>
      </c>
      <c r="G57" s="1"/>
      <c r="H57" s="1">
        <f>SUM(OSRRefH22_8x_0)</f>
        <v>0</v>
      </c>
      <c r="I57" s="1"/>
      <c r="J57" s="5">
        <f t="shared" si="39"/>
        <v>0</v>
      </c>
      <c r="K57" s="1"/>
      <c r="L57" s="1">
        <f t="shared" si="40"/>
        <v>0</v>
      </c>
      <c r="M57" s="1"/>
      <c r="N57" s="5">
        <f t="shared" si="41"/>
        <v>0</v>
      </c>
      <c r="O57" s="14"/>
      <c r="P57" s="1">
        <f>SUM(OSRRefP22_8x_0)</f>
        <v>914.55</v>
      </c>
      <c r="Q57" s="1"/>
      <c r="R57" s="5">
        <f t="shared" si="42"/>
        <v>0</v>
      </c>
      <c r="S57" s="1"/>
      <c r="T57" s="1">
        <f>SUM(OSRRefT22_8x_0)</f>
        <v>800</v>
      </c>
      <c r="U57" s="1"/>
      <c r="V57" s="5">
        <f t="shared" si="43"/>
        <v>6.9876318915519531E-3</v>
      </c>
      <c r="W57" s="1"/>
      <c r="X57" s="1">
        <f t="shared" si="44"/>
        <v>114.54999999999995</v>
      </c>
      <c r="Y57" s="1"/>
      <c r="Z57" s="5">
        <f t="shared" si="45"/>
        <v>0.14318749999999994</v>
      </c>
    </row>
    <row r="58" spans="1:26" s="24" customFormat="1" hidden="1" outlineLevel="2" x14ac:dyDescent="0.35">
      <c r="A58" s="29"/>
      <c r="B58" s="11" t="str">
        <f>CONCATENATE("          ", "6279", " - ", "GENERAL EXPENSE")</f>
        <v xml:space="preserve">          6279 - GENERAL EXPENSE</v>
      </c>
      <c r="C58" s="11"/>
      <c r="D58" s="7"/>
      <c r="E58" s="2"/>
      <c r="F58" s="6">
        <f t="shared" si="38"/>
        <v>0</v>
      </c>
      <c r="G58" s="2"/>
      <c r="H58" s="7"/>
      <c r="I58" s="2"/>
      <c r="J58" s="6">
        <f t="shared" si="39"/>
        <v>0</v>
      </c>
      <c r="K58" s="2"/>
      <c r="L58" s="7">
        <f t="shared" si="40"/>
        <v>0</v>
      </c>
      <c r="M58" s="2"/>
      <c r="N58" s="6">
        <f t="shared" si="41"/>
        <v>0</v>
      </c>
      <c r="O58" s="11"/>
      <c r="P58" s="7">
        <v>914.55</v>
      </c>
      <c r="Q58" s="2"/>
      <c r="R58" s="6">
        <f t="shared" si="42"/>
        <v>0</v>
      </c>
      <c r="S58" s="2"/>
      <c r="T58" s="7">
        <v>800</v>
      </c>
      <c r="U58" s="2"/>
      <c r="V58" s="6">
        <f t="shared" si="43"/>
        <v>6.9876318915519531E-3</v>
      </c>
      <c r="W58" s="2"/>
      <c r="X58" s="7">
        <f t="shared" si="44"/>
        <v>114.54999999999995</v>
      </c>
      <c r="Y58" s="2"/>
      <c r="Z58" s="6">
        <f t="shared" si="45"/>
        <v>0.14318749999999994</v>
      </c>
    </row>
    <row r="59" spans="1:26" s="28" customFormat="1" outlineLevel="1" collapsed="1" x14ac:dyDescent="0.35">
      <c r="A59" s="27"/>
      <c r="B59" s="14" t="str">
        <f>CONCATENATE("     ","Insurance                                         ")</f>
        <v xml:space="preserve">     Insurance                                         </v>
      </c>
      <c r="C59" s="14"/>
      <c r="D59" s="1">
        <f>SUM(OSRRefD22_9x_0)</f>
        <v>243.54</v>
      </c>
      <c r="E59" s="1"/>
      <c r="F59" s="5">
        <f t="shared" si="38"/>
        <v>0</v>
      </c>
      <c r="G59" s="1"/>
      <c r="H59" s="1">
        <f>SUM(OSRRefH22_9x_0)</f>
        <v>270</v>
      </c>
      <c r="I59" s="1"/>
      <c r="J59" s="5">
        <f t="shared" si="39"/>
        <v>1.0900722677540473E-2</v>
      </c>
      <c r="K59" s="1"/>
      <c r="L59" s="1">
        <f t="shared" si="40"/>
        <v>-26.460000000000008</v>
      </c>
      <c r="M59" s="1"/>
      <c r="N59" s="5">
        <f t="shared" si="41"/>
        <v>-9.8000000000000032E-2</v>
      </c>
      <c r="O59" s="14"/>
      <c r="P59" s="1">
        <f>SUM(OSRRefP22_9x_0)</f>
        <v>1704.78</v>
      </c>
      <c r="Q59" s="1"/>
      <c r="R59" s="5">
        <f t="shared" si="42"/>
        <v>0</v>
      </c>
      <c r="S59" s="1"/>
      <c r="T59" s="1">
        <f>SUM(OSRRefT22_9x_0)</f>
        <v>1890</v>
      </c>
      <c r="U59" s="1"/>
      <c r="V59" s="5">
        <f t="shared" si="43"/>
        <v>1.6508280343791489E-2</v>
      </c>
      <c r="W59" s="1"/>
      <c r="X59" s="1">
        <f t="shared" si="44"/>
        <v>-185.22000000000003</v>
      </c>
      <c r="Y59" s="1"/>
      <c r="Z59" s="5">
        <f t="shared" si="45"/>
        <v>-9.8000000000000018E-2</v>
      </c>
    </row>
    <row r="60" spans="1:26" s="24" customFormat="1" hidden="1" outlineLevel="2" x14ac:dyDescent="0.35">
      <c r="A60" s="29"/>
      <c r="B60" s="11" t="str">
        <f>CONCATENATE("          ", "6314", " - ", "LIABILITY INSURANCE")</f>
        <v xml:space="preserve">          6314 - LIABILITY INSURANCE</v>
      </c>
      <c r="C60" s="11"/>
      <c r="D60" s="7">
        <v>243.54</v>
      </c>
      <c r="E60" s="2"/>
      <c r="F60" s="6">
        <f t="shared" si="38"/>
        <v>0</v>
      </c>
      <c r="G60" s="2"/>
      <c r="H60" s="7">
        <v>270</v>
      </c>
      <c r="I60" s="2"/>
      <c r="J60" s="6">
        <f t="shared" si="39"/>
        <v>1.0900722677540473E-2</v>
      </c>
      <c r="K60" s="2"/>
      <c r="L60" s="7">
        <f t="shared" si="40"/>
        <v>-26.460000000000008</v>
      </c>
      <c r="M60" s="2"/>
      <c r="N60" s="6">
        <f t="shared" si="41"/>
        <v>-9.8000000000000032E-2</v>
      </c>
      <c r="O60" s="11"/>
      <c r="P60" s="7">
        <v>1704.78</v>
      </c>
      <c r="Q60" s="2"/>
      <c r="R60" s="6">
        <f t="shared" si="42"/>
        <v>0</v>
      </c>
      <c r="S60" s="2"/>
      <c r="T60" s="7">
        <v>1890</v>
      </c>
      <c r="U60" s="2"/>
      <c r="V60" s="6">
        <f t="shared" si="43"/>
        <v>1.6508280343791489E-2</v>
      </c>
      <c r="W60" s="2"/>
      <c r="X60" s="7">
        <f t="shared" si="44"/>
        <v>-185.22000000000003</v>
      </c>
      <c r="Y60" s="2"/>
      <c r="Z60" s="6">
        <f t="shared" si="45"/>
        <v>-9.8000000000000018E-2</v>
      </c>
    </row>
    <row r="61" spans="1:26" s="28" customFormat="1" outlineLevel="1" collapsed="1" x14ac:dyDescent="0.35">
      <c r="A61" s="27"/>
      <c r="B61" s="14" t="str">
        <f>CONCATENATE("     ","Interest                                          ")</f>
        <v xml:space="preserve">     Interest                                          </v>
      </c>
      <c r="C61" s="14"/>
      <c r="D61" s="1">
        <f>SUM(OSRRefD22_10x_0)</f>
        <v>4044</v>
      </c>
      <c r="E61" s="1"/>
      <c r="F61" s="5">
        <f t="shared" si="38"/>
        <v>0</v>
      </c>
      <c r="G61" s="1"/>
      <c r="H61" s="1">
        <f>SUM(OSRRefH22_10x_0)</f>
        <v>4044</v>
      </c>
      <c r="I61" s="1"/>
      <c r="J61" s="5">
        <f t="shared" si="39"/>
        <v>0.16326860188138398</v>
      </c>
      <c r="K61" s="1"/>
      <c r="L61" s="1">
        <f t="shared" si="40"/>
        <v>0</v>
      </c>
      <c r="M61" s="1"/>
      <c r="N61" s="5">
        <f t="shared" si="41"/>
        <v>0</v>
      </c>
      <c r="O61" s="14"/>
      <c r="P61" s="1">
        <f>SUM(OSRRefP22_10x_0)</f>
        <v>28045.85</v>
      </c>
      <c r="Q61" s="1"/>
      <c r="R61" s="5">
        <f t="shared" si="42"/>
        <v>0</v>
      </c>
      <c r="S61" s="1"/>
      <c r="T61" s="1">
        <f>SUM(OSRRefT22_10x_0)</f>
        <v>28308</v>
      </c>
      <c r="U61" s="1"/>
      <c r="V61" s="5">
        <f t="shared" si="43"/>
        <v>0.24725735448256586</v>
      </c>
      <c r="W61" s="1"/>
      <c r="X61" s="1">
        <f t="shared" si="44"/>
        <v>-262.15000000000146</v>
      </c>
      <c r="Y61" s="1"/>
      <c r="Z61" s="5">
        <f t="shared" si="45"/>
        <v>-9.2606330365974793E-3</v>
      </c>
    </row>
    <row r="62" spans="1:26" s="24" customFormat="1" hidden="1" outlineLevel="2" x14ac:dyDescent="0.35">
      <c r="A62" s="29"/>
      <c r="B62" s="11" t="str">
        <f>CONCATENATE("          ", "6401", " - ", "INTEREST EXPENSE")</f>
        <v xml:space="preserve">          6401 - INTEREST EXPENSE</v>
      </c>
      <c r="C62" s="11"/>
      <c r="D62" s="7">
        <v>4044</v>
      </c>
      <c r="E62" s="2"/>
      <c r="F62" s="6">
        <f t="shared" si="38"/>
        <v>0</v>
      </c>
      <c r="G62" s="2"/>
      <c r="H62" s="7">
        <v>4044</v>
      </c>
      <c r="I62" s="2"/>
      <c r="J62" s="6">
        <f t="shared" si="39"/>
        <v>0.16326860188138398</v>
      </c>
      <c r="K62" s="2"/>
      <c r="L62" s="7">
        <f t="shared" si="40"/>
        <v>0</v>
      </c>
      <c r="M62" s="2"/>
      <c r="N62" s="6">
        <f t="shared" si="41"/>
        <v>0</v>
      </c>
      <c r="O62" s="11"/>
      <c r="P62" s="7">
        <v>28045.85</v>
      </c>
      <c r="Q62" s="2"/>
      <c r="R62" s="6">
        <f t="shared" si="42"/>
        <v>0</v>
      </c>
      <c r="S62" s="2"/>
      <c r="T62" s="7">
        <v>28308</v>
      </c>
      <c r="U62" s="2"/>
      <c r="V62" s="6">
        <f t="shared" si="43"/>
        <v>0.24725735448256586</v>
      </c>
      <c r="W62" s="2"/>
      <c r="X62" s="7">
        <f t="shared" si="44"/>
        <v>-262.15000000000146</v>
      </c>
      <c r="Y62" s="2"/>
      <c r="Z62" s="6">
        <f t="shared" si="45"/>
        <v>-9.2606330365974793E-3</v>
      </c>
    </row>
    <row r="63" spans="1:26" s="28" customFormat="1" outlineLevel="1" collapsed="1" x14ac:dyDescent="0.35">
      <c r="A63" s="27"/>
      <c r="B63" s="14" t="str">
        <f>CONCATENATE("     ","Repair and Maintenance                            ")</f>
        <v xml:space="preserve">     Repair and Maintenance                            </v>
      </c>
      <c r="C63" s="14"/>
      <c r="D63" s="1">
        <f>SUM(OSRRefD22_11x_0)</f>
        <v>0</v>
      </c>
      <c r="E63" s="1"/>
      <c r="F63" s="5">
        <f t="shared" si="38"/>
        <v>0</v>
      </c>
      <c r="G63" s="1"/>
      <c r="H63" s="1">
        <f>SUM(OSRRefH22_11x_0)</f>
        <v>42</v>
      </c>
      <c r="I63" s="1"/>
      <c r="J63" s="5">
        <f t="shared" si="39"/>
        <v>1.6956679720618515E-3</v>
      </c>
      <c r="K63" s="1"/>
      <c r="L63" s="1">
        <f t="shared" si="40"/>
        <v>-42</v>
      </c>
      <c r="M63" s="1"/>
      <c r="N63" s="5">
        <f t="shared" si="41"/>
        <v>-1</v>
      </c>
      <c r="O63" s="14"/>
      <c r="P63" s="1">
        <f>SUM(OSRRefP22_11x_0)</f>
        <v>295.64</v>
      </c>
      <c r="Q63" s="1"/>
      <c r="R63" s="5">
        <f t="shared" si="42"/>
        <v>0</v>
      </c>
      <c r="S63" s="1"/>
      <c r="T63" s="1">
        <f>SUM(OSRRefT22_11x_0)</f>
        <v>1077</v>
      </c>
      <c r="U63" s="1"/>
      <c r="V63" s="5">
        <f t="shared" si="43"/>
        <v>9.4070994340018175E-3</v>
      </c>
      <c r="W63" s="1"/>
      <c r="X63" s="1">
        <f t="shared" si="44"/>
        <v>-781.36</v>
      </c>
      <c r="Y63" s="1"/>
      <c r="Z63" s="5">
        <f t="shared" si="45"/>
        <v>-0.72549675023212634</v>
      </c>
    </row>
    <row r="64" spans="1:26" s="24" customFormat="1" hidden="1" outlineLevel="2" x14ac:dyDescent="0.35">
      <c r="A64" s="29"/>
      <c r="B64" s="11" t="str">
        <f>CONCATENATE("          ", "6371", " - ", "COMPUTER SOFTWARE MAINTENANCE")</f>
        <v xml:space="preserve">          6371 - COMPUTER SOFTWARE MAINTENANCE</v>
      </c>
      <c r="C64" s="11"/>
      <c r="D64" s="7"/>
      <c r="E64" s="2"/>
      <c r="F64" s="6">
        <f t="shared" si="38"/>
        <v>0</v>
      </c>
      <c r="G64" s="2"/>
      <c r="H64" s="7"/>
      <c r="I64" s="2"/>
      <c r="J64" s="6">
        <f t="shared" si="39"/>
        <v>0</v>
      </c>
      <c r="K64" s="2"/>
      <c r="L64" s="7">
        <f t="shared" si="40"/>
        <v>0</v>
      </c>
      <c r="M64" s="2"/>
      <c r="N64" s="6">
        <f t="shared" si="41"/>
        <v>0</v>
      </c>
      <c r="O64" s="11"/>
      <c r="P64" s="7"/>
      <c r="Q64" s="2"/>
      <c r="R64" s="6">
        <f t="shared" si="42"/>
        <v>0</v>
      </c>
      <c r="S64" s="2"/>
      <c r="T64" s="7">
        <v>43</v>
      </c>
      <c r="U64" s="2"/>
      <c r="V64" s="6">
        <f t="shared" si="43"/>
        <v>3.7558521417091749E-4</v>
      </c>
      <c r="W64" s="2"/>
      <c r="X64" s="7">
        <f t="shared" si="44"/>
        <v>-43</v>
      </c>
      <c r="Y64" s="2"/>
      <c r="Z64" s="6">
        <f t="shared" si="45"/>
        <v>-1</v>
      </c>
    </row>
    <row r="65" spans="1:26" s="24" customFormat="1" hidden="1" outlineLevel="2" x14ac:dyDescent="0.35">
      <c r="A65" s="29"/>
      <c r="B65" s="11" t="str">
        <f>CONCATENATE("          ", "6372", " - ", "COMPUTER HARDWARE MAINTENANCE")</f>
        <v xml:space="preserve">          6372 - COMPUTER HARDWARE MAINTENANCE</v>
      </c>
      <c r="C65" s="11"/>
      <c r="D65" s="7"/>
      <c r="E65" s="2"/>
      <c r="F65" s="6">
        <f t="shared" si="38"/>
        <v>0</v>
      </c>
      <c r="G65" s="2"/>
      <c r="H65" s="7"/>
      <c r="I65" s="2"/>
      <c r="J65" s="6">
        <f t="shared" si="39"/>
        <v>0</v>
      </c>
      <c r="K65" s="2"/>
      <c r="L65" s="7">
        <f t="shared" si="40"/>
        <v>0</v>
      </c>
      <c r="M65" s="2"/>
      <c r="N65" s="6">
        <f t="shared" si="41"/>
        <v>0</v>
      </c>
      <c r="O65" s="11"/>
      <c r="P65" s="7"/>
      <c r="Q65" s="2"/>
      <c r="R65" s="6">
        <f t="shared" si="42"/>
        <v>0</v>
      </c>
      <c r="S65" s="2"/>
      <c r="T65" s="7">
        <v>437</v>
      </c>
      <c r="U65" s="2"/>
      <c r="V65" s="6">
        <f t="shared" si="43"/>
        <v>3.8169939207602544E-3</v>
      </c>
      <c r="W65" s="2"/>
      <c r="X65" s="7">
        <f t="shared" si="44"/>
        <v>-437</v>
      </c>
      <c r="Y65" s="2"/>
      <c r="Z65" s="6">
        <f t="shared" si="45"/>
        <v>-1</v>
      </c>
    </row>
    <row r="66" spans="1:26" s="24" customFormat="1" hidden="1" outlineLevel="2" x14ac:dyDescent="0.35">
      <c r="A66" s="29"/>
      <c r="B66" s="11" t="str">
        <f>CONCATENATE("          ", "6373", " - ", "MAINTENANCE CONTRACTS")</f>
        <v xml:space="preserve">          6373 - MAINTENANCE CONTRACTS</v>
      </c>
      <c r="C66" s="11"/>
      <c r="D66" s="7"/>
      <c r="E66" s="2"/>
      <c r="F66" s="6">
        <f t="shared" si="38"/>
        <v>0</v>
      </c>
      <c r="G66" s="2"/>
      <c r="H66" s="7">
        <v>21</v>
      </c>
      <c r="I66" s="2"/>
      <c r="J66" s="6">
        <f t="shared" si="39"/>
        <v>8.4783398603092573E-4</v>
      </c>
      <c r="K66" s="2"/>
      <c r="L66" s="7">
        <f t="shared" si="40"/>
        <v>-21</v>
      </c>
      <c r="M66" s="2"/>
      <c r="N66" s="6">
        <f t="shared" si="41"/>
        <v>-1</v>
      </c>
      <c r="O66" s="11"/>
      <c r="P66" s="7">
        <v>295.64</v>
      </c>
      <c r="Q66" s="2"/>
      <c r="R66" s="6">
        <f t="shared" si="42"/>
        <v>0</v>
      </c>
      <c r="S66" s="2"/>
      <c r="T66" s="7">
        <v>231</v>
      </c>
      <c r="U66" s="2"/>
      <c r="V66" s="6">
        <f t="shared" si="43"/>
        <v>2.0176787086856264E-3</v>
      </c>
      <c r="W66" s="2"/>
      <c r="X66" s="7">
        <f t="shared" si="44"/>
        <v>64.639999999999986</v>
      </c>
      <c r="Y66" s="2"/>
      <c r="Z66" s="6">
        <f t="shared" si="45"/>
        <v>0.27982683982683976</v>
      </c>
    </row>
    <row r="67" spans="1:26" s="24" customFormat="1" hidden="1" outlineLevel="2" x14ac:dyDescent="0.35">
      <c r="A67" s="29"/>
      <c r="B67" s="11" t="str">
        <f>CONCATENATE("          ", "6375", " - ", "OUTSIDE REPAIRS &amp; MAINTENANCE")</f>
        <v xml:space="preserve">          6375 - OUTSIDE REPAIRS &amp; MAINTENANCE</v>
      </c>
      <c r="C67" s="11"/>
      <c r="D67" s="7"/>
      <c r="E67" s="2"/>
      <c r="F67" s="6">
        <f t="shared" si="38"/>
        <v>0</v>
      </c>
      <c r="G67" s="2"/>
      <c r="H67" s="7">
        <v>21</v>
      </c>
      <c r="I67" s="2"/>
      <c r="J67" s="6">
        <f t="shared" si="39"/>
        <v>8.4783398603092573E-4</v>
      </c>
      <c r="K67" s="2"/>
      <c r="L67" s="7">
        <f t="shared" si="40"/>
        <v>-21</v>
      </c>
      <c r="M67" s="2"/>
      <c r="N67" s="6">
        <f t="shared" si="41"/>
        <v>-1</v>
      </c>
      <c r="O67" s="11"/>
      <c r="P67" s="7"/>
      <c r="Q67" s="2"/>
      <c r="R67" s="6">
        <f t="shared" si="42"/>
        <v>0</v>
      </c>
      <c r="S67" s="2"/>
      <c r="T67" s="7">
        <v>366</v>
      </c>
      <c r="U67" s="2"/>
      <c r="V67" s="6">
        <f t="shared" si="43"/>
        <v>3.1968415903850184E-3</v>
      </c>
      <c r="W67" s="2"/>
      <c r="X67" s="7">
        <f t="shared" si="44"/>
        <v>-366</v>
      </c>
      <c r="Y67" s="2"/>
      <c r="Z67" s="6">
        <f t="shared" si="45"/>
        <v>-1</v>
      </c>
    </row>
    <row r="68" spans="1:26" s="28" customFormat="1" outlineLevel="1" collapsed="1" x14ac:dyDescent="0.35">
      <c r="A68" s="27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SUM(OSRRefD22_12x_0)</f>
        <v>918.4</v>
      </c>
      <c r="E68" s="1"/>
      <c r="F68" s="5">
        <f t="shared" ref="F68:F71" si="46">IF(D$12=0,0,D68/D$12)</f>
        <v>0</v>
      </c>
      <c r="G68" s="1"/>
      <c r="H68" s="1">
        <f>SUM(OSRRefH22_12x_0)</f>
        <v>425</v>
      </c>
      <c r="I68" s="1"/>
      <c r="J68" s="5">
        <f t="shared" ref="J68:J71" si="47">IF(H$12=0,0,H68/H$12)</f>
        <v>1.7158544955387784E-2</v>
      </c>
      <c r="K68" s="1"/>
      <c r="L68" s="1">
        <f t="shared" ref="L68:L71" si="48">+D68-H68</f>
        <v>493.4</v>
      </c>
      <c r="M68" s="1"/>
      <c r="N68" s="5">
        <f t="shared" ref="N68:N71" si="49">IF(H68=0,0,L68/H68)</f>
        <v>1.1609411764705881</v>
      </c>
      <c r="O68" s="14"/>
      <c r="P68" s="1">
        <f>SUM(OSRRefP22_12x_0)</f>
        <v>1496.4</v>
      </c>
      <c r="Q68" s="1"/>
      <c r="R68" s="5">
        <f t="shared" ref="R68:R71" si="50">IF(P$12=0,0,P68/P$12)</f>
        <v>0</v>
      </c>
      <c r="S68" s="1"/>
      <c r="T68" s="1">
        <f>SUM(OSRRefT22_12x_0)</f>
        <v>3844</v>
      </c>
      <c r="U68" s="1"/>
      <c r="V68" s="5">
        <f t="shared" ref="V68:V71" si="51">IF(T$12=0,0,T68/T$12)</f>
        <v>3.3575571238907136E-2</v>
      </c>
      <c r="W68" s="1"/>
      <c r="X68" s="1">
        <f t="shared" ref="X68:X71" si="52">+P68-T68</f>
        <v>-2347.6</v>
      </c>
      <c r="Y68" s="1"/>
      <c r="Z68" s="5">
        <f t="shared" ref="Z68:Z71" si="53">IF(T68=0,0,X68/T68)</f>
        <v>-0.61071800208116545</v>
      </c>
    </row>
    <row r="69" spans="1:26" s="24" customFormat="1" hidden="1" outlineLevel="2" x14ac:dyDescent="0.35">
      <c r="A69" s="29"/>
      <c r="B69" s="11" t="str">
        <f>CONCATENATE("          ", "6282", " - ", "JANITORIAL/EXTERMINATOR EXPENS")</f>
        <v xml:space="preserve">          6282 - JANITORIAL/EXTERMINATOR EXPENS</v>
      </c>
      <c r="C69" s="11"/>
      <c r="D69" s="7">
        <v>629.4</v>
      </c>
      <c r="E69" s="2"/>
      <c r="F69" s="6">
        <f t="shared" si="46"/>
        <v>0</v>
      </c>
      <c r="G69" s="2"/>
      <c r="H69" s="7"/>
      <c r="I69" s="2"/>
      <c r="J69" s="6">
        <f t="shared" si="47"/>
        <v>0</v>
      </c>
      <c r="K69" s="2"/>
      <c r="L69" s="7">
        <f t="shared" si="48"/>
        <v>629.4</v>
      </c>
      <c r="M69" s="2"/>
      <c r="N69" s="6">
        <f t="shared" si="49"/>
        <v>0</v>
      </c>
      <c r="O69" s="11"/>
      <c r="P69" s="7">
        <v>629.4</v>
      </c>
      <c r="Q69" s="2"/>
      <c r="R69" s="6">
        <f t="shared" si="50"/>
        <v>0</v>
      </c>
      <c r="S69" s="2"/>
      <c r="T69" s="7">
        <v>1101</v>
      </c>
      <c r="U69" s="2"/>
      <c r="V69" s="6">
        <f t="shared" si="51"/>
        <v>9.6167283907483761E-3</v>
      </c>
      <c r="W69" s="2"/>
      <c r="X69" s="7">
        <f t="shared" si="52"/>
        <v>-471.6</v>
      </c>
      <c r="Y69" s="2"/>
      <c r="Z69" s="6">
        <f t="shared" si="53"/>
        <v>-0.42833787465940054</v>
      </c>
    </row>
    <row r="70" spans="1:26" s="24" customFormat="1" hidden="1" outlineLevel="2" x14ac:dyDescent="0.35">
      <c r="A70" s="29"/>
      <c r="B70" s="11" t="str">
        <f>CONCATENATE("          ", "6284", " - ", "TRASH REMOVAL EXPENSE")</f>
        <v xml:space="preserve">          6284 - TRASH REMOVAL EXPENSE</v>
      </c>
      <c r="C70" s="11"/>
      <c r="D70" s="7">
        <v>289</v>
      </c>
      <c r="E70" s="2"/>
      <c r="F70" s="6">
        <f t="shared" si="46"/>
        <v>0</v>
      </c>
      <c r="G70" s="2"/>
      <c r="H70" s="7">
        <v>289</v>
      </c>
      <c r="I70" s="2"/>
      <c r="J70" s="6">
        <f t="shared" si="47"/>
        <v>1.1667810569663692E-2</v>
      </c>
      <c r="K70" s="2"/>
      <c r="L70" s="7">
        <f t="shared" si="48"/>
        <v>0</v>
      </c>
      <c r="M70" s="2"/>
      <c r="N70" s="6">
        <f t="shared" si="49"/>
        <v>0</v>
      </c>
      <c r="O70" s="11"/>
      <c r="P70" s="7">
        <v>867</v>
      </c>
      <c r="Q70" s="2"/>
      <c r="R70" s="6">
        <f t="shared" si="50"/>
        <v>0</v>
      </c>
      <c r="S70" s="2"/>
      <c r="T70" s="7">
        <v>2022</v>
      </c>
      <c r="U70" s="2"/>
      <c r="V70" s="6">
        <f t="shared" si="51"/>
        <v>1.766123960589756E-2</v>
      </c>
      <c r="W70" s="2"/>
      <c r="X70" s="7">
        <f t="shared" si="52"/>
        <v>-1155</v>
      </c>
      <c r="Y70" s="2"/>
      <c r="Z70" s="6">
        <f t="shared" si="53"/>
        <v>-0.57121661721068251</v>
      </c>
    </row>
    <row r="71" spans="1:26" s="24" customFormat="1" hidden="1" outlineLevel="2" x14ac:dyDescent="0.35">
      <c r="A71" s="29"/>
      <c r="B71" s="11" t="str">
        <f>CONCATENATE("          ", "6286", " - ", "LAUNDRY EXPENSE")</f>
        <v xml:space="preserve">          6286 - LAUNDRY EXPENSE</v>
      </c>
      <c r="C71" s="11"/>
      <c r="D71" s="7"/>
      <c r="E71" s="2"/>
      <c r="F71" s="6">
        <f t="shared" si="46"/>
        <v>0</v>
      </c>
      <c r="G71" s="2"/>
      <c r="H71" s="7">
        <v>136</v>
      </c>
      <c r="I71" s="2"/>
      <c r="J71" s="6">
        <f t="shared" si="47"/>
        <v>5.4907343857240904E-3</v>
      </c>
      <c r="K71" s="2"/>
      <c r="L71" s="7">
        <f t="shared" si="48"/>
        <v>-136</v>
      </c>
      <c r="M71" s="2"/>
      <c r="N71" s="6">
        <f t="shared" si="49"/>
        <v>-1</v>
      </c>
      <c r="O71" s="11"/>
      <c r="P71" s="7"/>
      <c r="Q71" s="2"/>
      <c r="R71" s="6">
        <f t="shared" si="50"/>
        <v>0</v>
      </c>
      <c r="S71" s="2"/>
      <c r="T71" s="7">
        <v>721</v>
      </c>
      <c r="U71" s="2"/>
      <c r="V71" s="6">
        <f t="shared" si="51"/>
        <v>6.2976032422611978E-3</v>
      </c>
      <c r="W71" s="2"/>
      <c r="X71" s="7">
        <f t="shared" si="52"/>
        <v>-721</v>
      </c>
      <c r="Y71" s="2"/>
      <c r="Z71" s="6">
        <f t="shared" si="53"/>
        <v>-1</v>
      </c>
    </row>
    <row r="72" spans="1:26" s="28" customFormat="1" outlineLevel="1" collapsed="1" x14ac:dyDescent="0.35">
      <c r="A72" s="27"/>
      <c r="B72" s="14" t="str">
        <f>CONCATENATE("     ","Subscriptions &amp; Dues                              ")</f>
        <v xml:space="preserve">     Subscriptions &amp; Dues                              </v>
      </c>
      <c r="C72" s="14"/>
      <c r="D72" s="1">
        <f>SUM(OSRRefD22_13x_0)</f>
        <v>0</v>
      </c>
      <c r="E72" s="1"/>
      <c r="F72" s="5">
        <f t="shared" ref="F72:F79" si="54">IF(D$12=0,0,D72/D$12)</f>
        <v>0</v>
      </c>
      <c r="G72" s="1"/>
      <c r="H72" s="1">
        <f>SUM(OSRRefH22_13x_0)</f>
        <v>176</v>
      </c>
      <c r="I72" s="1"/>
      <c r="J72" s="5">
        <f t="shared" ref="J72:J79" si="55">IF(H$12=0,0,H72/H$12)</f>
        <v>7.1056562638782345E-3</v>
      </c>
      <c r="K72" s="1"/>
      <c r="L72" s="1">
        <f t="shared" ref="L72:L79" si="56">+D72-H72</f>
        <v>-176</v>
      </c>
      <c r="M72" s="1"/>
      <c r="N72" s="5">
        <f t="shared" ref="N72:N79" si="57">IF(H72=0,0,L72/H72)</f>
        <v>-1</v>
      </c>
      <c r="O72" s="14"/>
      <c r="P72" s="1">
        <f>SUM(OSRRefP22_13x_0)</f>
        <v>0</v>
      </c>
      <c r="Q72" s="1"/>
      <c r="R72" s="5">
        <f t="shared" ref="R72:R79" si="58">IF(P$12=0,0,P72/P$12)</f>
        <v>0</v>
      </c>
      <c r="S72" s="1"/>
      <c r="T72" s="1">
        <f>SUM(OSRRefT22_13x_0)</f>
        <v>1232</v>
      </c>
      <c r="U72" s="1"/>
      <c r="V72" s="5">
        <f t="shared" ref="V72:V79" si="59">IF(T$12=0,0,T72/T$12)</f>
        <v>1.0760953112990008E-2</v>
      </c>
      <c r="W72" s="1"/>
      <c r="X72" s="1">
        <f t="shared" ref="X72:X79" si="60">+P72-T72</f>
        <v>-1232</v>
      </c>
      <c r="Y72" s="1"/>
      <c r="Z72" s="5">
        <f t="shared" ref="Z72:Z79" si="61">IF(T72=0,0,X72/T72)</f>
        <v>-1</v>
      </c>
    </row>
    <row r="73" spans="1:26" s="24" customFormat="1" hidden="1" outlineLevel="2" x14ac:dyDescent="0.35">
      <c r="A73" s="29"/>
      <c r="B73" s="11" t="str">
        <f>CONCATENATE("          ", "6275", " - ", "SUBSCRIPTIONS")</f>
        <v xml:space="preserve">          6275 - SUBSCRIPTIONS</v>
      </c>
      <c r="C73" s="11"/>
      <c r="D73" s="7"/>
      <c r="E73" s="2"/>
      <c r="F73" s="6">
        <f t="shared" si="54"/>
        <v>0</v>
      </c>
      <c r="G73" s="2"/>
      <c r="H73" s="7">
        <v>176</v>
      </c>
      <c r="I73" s="2"/>
      <c r="J73" s="6">
        <f t="shared" si="55"/>
        <v>7.1056562638782345E-3</v>
      </c>
      <c r="K73" s="2"/>
      <c r="L73" s="7">
        <f t="shared" si="56"/>
        <v>-176</v>
      </c>
      <c r="M73" s="2"/>
      <c r="N73" s="6">
        <f t="shared" si="57"/>
        <v>-1</v>
      </c>
      <c r="O73" s="11"/>
      <c r="P73" s="7"/>
      <c r="Q73" s="2"/>
      <c r="R73" s="6">
        <f t="shared" si="58"/>
        <v>0</v>
      </c>
      <c r="S73" s="2"/>
      <c r="T73" s="7">
        <v>1232</v>
      </c>
      <c r="U73" s="2"/>
      <c r="V73" s="6">
        <f t="shared" si="59"/>
        <v>1.0760953112990008E-2</v>
      </c>
      <c r="W73" s="2"/>
      <c r="X73" s="7">
        <f t="shared" si="60"/>
        <v>-1232</v>
      </c>
      <c r="Y73" s="2"/>
      <c r="Z73" s="6">
        <f t="shared" si="61"/>
        <v>-1</v>
      </c>
    </row>
    <row r="74" spans="1:26" s="28" customFormat="1" outlineLevel="1" collapsed="1" x14ac:dyDescent="0.35">
      <c r="A74" s="27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SUM(OSRRefD22_14x_0)</f>
        <v>0</v>
      </c>
      <c r="E74" s="1"/>
      <c r="F74" s="5">
        <f t="shared" si="54"/>
        <v>0</v>
      </c>
      <c r="G74" s="1"/>
      <c r="H74" s="1">
        <f>SUM(OSRRefH22_14x_0)</f>
        <v>1255</v>
      </c>
      <c r="I74" s="1"/>
      <c r="J74" s="5">
        <f t="shared" si="55"/>
        <v>5.066817392708628E-2</v>
      </c>
      <c r="K74" s="1"/>
      <c r="L74" s="1">
        <f t="shared" si="56"/>
        <v>-1255</v>
      </c>
      <c r="M74" s="1"/>
      <c r="N74" s="5">
        <f t="shared" si="57"/>
        <v>-1</v>
      </c>
      <c r="O74" s="14"/>
      <c r="P74" s="1">
        <f>SUM(OSRRefP22_14x_0)</f>
        <v>634.24</v>
      </c>
      <c r="Q74" s="1"/>
      <c r="R74" s="5">
        <f t="shared" si="58"/>
        <v>0</v>
      </c>
      <c r="S74" s="1"/>
      <c r="T74" s="1">
        <f>SUM(OSRRefT22_14x_0)</f>
        <v>11309</v>
      </c>
      <c r="U74" s="1"/>
      <c r="V74" s="5">
        <f t="shared" si="59"/>
        <v>9.8778911326951296E-2</v>
      </c>
      <c r="W74" s="1"/>
      <c r="X74" s="1">
        <f t="shared" si="60"/>
        <v>-10674.76</v>
      </c>
      <c r="Y74" s="1"/>
      <c r="Z74" s="5">
        <f t="shared" si="61"/>
        <v>-0.94391723406136707</v>
      </c>
    </row>
    <row r="75" spans="1:26" s="24" customFormat="1" hidden="1" outlineLevel="2" x14ac:dyDescent="0.35">
      <c r="A75" s="29"/>
      <c r="B75" s="11" t="str">
        <f>CONCATENATE("          ", "6234", " - ", "EXPENDABLE SUPPLIES &amp; EQUIPMEN")</f>
        <v xml:space="preserve">          6234 - EXPENDABLE SUPPLIES &amp; EQUIPMEN</v>
      </c>
      <c r="C75" s="11"/>
      <c r="D75" s="7"/>
      <c r="E75" s="2"/>
      <c r="F75" s="6">
        <f t="shared" si="54"/>
        <v>0</v>
      </c>
      <c r="G75" s="2"/>
      <c r="H75" s="7"/>
      <c r="I75" s="2"/>
      <c r="J75" s="6">
        <f t="shared" si="55"/>
        <v>0</v>
      </c>
      <c r="K75" s="2"/>
      <c r="L75" s="7">
        <f t="shared" si="56"/>
        <v>0</v>
      </c>
      <c r="M75" s="2"/>
      <c r="N75" s="6">
        <f t="shared" si="57"/>
        <v>0</v>
      </c>
      <c r="O75" s="11"/>
      <c r="P75" s="7">
        <v>316.67</v>
      </c>
      <c r="Q75" s="2"/>
      <c r="R75" s="6">
        <f t="shared" si="58"/>
        <v>0</v>
      </c>
      <c r="S75" s="2"/>
      <c r="T75" s="7">
        <v>28</v>
      </c>
      <c r="U75" s="2"/>
      <c r="V75" s="6">
        <f t="shared" si="59"/>
        <v>2.4456711620431836E-4</v>
      </c>
      <c r="W75" s="2"/>
      <c r="X75" s="7">
        <f t="shared" si="60"/>
        <v>288.67</v>
      </c>
      <c r="Y75" s="2"/>
      <c r="Z75" s="6">
        <f t="shared" si="61"/>
        <v>10.309642857142858</v>
      </c>
    </row>
    <row r="76" spans="1:26" s="24" customFormat="1" hidden="1" outlineLevel="2" x14ac:dyDescent="0.35">
      <c r="A76" s="29"/>
      <c r="B76" s="11" t="str">
        <f>CONCATENATE("          ", "6235", " - ", "COVID-19 EXPENSES")</f>
        <v xml:space="preserve">          6235 - COVID-19 EXPENSES</v>
      </c>
      <c r="C76" s="11"/>
      <c r="D76" s="7"/>
      <c r="E76" s="2"/>
      <c r="F76" s="6">
        <f t="shared" si="54"/>
        <v>0</v>
      </c>
      <c r="G76" s="2"/>
      <c r="H76" s="7">
        <v>200</v>
      </c>
      <c r="I76" s="2"/>
      <c r="J76" s="6">
        <f t="shared" si="55"/>
        <v>8.0746093907707213E-3</v>
      </c>
      <c r="K76" s="2"/>
      <c r="L76" s="7">
        <f t="shared" si="56"/>
        <v>-200</v>
      </c>
      <c r="M76" s="2"/>
      <c r="N76" s="6">
        <f t="shared" si="57"/>
        <v>-1</v>
      </c>
      <c r="O76" s="11"/>
      <c r="P76" s="7"/>
      <c r="Q76" s="2"/>
      <c r="R76" s="6">
        <f t="shared" si="58"/>
        <v>0</v>
      </c>
      <c r="S76" s="2"/>
      <c r="T76" s="7">
        <v>2100</v>
      </c>
      <c r="U76" s="2"/>
      <c r="V76" s="6">
        <f t="shared" si="59"/>
        <v>1.8342533715323878E-2</v>
      </c>
      <c r="W76" s="2"/>
      <c r="X76" s="7">
        <f t="shared" si="60"/>
        <v>-2100</v>
      </c>
      <c r="Y76" s="2"/>
      <c r="Z76" s="6">
        <f t="shared" si="61"/>
        <v>-1</v>
      </c>
    </row>
    <row r="77" spans="1:26" s="24" customFormat="1" hidden="1" outlineLevel="2" x14ac:dyDescent="0.35">
      <c r="A77" s="29"/>
      <c r="B77" s="11" t="str">
        <f>CONCATENATE("          ", "6237", " - ", "JANITORIAL SUPPLIES")</f>
        <v xml:space="preserve">          6237 - JANITORIAL SUPPLIES</v>
      </c>
      <c r="C77" s="11"/>
      <c r="D77" s="7"/>
      <c r="E77" s="2"/>
      <c r="F77" s="6">
        <f t="shared" si="54"/>
        <v>0</v>
      </c>
      <c r="G77" s="2"/>
      <c r="H77" s="7">
        <v>291</v>
      </c>
      <c r="I77" s="2"/>
      <c r="J77" s="6">
        <f t="shared" si="55"/>
        <v>1.1748556663571399E-2</v>
      </c>
      <c r="K77" s="2"/>
      <c r="L77" s="7">
        <f t="shared" si="56"/>
        <v>-291</v>
      </c>
      <c r="M77" s="2"/>
      <c r="N77" s="6">
        <f t="shared" si="57"/>
        <v>-1</v>
      </c>
      <c r="O77" s="11"/>
      <c r="P77" s="7">
        <v>317.57</v>
      </c>
      <c r="Q77" s="2"/>
      <c r="R77" s="6">
        <f t="shared" si="58"/>
        <v>0</v>
      </c>
      <c r="S77" s="2"/>
      <c r="T77" s="7">
        <v>691</v>
      </c>
      <c r="U77" s="2"/>
      <c r="V77" s="6">
        <f t="shared" si="59"/>
        <v>6.0355670463279991E-3</v>
      </c>
      <c r="W77" s="2"/>
      <c r="X77" s="7">
        <f t="shared" si="60"/>
        <v>-373.43</v>
      </c>
      <c r="Y77" s="2"/>
      <c r="Z77" s="6">
        <f t="shared" si="61"/>
        <v>-0.54041968162083942</v>
      </c>
    </row>
    <row r="78" spans="1:26" s="24" customFormat="1" hidden="1" outlineLevel="2" x14ac:dyDescent="0.35">
      <c r="A78" s="29"/>
      <c r="B78" s="11" t="str">
        <f>CONCATENATE("          ", "6243", " - ", "PAPER SUPPLIES")</f>
        <v xml:space="preserve">          6243 - PAPER SUPPLIES</v>
      </c>
      <c r="C78" s="11"/>
      <c r="D78" s="7"/>
      <c r="E78" s="2"/>
      <c r="F78" s="6">
        <f t="shared" si="54"/>
        <v>0</v>
      </c>
      <c r="G78" s="2"/>
      <c r="H78" s="7">
        <v>454</v>
      </c>
      <c r="I78" s="2"/>
      <c r="J78" s="6">
        <f t="shared" si="55"/>
        <v>1.8329363317049537E-2</v>
      </c>
      <c r="K78" s="2"/>
      <c r="L78" s="7">
        <f t="shared" si="56"/>
        <v>-454</v>
      </c>
      <c r="M78" s="2"/>
      <c r="N78" s="6">
        <f t="shared" si="57"/>
        <v>-1</v>
      </c>
      <c r="O78" s="11"/>
      <c r="P78" s="7"/>
      <c r="Q78" s="2"/>
      <c r="R78" s="6">
        <f t="shared" si="58"/>
        <v>0</v>
      </c>
      <c r="S78" s="2"/>
      <c r="T78" s="7">
        <v>1130</v>
      </c>
      <c r="U78" s="2"/>
      <c r="V78" s="6">
        <f t="shared" si="59"/>
        <v>9.8700300468171336E-3</v>
      </c>
      <c r="W78" s="2"/>
      <c r="X78" s="7">
        <f t="shared" si="60"/>
        <v>-1130</v>
      </c>
      <c r="Y78" s="2"/>
      <c r="Z78" s="6">
        <f t="shared" si="61"/>
        <v>-1</v>
      </c>
    </row>
    <row r="79" spans="1:26" s="24" customFormat="1" hidden="1" outlineLevel="2" x14ac:dyDescent="0.35">
      <c r="A79" s="29"/>
      <c r="B79" s="11" t="str">
        <f>CONCATENATE("          ", "6247", " - ", "STORE SUPPLIES")</f>
        <v xml:space="preserve">          6247 - STORE SUPPLIES</v>
      </c>
      <c r="C79" s="11"/>
      <c r="D79" s="7"/>
      <c r="E79" s="2"/>
      <c r="F79" s="6">
        <f t="shared" si="54"/>
        <v>0</v>
      </c>
      <c r="G79" s="2"/>
      <c r="H79" s="7">
        <v>310</v>
      </c>
      <c r="I79" s="2"/>
      <c r="J79" s="6">
        <f t="shared" si="55"/>
        <v>1.2515644555694618E-2</v>
      </c>
      <c r="K79" s="2"/>
      <c r="L79" s="7">
        <f t="shared" si="56"/>
        <v>-310</v>
      </c>
      <c r="M79" s="2"/>
      <c r="N79" s="6">
        <f t="shared" si="57"/>
        <v>-1</v>
      </c>
      <c r="O79" s="11"/>
      <c r="P79" s="7"/>
      <c r="Q79" s="2"/>
      <c r="R79" s="6">
        <f t="shared" si="58"/>
        <v>0</v>
      </c>
      <c r="S79" s="2"/>
      <c r="T79" s="7">
        <v>7360</v>
      </c>
      <c r="U79" s="2"/>
      <c r="V79" s="6">
        <f t="shared" si="59"/>
        <v>6.428621340227797E-2</v>
      </c>
      <c r="W79" s="2"/>
      <c r="X79" s="7">
        <f t="shared" si="60"/>
        <v>-7360</v>
      </c>
      <c r="Y79" s="2"/>
      <c r="Z79" s="6">
        <f t="shared" si="61"/>
        <v>-1</v>
      </c>
    </row>
    <row r="80" spans="1:26" s="28" customFormat="1" outlineLevel="1" collapsed="1" x14ac:dyDescent="0.35">
      <c r="A80" s="27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SUM(OSRRefD22_15x_0)</f>
        <v>172</v>
      </c>
      <c r="E80" s="1"/>
      <c r="F80" s="5">
        <f t="shared" ref="F80:F82" si="62">IF(D$12=0,0,D80/D$12)</f>
        <v>0</v>
      </c>
      <c r="G80" s="1"/>
      <c r="H80" s="1">
        <f>SUM(OSRRefH22_15x_0)</f>
        <v>190</v>
      </c>
      <c r="I80" s="1"/>
      <c r="J80" s="5">
        <f t="shared" ref="J80:J82" si="63">IF(H$12=0,0,H80/H$12)</f>
        <v>7.6708789212321851E-3</v>
      </c>
      <c r="K80" s="1"/>
      <c r="L80" s="1">
        <f t="shared" ref="L80:L82" si="64">+D80-H80</f>
        <v>-18</v>
      </c>
      <c r="M80" s="1"/>
      <c r="N80" s="5">
        <f t="shared" ref="N80:N82" si="65">IF(H80=0,0,L80/H80)</f>
        <v>-9.4736842105263161E-2</v>
      </c>
      <c r="O80" s="14"/>
      <c r="P80" s="1">
        <f>SUM(OSRRefP22_15x_0)</f>
        <v>1059.8699999999999</v>
      </c>
      <c r="Q80" s="1"/>
      <c r="R80" s="5">
        <f t="shared" ref="R80:R82" si="66">IF(P$12=0,0,P80/P$12)</f>
        <v>0</v>
      </c>
      <c r="S80" s="1"/>
      <c r="T80" s="1">
        <f>SUM(OSRRefT22_15x_0)</f>
        <v>725</v>
      </c>
      <c r="U80" s="1"/>
      <c r="V80" s="5">
        <f t="shared" ref="V80:V82" si="67">IF(T$12=0,0,T80/T$12)</f>
        <v>6.3325414017189573E-3</v>
      </c>
      <c r="W80" s="1"/>
      <c r="X80" s="1">
        <f t="shared" ref="X80:X82" si="68">+P80-T80</f>
        <v>334.86999999999989</v>
      </c>
      <c r="Y80" s="1"/>
      <c r="Z80" s="5">
        <f t="shared" ref="Z80:Z82" si="69">IF(T80=0,0,X80/T80)</f>
        <v>0.46188965517241365</v>
      </c>
    </row>
    <row r="81" spans="1:26" s="24" customFormat="1" hidden="1" outlineLevel="2" x14ac:dyDescent="0.35">
      <c r="A81" s="29"/>
      <c r="B81" s="11" t="str">
        <f>CONCATENATE("          ", "6303", " - ", "DATA PHONE LINES")</f>
        <v xml:space="preserve">          6303 - DATA PHONE LINES</v>
      </c>
      <c r="C81" s="11"/>
      <c r="D81" s="7"/>
      <c r="E81" s="2"/>
      <c r="F81" s="6">
        <f t="shared" si="62"/>
        <v>0</v>
      </c>
      <c r="G81" s="2"/>
      <c r="H81" s="7">
        <v>40</v>
      </c>
      <c r="I81" s="2"/>
      <c r="J81" s="6">
        <f t="shared" si="63"/>
        <v>1.6149218781541443E-3</v>
      </c>
      <c r="K81" s="2"/>
      <c r="L81" s="7">
        <f t="shared" si="64"/>
        <v>-40</v>
      </c>
      <c r="M81" s="2"/>
      <c r="N81" s="6">
        <f t="shared" si="65"/>
        <v>-1</v>
      </c>
      <c r="O81" s="11"/>
      <c r="P81" s="7"/>
      <c r="Q81" s="2"/>
      <c r="R81" s="6">
        <f t="shared" si="66"/>
        <v>0</v>
      </c>
      <c r="S81" s="2"/>
      <c r="T81" s="7">
        <v>275</v>
      </c>
      <c r="U81" s="2"/>
      <c r="V81" s="6">
        <f t="shared" si="67"/>
        <v>2.4019984627209837E-3</v>
      </c>
      <c r="W81" s="2"/>
      <c r="X81" s="7">
        <f t="shared" si="68"/>
        <v>-275</v>
      </c>
      <c r="Y81" s="2"/>
      <c r="Z81" s="6">
        <f t="shared" si="69"/>
        <v>-1</v>
      </c>
    </row>
    <row r="82" spans="1:26" s="24" customFormat="1" hidden="1" outlineLevel="2" x14ac:dyDescent="0.35">
      <c r="A82" s="29"/>
      <c r="B82" s="11" t="str">
        <f>CONCATENATE("          ", "6309", " - ", "TELEPHONE")</f>
        <v xml:space="preserve">          6309 - TELEPHONE</v>
      </c>
      <c r="C82" s="11"/>
      <c r="D82" s="7">
        <v>172</v>
      </c>
      <c r="E82" s="2"/>
      <c r="F82" s="6">
        <f t="shared" si="62"/>
        <v>0</v>
      </c>
      <c r="G82" s="2"/>
      <c r="H82" s="7">
        <v>150</v>
      </c>
      <c r="I82" s="2"/>
      <c r="J82" s="6">
        <f t="shared" si="63"/>
        <v>6.055957043078041E-3</v>
      </c>
      <c r="K82" s="2"/>
      <c r="L82" s="7">
        <f t="shared" si="64"/>
        <v>22</v>
      </c>
      <c r="M82" s="2"/>
      <c r="N82" s="6">
        <f t="shared" si="65"/>
        <v>0.14666666666666667</v>
      </c>
      <c r="O82" s="11"/>
      <c r="P82" s="7">
        <v>1059.8699999999999</v>
      </c>
      <c r="Q82" s="2"/>
      <c r="R82" s="6">
        <f t="shared" si="66"/>
        <v>0</v>
      </c>
      <c r="S82" s="2"/>
      <c r="T82" s="7">
        <v>450</v>
      </c>
      <c r="U82" s="2"/>
      <c r="V82" s="6">
        <f t="shared" si="67"/>
        <v>3.9305429389979735E-3</v>
      </c>
      <c r="W82" s="2"/>
      <c r="X82" s="7">
        <f t="shared" si="68"/>
        <v>609.86999999999989</v>
      </c>
      <c r="Y82" s="2"/>
      <c r="Z82" s="6">
        <f t="shared" si="69"/>
        <v>1.3552666666666664</v>
      </c>
    </row>
    <row r="83" spans="1:26" s="28" customFormat="1" outlineLevel="1" collapsed="1" x14ac:dyDescent="0.35">
      <c r="A83" s="27"/>
      <c r="B83" s="14" t="str">
        <f>CONCATENATE("     ","Travel                                            ")</f>
        <v xml:space="preserve">     Travel                                            </v>
      </c>
      <c r="C83" s="14"/>
      <c r="D83" s="1">
        <f>SUM(OSRRefD22_16x_0)</f>
        <v>0</v>
      </c>
      <c r="E83" s="1"/>
      <c r="F83" s="5">
        <f t="shared" ref="F83:F86" si="70">IF(D$12=0,0,D83/D$12)</f>
        <v>0</v>
      </c>
      <c r="G83" s="1"/>
      <c r="H83" s="1">
        <f>SUM(OSRRefH22_16x_0)</f>
        <v>0</v>
      </c>
      <c r="I83" s="1"/>
      <c r="J83" s="5">
        <f t="shared" ref="J83:J86" si="71">IF(H$12=0,0,H83/H$12)</f>
        <v>0</v>
      </c>
      <c r="K83" s="1"/>
      <c r="L83" s="1">
        <f t="shared" ref="L83:L86" si="72">+D83-H83</f>
        <v>0</v>
      </c>
      <c r="M83" s="1"/>
      <c r="N83" s="5">
        <f t="shared" ref="N83:N86" si="73">IF(H83=0,0,L83/H83)</f>
        <v>0</v>
      </c>
      <c r="O83" s="14"/>
      <c r="P83" s="1">
        <f>SUM(OSRRefP22_16x_0)</f>
        <v>0</v>
      </c>
      <c r="Q83" s="1"/>
      <c r="R83" s="5">
        <f t="shared" ref="R83:R86" si="74">IF(P$12=0,0,P83/P$12)</f>
        <v>0</v>
      </c>
      <c r="S83" s="1"/>
      <c r="T83" s="1">
        <f>SUM(OSRRefT22_16x_0)</f>
        <v>1500</v>
      </c>
      <c r="U83" s="1"/>
      <c r="V83" s="5">
        <f t="shared" ref="V83:V86" si="75">IF(T$12=0,0,T83/T$12)</f>
        <v>1.3101809796659912E-2</v>
      </c>
      <c r="W83" s="1"/>
      <c r="X83" s="1">
        <f t="shared" ref="X83:X86" si="76">+P83-T83</f>
        <v>-1500</v>
      </c>
      <c r="Y83" s="1"/>
      <c r="Z83" s="5">
        <f t="shared" ref="Z83:Z86" si="77">IF(T83=0,0,X83/T83)</f>
        <v>-1</v>
      </c>
    </row>
    <row r="84" spans="1:26" s="24" customFormat="1" hidden="1" outlineLevel="2" x14ac:dyDescent="0.35">
      <c r="A84" s="29"/>
      <c r="B84" s="11" t="str">
        <f>CONCATENATE("          ", "6292", " - ", "TRAVEL/CONFERENCE")</f>
        <v xml:space="preserve">          6292 - TRAVEL/CONFERENCE</v>
      </c>
      <c r="C84" s="11"/>
      <c r="D84" s="7"/>
      <c r="E84" s="2"/>
      <c r="F84" s="6">
        <f t="shared" si="70"/>
        <v>0</v>
      </c>
      <c r="G84" s="2"/>
      <c r="H84" s="7"/>
      <c r="I84" s="2"/>
      <c r="J84" s="6">
        <f t="shared" si="71"/>
        <v>0</v>
      </c>
      <c r="K84" s="2"/>
      <c r="L84" s="7">
        <f t="shared" si="72"/>
        <v>0</v>
      </c>
      <c r="M84" s="2"/>
      <c r="N84" s="6">
        <f t="shared" si="73"/>
        <v>0</v>
      </c>
      <c r="O84" s="11"/>
      <c r="P84" s="7"/>
      <c r="Q84" s="2"/>
      <c r="R84" s="6">
        <f t="shared" si="74"/>
        <v>0</v>
      </c>
      <c r="S84" s="2"/>
      <c r="T84" s="7">
        <v>1500</v>
      </c>
      <c r="U84" s="2"/>
      <c r="V84" s="6">
        <f t="shared" si="75"/>
        <v>1.3101809796659912E-2</v>
      </c>
      <c r="W84" s="2"/>
      <c r="X84" s="7">
        <f t="shared" si="76"/>
        <v>-1500</v>
      </c>
      <c r="Y84" s="2"/>
      <c r="Z84" s="6">
        <f t="shared" si="77"/>
        <v>-1</v>
      </c>
    </row>
    <row r="85" spans="1:26" s="28" customFormat="1" outlineLevel="1" collapsed="1" x14ac:dyDescent="0.35">
      <c r="A85" s="27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SUM(OSRRefD22_17x_0)</f>
        <v>878</v>
      </c>
      <c r="E85" s="1"/>
      <c r="F85" s="5">
        <f t="shared" si="70"/>
        <v>0</v>
      </c>
      <c r="G85" s="1"/>
      <c r="H85" s="1">
        <f>SUM(OSRRefH22_17x_0)</f>
        <v>878</v>
      </c>
      <c r="I85" s="1"/>
      <c r="J85" s="5">
        <f t="shared" si="71"/>
        <v>3.5447535225483467E-2</v>
      </c>
      <c r="K85" s="1"/>
      <c r="L85" s="1">
        <f t="shared" si="72"/>
        <v>0</v>
      </c>
      <c r="M85" s="1"/>
      <c r="N85" s="5">
        <f t="shared" si="73"/>
        <v>0</v>
      </c>
      <c r="O85" s="14"/>
      <c r="P85" s="1">
        <f>SUM(OSRRefP22_17x_0)</f>
        <v>3512</v>
      </c>
      <c r="Q85" s="1"/>
      <c r="R85" s="5">
        <f t="shared" si="74"/>
        <v>0</v>
      </c>
      <c r="S85" s="1"/>
      <c r="T85" s="1">
        <f>SUM(OSRRefT22_17x_0)</f>
        <v>5894</v>
      </c>
      <c r="U85" s="1"/>
      <c r="V85" s="5">
        <f t="shared" si="75"/>
        <v>5.1481377961009017E-2</v>
      </c>
      <c r="W85" s="1"/>
      <c r="X85" s="1">
        <f t="shared" si="76"/>
        <v>-2382</v>
      </c>
      <c r="Y85" s="1"/>
      <c r="Z85" s="5">
        <f t="shared" si="77"/>
        <v>-0.4041398031896844</v>
      </c>
    </row>
    <row r="86" spans="1:26" s="24" customFormat="1" hidden="1" outlineLevel="2" x14ac:dyDescent="0.35">
      <c r="A86" s="29"/>
      <c r="B86" s="11" t="str">
        <f>CONCATENATE("          ", "6274", " - ", "UTILITIES")</f>
        <v xml:space="preserve">          6274 - UTILITIES</v>
      </c>
      <c r="C86" s="11"/>
      <c r="D86" s="7">
        <v>878</v>
      </c>
      <c r="E86" s="2"/>
      <c r="F86" s="6">
        <f t="shared" si="70"/>
        <v>0</v>
      </c>
      <c r="G86" s="2"/>
      <c r="H86" s="7">
        <v>878</v>
      </c>
      <c r="I86" s="2"/>
      <c r="J86" s="6">
        <f t="shared" si="71"/>
        <v>3.5447535225483467E-2</v>
      </c>
      <c r="K86" s="2"/>
      <c r="L86" s="7">
        <f t="shared" si="72"/>
        <v>0</v>
      </c>
      <c r="M86" s="2"/>
      <c r="N86" s="6">
        <f t="shared" si="73"/>
        <v>0</v>
      </c>
      <c r="O86" s="11"/>
      <c r="P86" s="7">
        <v>3512</v>
      </c>
      <c r="Q86" s="2"/>
      <c r="R86" s="6">
        <f t="shared" si="74"/>
        <v>0</v>
      </c>
      <c r="S86" s="2"/>
      <c r="T86" s="7">
        <v>5894</v>
      </c>
      <c r="U86" s="2"/>
      <c r="V86" s="6">
        <f t="shared" si="75"/>
        <v>5.1481377961009017E-2</v>
      </c>
      <c r="W86" s="2"/>
      <c r="X86" s="7">
        <f t="shared" si="76"/>
        <v>-2382</v>
      </c>
      <c r="Y86" s="2"/>
      <c r="Z86" s="6">
        <f t="shared" si="77"/>
        <v>-0.4041398031896844</v>
      </c>
    </row>
    <row r="87" spans="1:26" s="55" customFormat="1" x14ac:dyDescent="0.3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35">
      <c r="A88" s="10"/>
      <c r="B88" s="25" t="s">
        <v>0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3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35">
      <c r="A90" s="10"/>
      <c r="B90" s="26" t="s">
        <v>3</v>
      </c>
      <c r="C90" s="26"/>
      <c r="D90" s="19">
        <f>+D21-D23+D88</f>
        <v>-11903.55</v>
      </c>
      <c r="E90" s="13"/>
      <c r="F90" s="21">
        <f>IF(D$12=0,0,D90/D$12)</f>
        <v>0</v>
      </c>
      <c r="G90" s="13"/>
      <c r="H90" s="19">
        <f>+H21-H23+H88</f>
        <v>-14386.902040000001</v>
      </c>
      <c r="I90" s="13"/>
      <c r="J90" s="21">
        <f>IF(H$12=0,0,H90/H$12)</f>
        <v>-0.58084307158141224</v>
      </c>
      <c r="K90" s="16"/>
      <c r="L90" s="19">
        <f>+D90-H90</f>
        <v>2483.3520400000016</v>
      </c>
      <c r="M90" s="16"/>
      <c r="N90" s="21">
        <f>IF(H90=0,0,L90/H90)</f>
        <v>-0.17261200730327636</v>
      </c>
      <c r="O90" s="25"/>
      <c r="P90" s="19">
        <f>+P21-P23+P88</f>
        <v>-91074.810000000012</v>
      </c>
      <c r="Q90" s="13"/>
      <c r="R90" s="21">
        <f>IF(P$12=0,0,P90/P$12)</f>
        <v>0</v>
      </c>
      <c r="S90" s="13"/>
      <c r="T90" s="19">
        <f>+T21-T23+T88</f>
        <v>-120841.02340000001</v>
      </c>
      <c r="U90" s="13"/>
      <c r="V90" s="21">
        <f>IF(T$12=0,0,T90/T$12)</f>
        <v>-1.0554907361470198</v>
      </c>
      <c r="W90" s="16"/>
      <c r="X90" s="19">
        <f>+P90-T90</f>
        <v>29766.213399999993</v>
      </c>
      <c r="Y90" s="16"/>
      <c r="Z90" s="21">
        <f>IF(T90=0,0,X90/T90)</f>
        <v>-0.24632539978968759</v>
      </c>
    </row>
    <row r="91" spans="1:26" x14ac:dyDescent="0.3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35">
      <c r="A92" s="52"/>
      <c r="B92" s="10" t="s">
        <v>14</v>
      </c>
      <c r="C92" s="10"/>
      <c r="D92" s="4"/>
      <c r="E92" s="4"/>
      <c r="F92" s="12">
        <f>IF(D$12=0,0,D92/D$12)</f>
        <v>0</v>
      </c>
      <c r="G92" s="4"/>
      <c r="H92" s="4">
        <v>2850</v>
      </c>
      <c r="I92" s="4"/>
      <c r="J92" s="12">
        <f>IF(H$12=0,0,H92/H$12)</f>
        <v>0.11506318381848278</v>
      </c>
      <c r="K92" s="4"/>
      <c r="L92" s="4">
        <f>+D92-H92</f>
        <v>-2850</v>
      </c>
      <c r="M92" s="4"/>
      <c r="N92" s="12">
        <f>IF(H92=0,0,L92/H92)</f>
        <v>-1</v>
      </c>
      <c r="O92" s="10"/>
      <c r="P92" s="4"/>
      <c r="Q92" s="4"/>
      <c r="R92" s="12">
        <f>IF(P$12=0,0,P92/P$12)</f>
        <v>0</v>
      </c>
      <c r="S92" s="4"/>
      <c r="T92" s="4">
        <v>19868</v>
      </c>
      <c r="U92" s="4"/>
      <c r="V92" s="12">
        <f>IF(T$12=0,0,T92/T$12)</f>
        <v>0.17353783802669276</v>
      </c>
      <c r="W92" s="4"/>
      <c r="X92" s="4">
        <f>+P92-T92</f>
        <v>-19868</v>
      </c>
      <c r="Y92" s="4"/>
      <c r="Z92" s="12">
        <f>IF(T92=0,0,X92/T92)</f>
        <v>-1</v>
      </c>
    </row>
    <row r="93" spans="1:26" x14ac:dyDescent="0.3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" thickBot="1" x14ac:dyDescent="0.4">
      <c r="A94" s="10"/>
      <c r="B94" s="26" t="s">
        <v>4</v>
      </c>
      <c r="C94" s="26"/>
      <c r="D94" s="33">
        <f>+D90-D92</f>
        <v>-11903.55</v>
      </c>
      <c r="E94" s="13"/>
      <c r="F94" s="31">
        <f>IF(D$12=0,0,D94/D$12)</f>
        <v>0</v>
      </c>
      <c r="G94" s="13"/>
      <c r="H94" s="33">
        <f>+H90-H92</f>
        <v>-17236.902040000001</v>
      </c>
      <c r="I94" s="13"/>
      <c r="J94" s="31">
        <f>IF(H$12=0,0,H94/H$12)</f>
        <v>-0.69590625539989504</v>
      </c>
      <c r="K94" s="16"/>
      <c r="L94" s="33">
        <f>D94-H94</f>
        <v>5333.3520400000016</v>
      </c>
      <c r="M94" s="16"/>
      <c r="N94" s="31">
        <f>IF(H94=0,0,L94/H94)</f>
        <v>-0.30941476766668458</v>
      </c>
      <c r="O94" s="25"/>
      <c r="P94" s="33">
        <f>+P90-P92</f>
        <v>-91074.810000000012</v>
      </c>
      <c r="Q94" s="13"/>
      <c r="R94" s="31">
        <f>IF(P$12=0,0,P94/P$12)</f>
        <v>0</v>
      </c>
      <c r="S94" s="13"/>
      <c r="T94" s="33">
        <f>+T90-T92</f>
        <v>-140709.02340000001</v>
      </c>
      <c r="U94" s="13"/>
      <c r="V94" s="31">
        <f>IF(T$12=0,0,T94/T$12)</f>
        <v>-1.2290285741737126</v>
      </c>
      <c r="W94" s="16"/>
      <c r="X94" s="33">
        <f>P94-T94</f>
        <v>49634.213399999993</v>
      </c>
      <c r="Y94" s="16"/>
      <c r="Z94" s="31">
        <f>IF(T94=0,0,X94/T94)</f>
        <v>-0.35274364216786963</v>
      </c>
    </row>
    <row r="95" spans="1:26" ht="15" thickTop="1" x14ac:dyDescent="0.3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3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" thickBot="1" x14ac:dyDescent="0.4">
      <c r="A97" s="10"/>
      <c r="B97" s="26" t="s">
        <v>5</v>
      </c>
      <c r="C97" s="26"/>
      <c r="D97" s="34">
        <f>SUM(D94:D96)</f>
        <v>-11903.55</v>
      </c>
      <c r="E97" s="13"/>
      <c r="F97" s="32">
        <f>IF(D$12=0,0,D97/D$12)</f>
        <v>0</v>
      </c>
      <c r="G97" s="13"/>
      <c r="H97" s="34">
        <f>SUM(H94:H96)</f>
        <v>-17236.902040000001</v>
      </c>
      <c r="I97" s="13"/>
      <c r="J97" s="32">
        <f>IF(H$12=0,0,H97/H$12)</f>
        <v>-0.69590625539989504</v>
      </c>
      <c r="K97" s="16"/>
      <c r="L97" s="34">
        <f>+D97-H97</f>
        <v>5333.3520400000016</v>
      </c>
      <c r="M97" s="16"/>
      <c r="N97" s="32">
        <f>IF(H97=0,0,L97/H97)</f>
        <v>-0.30941476766668458</v>
      </c>
      <c r="O97" s="25"/>
      <c r="P97" s="34">
        <f>SUM(P94:P96)</f>
        <v>-91074.810000000012</v>
      </c>
      <c r="Q97" s="13"/>
      <c r="R97" s="32">
        <f>IF(P$12=0,0,P97/P$12)</f>
        <v>0</v>
      </c>
      <c r="S97" s="13"/>
      <c r="T97" s="34">
        <f>SUM(T94:T96)</f>
        <v>-140709.02340000001</v>
      </c>
      <c r="U97" s="13"/>
      <c r="V97" s="32">
        <f>IF(T$12=0,0,T97/T$12)</f>
        <v>-1.2290285741737126</v>
      </c>
      <c r="W97" s="16"/>
      <c r="X97" s="34">
        <f>+P97-T97</f>
        <v>49634.213399999993</v>
      </c>
      <c r="Y97" s="16"/>
      <c r="Z97" s="32">
        <f>IF(T97=0,0,X97/T97)</f>
        <v>-0.35274364216786963</v>
      </c>
    </row>
    <row r="98" spans="1:26" ht="15" thickTop="1" x14ac:dyDescent="0.35">
      <c r="A98" s="9"/>
      <c r="C98" s="9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6" x14ac:dyDescent="0.35">
      <c r="A99" s="9"/>
      <c r="B99" s="60">
        <v>44238.490597800926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35">
      <c r="A100" s="9"/>
      <c r="B100" s="59" t="s">
        <v>314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35">
      <c r="A101" s="9"/>
      <c r="B101" s="58"/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35"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","327", " - ", "C-Store Vending Machine(s)")</f>
        <v>Department 327 - C-Store Vending Machine(s)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358</v>
      </c>
      <c r="I12" s="4"/>
      <c r="J12" s="12"/>
      <c r="K12" s="4"/>
      <c r="L12" s="4">
        <f t="shared" ref="L12:L14" si="0">+D12-H12</f>
        <v>-358</v>
      </c>
      <c r="M12" s="4"/>
      <c r="N12" s="12">
        <f t="shared" ref="N12:N14" si="1">IF(H12=0,0,L12/H12)</f>
        <v>-1</v>
      </c>
      <c r="O12" s="10"/>
      <c r="P12" s="4">
        <f>SUM(OSRRefP13x_0)</f>
        <v>110</v>
      </c>
      <c r="Q12" s="4"/>
      <c r="R12" s="12"/>
      <c r="S12" s="4"/>
      <c r="T12" s="4">
        <f>SUM(OSRRefT13x_0)</f>
        <v>2448</v>
      </c>
      <c r="U12" s="4"/>
      <c r="V12" s="12"/>
      <c r="W12" s="4"/>
      <c r="X12" s="4">
        <f t="shared" ref="X12:X14" si="2">+P12-T12</f>
        <v>-2338</v>
      </c>
      <c r="Y12" s="4"/>
      <c r="Z12" s="12">
        <f t="shared" ref="Z12:Z14" si="3">IF(T12=0,0,X12/T12)</f>
        <v>-0.95506535947712423</v>
      </c>
    </row>
    <row r="13" spans="1:26" s="24" customFormat="1" hidden="1" outlineLevel="1" x14ac:dyDescent="0.3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 t="shared" ref="D13:D14" si="4">0</f>
        <v>0</v>
      </c>
      <c r="E13" s="2"/>
      <c r="F13" s="22"/>
      <c r="G13" s="2"/>
      <c r="H13" s="2">
        <v>358</v>
      </c>
      <c r="I13" s="2"/>
      <c r="J13" s="22"/>
      <c r="K13" s="2"/>
      <c r="L13" s="2">
        <f t="shared" si="0"/>
        <v>-358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2448</v>
      </c>
      <c r="U13" s="2"/>
      <c r="V13" s="22"/>
      <c r="W13" s="2"/>
      <c r="X13" s="2">
        <f t="shared" si="2"/>
        <v>-2448</v>
      </c>
      <c r="Y13" s="2"/>
      <c r="Z13" s="22">
        <f t="shared" si="3"/>
        <v>-1</v>
      </c>
    </row>
    <row r="14" spans="1:26" s="24" customFormat="1" hidden="1" outlineLevel="1" x14ac:dyDescent="0.35">
      <c r="A14" s="51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--110</f>
        <v>110</v>
      </c>
      <c r="Q14" s="2"/>
      <c r="R14" s="22"/>
      <c r="S14" s="2"/>
      <c r="T14" s="2"/>
      <c r="U14" s="2"/>
      <c r="V14" s="22"/>
      <c r="W14" s="2"/>
      <c r="X14" s="2">
        <f t="shared" si="2"/>
        <v>110</v>
      </c>
      <c r="Y14" s="2"/>
      <c r="Z14" s="22">
        <f t="shared" si="3"/>
        <v>0</v>
      </c>
    </row>
    <row r="15" spans="1:26" x14ac:dyDescent="0.3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5">IF(D$12=0,0,D16/D$12)</f>
        <v>0</v>
      </c>
      <c r="G16" s="4"/>
      <c r="H16" s="4">
        <f>SUM(OSRRefH16x_0)</f>
        <v>179</v>
      </c>
      <c r="I16" s="4"/>
      <c r="J16" s="12">
        <f t="shared" ref="J16:J18" si="6">IF(H$12=0,0,H16/H$12)</f>
        <v>0.5</v>
      </c>
      <c r="K16" s="4"/>
      <c r="L16" s="4">
        <f t="shared" ref="L16:L18" si="7">+D16-H16</f>
        <v>-179</v>
      </c>
      <c r="M16" s="4"/>
      <c r="N16" s="12">
        <f t="shared" ref="N16:N18" si="8">IF(H16=0,0,L16/H16)</f>
        <v>-1</v>
      </c>
      <c r="O16" s="10"/>
      <c r="P16" s="4">
        <f>SUM(OSRRefP16x_0)</f>
        <v>68.91</v>
      </c>
      <c r="Q16" s="4"/>
      <c r="R16" s="12">
        <f t="shared" ref="R16:R18" si="9">IF(P$12=0,0,P16/P$12)</f>
        <v>0.62645454545454538</v>
      </c>
      <c r="S16" s="4"/>
      <c r="T16" s="4">
        <f>SUM(OSRRefT16x_0)</f>
        <v>1225</v>
      </c>
      <c r="U16" s="4"/>
      <c r="V16" s="12">
        <f t="shared" ref="V16:V18" si="10">IF(T$12=0,0,T16/T$12)</f>
        <v>0.50040849673202614</v>
      </c>
      <c r="W16" s="4"/>
      <c r="X16" s="4">
        <f t="shared" ref="X16:X18" si="11">+P16-T16</f>
        <v>-1156.0899999999999</v>
      </c>
      <c r="Y16" s="4"/>
      <c r="Z16" s="12">
        <f t="shared" ref="Z16:Z18" si="12">IF(T16=0,0,X16/T16)</f>
        <v>-0.94374693877551019</v>
      </c>
    </row>
    <row r="17" spans="1:26" s="24" customFormat="1" hidden="1" outlineLevel="1" x14ac:dyDescent="0.3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5"/>
        <v>0</v>
      </c>
      <c r="G17" s="2"/>
      <c r="H17" s="2">
        <v>179</v>
      </c>
      <c r="I17" s="2"/>
      <c r="J17" s="22">
        <f t="shared" si="6"/>
        <v>0.5</v>
      </c>
      <c r="K17" s="2"/>
      <c r="L17" s="2">
        <f t="shared" si="7"/>
        <v>-179</v>
      </c>
      <c r="M17" s="2"/>
      <c r="N17" s="22">
        <f t="shared" si="8"/>
        <v>-1</v>
      </c>
      <c r="O17" s="11"/>
      <c r="P17" s="2"/>
      <c r="Q17" s="2"/>
      <c r="R17" s="22">
        <f t="shared" si="9"/>
        <v>0</v>
      </c>
      <c r="S17" s="2"/>
      <c r="T17" s="2">
        <v>1225</v>
      </c>
      <c r="U17" s="2"/>
      <c r="V17" s="22">
        <f t="shared" si="10"/>
        <v>0.50040849673202614</v>
      </c>
      <c r="W17" s="2"/>
      <c r="X17" s="2">
        <f t="shared" si="11"/>
        <v>-1225</v>
      </c>
      <c r="Y17" s="2"/>
      <c r="Z17" s="22">
        <f t="shared" si="12"/>
        <v>-1</v>
      </c>
    </row>
    <row r="18" spans="1:26" s="24" customFormat="1" hidden="1" outlineLevel="1" x14ac:dyDescent="0.35">
      <c r="A18" s="51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22">
        <f t="shared" si="5"/>
        <v>0</v>
      </c>
      <c r="G18" s="2"/>
      <c r="H18" s="2"/>
      <c r="I18" s="2"/>
      <c r="J18" s="22">
        <f t="shared" si="6"/>
        <v>0</v>
      </c>
      <c r="K18" s="2"/>
      <c r="L18" s="2">
        <f t="shared" si="7"/>
        <v>0</v>
      </c>
      <c r="M18" s="2"/>
      <c r="N18" s="22">
        <f t="shared" si="8"/>
        <v>0</v>
      </c>
      <c r="O18" s="11"/>
      <c r="P18" s="2">
        <v>68.91</v>
      </c>
      <c r="Q18" s="2"/>
      <c r="R18" s="22">
        <f t="shared" si="9"/>
        <v>0.62645454545454538</v>
      </c>
      <c r="S18" s="2"/>
      <c r="T18" s="2"/>
      <c r="U18" s="2"/>
      <c r="V18" s="22">
        <f t="shared" si="10"/>
        <v>0</v>
      </c>
      <c r="W18" s="2"/>
      <c r="X18" s="2">
        <f t="shared" si="11"/>
        <v>68.91</v>
      </c>
      <c r="Y18" s="2"/>
      <c r="Z18" s="22">
        <f t="shared" si="12"/>
        <v>0</v>
      </c>
    </row>
    <row r="19" spans="1:26" x14ac:dyDescent="0.3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5">
      <c r="A20" s="10"/>
      <c r="B20" s="26" t="s">
        <v>6</v>
      </c>
      <c r="C20" s="26"/>
      <c r="D20" s="19">
        <f>D12-D16</f>
        <v>0</v>
      </c>
      <c r="E20" s="13"/>
      <c r="F20" s="21">
        <f>IF(D$12=0,0,D20/D$12)</f>
        <v>0</v>
      </c>
      <c r="G20" s="13"/>
      <c r="H20" s="19">
        <f>H12-H16</f>
        <v>179</v>
      </c>
      <c r="I20" s="13"/>
      <c r="J20" s="21">
        <f>IF(H$12=0,0,H20/H$12)</f>
        <v>0.5</v>
      </c>
      <c r="K20" s="16"/>
      <c r="L20" s="19">
        <f>+D20-H20</f>
        <v>-179</v>
      </c>
      <c r="M20" s="16"/>
      <c r="N20" s="21">
        <f>IF(H20=0,0,L20/H20)</f>
        <v>-1</v>
      </c>
      <c r="O20" s="25"/>
      <c r="P20" s="19">
        <f>P12-P16</f>
        <v>41.09</v>
      </c>
      <c r="Q20" s="13"/>
      <c r="R20" s="21">
        <f>IF(P$12=0,0,P20/P$12)</f>
        <v>0.37354545454545457</v>
      </c>
      <c r="S20" s="13"/>
      <c r="T20" s="19">
        <f>T12-T16</f>
        <v>1223</v>
      </c>
      <c r="U20" s="13"/>
      <c r="V20" s="21">
        <f>IF(T$12=0,0,T20/T$12)</f>
        <v>0.49959150326797386</v>
      </c>
      <c r="W20" s="16"/>
      <c r="X20" s="19">
        <f>+P20-T20</f>
        <v>-1181.9100000000001</v>
      </c>
      <c r="Y20" s="16"/>
      <c r="Z20" s="21">
        <f>IF(T20=0,0,X20/T20)</f>
        <v>-0.96640228945216688</v>
      </c>
    </row>
    <row r="21" spans="1:26" x14ac:dyDescent="0.3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5">
      <c r="A22" s="10"/>
      <c r="B22" s="25" t="s">
        <v>9</v>
      </c>
      <c r="C22" s="10"/>
      <c r="D22" s="20">
        <f>SUM(OSRRefD22x_0)</f>
        <v>0</v>
      </c>
      <c r="E22" s="20"/>
      <c r="F22" s="30">
        <f t="shared" ref="F22:F24" si="13">IF(D$12=0,0,D22/D$12)</f>
        <v>0</v>
      </c>
      <c r="G22" s="20"/>
      <c r="H22" s="20">
        <f>SUM(OSRRefH22x_0)</f>
        <v>31</v>
      </c>
      <c r="I22" s="20"/>
      <c r="J22" s="30">
        <f t="shared" ref="J22:J24" si="14">IF(H$12=0,0,H22/H$12)</f>
        <v>8.6592178770949726E-2</v>
      </c>
      <c r="K22" s="4"/>
      <c r="L22" s="20">
        <f t="shared" ref="L22:L24" si="15">+D22-H22</f>
        <v>-31</v>
      </c>
      <c r="M22" s="4"/>
      <c r="N22" s="30">
        <f t="shared" ref="N22:N24" si="16">IF(H22=0,0,L22/H22)</f>
        <v>-1</v>
      </c>
      <c r="O22" s="10"/>
      <c r="P22" s="20">
        <f>SUM(OSRRefP22x_0)</f>
        <v>0</v>
      </c>
      <c r="Q22" s="20"/>
      <c r="R22" s="30">
        <f t="shared" ref="R22:R24" si="17">IF(P$12=0,0,P22/P$12)</f>
        <v>0</v>
      </c>
      <c r="S22" s="20"/>
      <c r="T22" s="20">
        <f>SUM(OSRRefT22x_0)</f>
        <v>214</v>
      </c>
      <c r="U22" s="20"/>
      <c r="V22" s="30">
        <f t="shared" ref="V22:V24" si="18">IF(T$12=0,0,T22/T$12)</f>
        <v>8.7418300653594766E-2</v>
      </c>
      <c r="W22" s="4"/>
      <c r="X22" s="20">
        <f t="shared" ref="X22:X24" si="19">+P22-T22</f>
        <v>-214</v>
      </c>
      <c r="Y22" s="4"/>
      <c r="Z22" s="30">
        <f t="shared" ref="Z22:Z24" si="20">IF(T22=0,0,X22/T22)</f>
        <v>-1</v>
      </c>
    </row>
    <row r="23" spans="1:26" s="28" customFormat="1" outlineLevel="1" collapsed="1" x14ac:dyDescent="0.35">
      <c r="A23" s="27"/>
      <c r="B23" s="14" t="str">
        <f>CONCATENATE("     ","Bank/card Fees                                    ")</f>
        <v xml:space="preserve">     Bank/card Fees                                    </v>
      </c>
      <c r="C23" s="14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31</v>
      </c>
      <c r="I23" s="1"/>
      <c r="J23" s="5">
        <f t="shared" si="14"/>
        <v>8.6592178770949726E-2</v>
      </c>
      <c r="K23" s="1"/>
      <c r="L23" s="1">
        <f t="shared" si="15"/>
        <v>-31</v>
      </c>
      <c r="M23" s="1"/>
      <c r="N23" s="5">
        <f t="shared" si="16"/>
        <v>-1</v>
      </c>
      <c r="O23" s="14"/>
      <c r="P23" s="1">
        <f>SUM(OSRRefP22_0x_0)</f>
        <v>0</v>
      </c>
      <c r="Q23" s="1"/>
      <c r="R23" s="5">
        <f t="shared" si="17"/>
        <v>0</v>
      </c>
      <c r="S23" s="1"/>
      <c r="T23" s="1">
        <f>SUM(OSRRefT22_0x_0)</f>
        <v>214</v>
      </c>
      <c r="U23" s="1"/>
      <c r="V23" s="5">
        <f t="shared" si="18"/>
        <v>8.7418300653594766E-2</v>
      </c>
      <c r="W23" s="1"/>
      <c r="X23" s="1">
        <f t="shared" si="19"/>
        <v>-214</v>
      </c>
      <c r="Y23" s="1"/>
      <c r="Z23" s="5">
        <f t="shared" si="20"/>
        <v>-1</v>
      </c>
    </row>
    <row r="24" spans="1:26" s="24" customFormat="1" hidden="1" outlineLevel="2" x14ac:dyDescent="0.35">
      <c r="A24" s="29"/>
      <c r="B24" s="11" t="str">
        <f>CONCATENATE("          ", "6381", " - ", "BANK/CREDIT CARD FEES")</f>
        <v xml:space="preserve">          6381 - BANK/CREDIT CARD FEES</v>
      </c>
      <c r="C24" s="11"/>
      <c r="D24" s="7"/>
      <c r="E24" s="2"/>
      <c r="F24" s="6">
        <f t="shared" si="13"/>
        <v>0</v>
      </c>
      <c r="G24" s="2"/>
      <c r="H24" s="7">
        <v>31</v>
      </c>
      <c r="I24" s="2"/>
      <c r="J24" s="6">
        <f t="shared" si="14"/>
        <v>8.6592178770949726E-2</v>
      </c>
      <c r="K24" s="2"/>
      <c r="L24" s="7">
        <f t="shared" si="15"/>
        <v>-31</v>
      </c>
      <c r="M24" s="2"/>
      <c r="N24" s="6">
        <f t="shared" si="16"/>
        <v>-1</v>
      </c>
      <c r="O24" s="11"/>
      <c r="P24" s="7"/>
      <c r="Q24" s="2"/>
      <c r="R24" s="6">
        <f t="shared" si="17"/>
        <v>0</v>
      </c>
      <c r="S24" s="2"/>
      <c r="T24" s="7">
        <v>214</v>
      </c>
      <c r="U24" s="2"/>
      <c r="V24" s="6">
        <f t="shared" si="18"/>
        <v>8.7418300653594766E-2</v>
      </c>
      <c r="W24" s="2"/>
      <c r="X24" s="7">
        <f t="shared" si="19"/>
        <v>-214</v>
      </c>
      <c r="Y24" s="2"/>
      <c r="Z24" s="6">
        <f t="shared" si="20"/>
        <v>-1</v>
      </c>
    </row>
    <row r="25" spans="1:26" s="55" customFormat="1" x14ac:dyDescent="0.3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5">
      <c r="A26" s="10"/>
      <c r="B26" s="25" t="s">
        <v>0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5">
      <c r="A28" s="10"/>
      <c r="B28" s="26" t="s">
        <v>3</v>
      </c>
      <c r="C28" s="26"/>
      <c r="D28" s="19">
        <f>+D20-D22+D26</f>
        <v>0</v>
      </c>
      <c r="E28" s="13"/>
      <c r="F28" s="21">
        <f>IF(D$12=0,0,D28/D$12)</f>
        <v>0</v>
      </c>
      <c r="G28" s="13"/>
      <c r="H28" s="19">
        <f>+H20-H22+H26</f>
        <v>148</v>
      </c>
      <c r="I28" s="13"/>
      <c r="J28" s="21">
        <f>IF(H$12=0,0,H28/H$12)</f>
        <v>0.41340782122905029</v>
      </c>
      <c r="K28" s="16"/>
      <c r="L28" s="19">
        <f>+D28-H28</f>
        <v>-148</v>
      </c>
      <c r="M28" s="16"/>
      <c r="N28" s="21">
        <f>IF(H28=0,0,L28/H28)</f>
        <v>-1</v>
      </c>
      <c r="O28" s="25"/>
      <c r="P28" s="19">
        <f>+P20-P22+P26</f>
        <v>41.09</v>
      </c>
      <c r="Q28" s="13"/>
      <c r="R28" s="21">
        <f>IF(P$12=0,0,P28/P$12)</f>
        <v>0.37354545454545457</v>
      </c>
      <c r="S28" s="13"/>
      <c r="T28" s="19">
        <f>+T20-T22+T26</f>
        <v>1009</v>
      </c>
      <c r="U28" s="13"/>
      <c r="V28" s="21">
        <f>IF(T$12=0,0,T28/T$12)</f>
        <v>0.41217320261437906</v>
      </c>
      <c r="W28" s="16"/>
      <c r="X28" s="19">
        <f>+P28-T28</f>
        <v>-967.91</v>
      </c>
      <c r="Y28" s="16"/>
      <c r="Z28" s="21">
        <f>IF(T28=0,0,X28/T28)</f>
        <v>-0.9592765113974232</v>
      </c>
    </row>
    <row r="29" spans="1:26" x14ac:dyDescent="0.3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5">
      <c r="A30" s="52"/>
      <c r="B30" s="10" t="s">
        <v>14</v>
      </c>
      <c r="C30" s="10"/>
      <c r="D30" s="4">
        <v>-0.38</v>
      </c>
      <c r="E30" s="4"/>
      <c r="F30" s="12">
        <f>IF(D$12=0,0,D30/D$12)</f>
        <v>0</v>
      </c>
      <c r="G30" s="4"/>
      <c r="H30" s="4">
        <v>28</v>
      </c>
      <c r="I30" s="4"/>
      <c r="J30" s="12">
        <f>IF(H$12=0,0,H30/H$12)</f>
        <v>7.8212290502793297E-2</v>
      </c>
      <c r="K30" s="4"/>
      <c r="L30" s="4">
        <f>+D30-H30</f>
        <v>-28.38</v>
      </c>
      <c r="M30" s="4"/>
      <c r="N30" s="12">
        <f>IF(H30=0,0,L30/H30)</f>
        <v>-1.0135714285714286</v>
      </c>
      <c r="O30" s="10"/>
      <c r="P30" s="4">
        <v>19.97</v>
      </c>
      <c r="Q30" s="4"/>
      <c r="R30" s="12">
        <f>IF(P$12=0,0,P30/P$12)</f>
        <v>0.18154545454545454</v>
      </c>
      <c r="S30" s="4"/>
      <c r="T30" s="4">
        <v>424</v>
      </c>
      <c r="U30" s="4"/>
      <c r="V30" s="12">
        <f>IF(T$12=0,0,T30/T$12)</f>
        <v>0.17320261437908496</v>
      </c>
      <c r="W30" s="4"/>
      <c r="X30" s="4">
        <f>+P30-T30</f>
        <v>-404.03</v>
      </c>
      <c r="Y30" s="4"/>
      <c r="Z30" s="12">
        <f>IF(T30=0,0,X30/T30)</f>
        <v>-0.95290094339622633</v>
      </c>
    </row>
    <row r="31" spans="1:26" x14ac:dyDescent="0.3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" thickBot="1" x14ac:dyDescent="0.4">
      <c r="A32" s="10"/>
      <c r="B32" s="26" t="s">
        <v>4</v>
      </c>
      <c r="C32" s="26"/>
      <c r="D32" s="33">
        <f>+D28-D30</f>
        <v>0.38</v>
      </c>
      <c r="E32" s="13"/>
      <c r="F32" s="31">
        <f>IF(D$12=0,0,D32/D$12)</f>
        <v>0</v>
      </c>
      <c r="G32" s="13"/>
      <c r="H32" s="33">
        <f>+H28-H30</f>
        <v>120</v>
      </c>
      <c r="I32" s="13"/>
      <c r="J32" s="31">
        <f>IF(H$12=0,0,H32/H$12)</f>
        <v>0.33519553072625696</v>
      </c>
      <c r="K32" s="16"/>
      <c r="L32" s="33">
        <f>D32-H32</f>
        <v>-119.62</v>
      </c>
      <c r="M32" s="16"/>
      <c r="N32" s="31">
        <f>IF(H32=0,0,L32/H32)</f>
        <v>-0.99683333333333335</v>
      </c>
      <c r="O32" s="25"/>
      <c r="P32" s="33">
        <f>+P28-P30</f>
        <v>21.120000000000005</v>
      </c>
      <c r="Q32" s="13"/>
      <c r="R32" s="31">
        <f>IF(P$12=0,0,P32/P$12)</f>
        <v>0.19200000000000003</v>
      </c>
      <c r="S32" s="13"/>
      <c r="T32" s="33">
        <f>+T28-T30</f>
        <v>585</v>
      </c>
      <c r="U32" s="13"/>
      <c r="V32" s="31">
        <f>IF(T$12=0,0,T32/T$12)</f>
        <v>0.23897058823529413</v>
      </c>
      <c r="W32" s="16"/>
      <c r="X32" s="33">
        <f>P32-T32</f>
        <v>-563.88</v>
      </c>
      <c r="Y32" s="16"/>
      <c r="Z32" s="31">
        <f>IF(T32=0,0,X32/T32)</f>
        <v>-0.96389743589743593</v>
      </c>
    </row>
    <row r="33" spans="1:26" ht="15" thickTop="1" x14ac:dyDescent="0.3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3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" thickBot="1" x14ac:dyDescent="0.4">
      <c r="A35" s="10"/>
      <c r="B35" s="26" t="s">
        <v>5</v>
      </c>
      <c r="C35" s="26"/>
      <c r="D35" s="34">
        <f>SUM(D32:D34)</f>
        <v>0.38</v>
      </c>
      <c r="E35" s="13"/>
      <c r="F35" s="32">
        <f>IF(D$12=0,0,D35/D$12)</f>
        <v>0</v>
      </c>
      <c r="G35" s="13"/>
      <c r="H35" s="34">
        <f>SUM(H32:H34)</f>
        <v>120</v>
      </c>
      <c r="I35" s="13"/>
      <c r="J35" s="32">
        <f>IF(H$12=0,0,H35/H$12)</f>
        <v>0.33519553072625696</v>
      </c>
      <c r="K35" s="16"/>
      <c r="L35" s="34">
        <f>+D35-H35</f>
        <v>-119.62</v>
      </c>
      <c r="M35" s="16"/>
      <c r="N35" s="32">
        <f>IF(H35=0,0,L35/H35)</f>
        <v>-0.99683333333333335</v>
      </c>
      <c r="O35" s="25"/>
      <c r="P35" s="34">
        <f>SUM(P32:P34)</f>
        <v>21.120000000000005</v>
      </c>
      <c r="Q35" s="13"/>
      <c r="R35" s="32">
        <f>IF(P$12=0,0,P35/P$12)</f>
        <v>0.19200000000000003</v>
      </c>
      <c r="S35" s="13"/>
      <c r="T35" s="34">
        <f>SUM(T32:T34)</f>
        <v>585</v>
      </c>
      <c r="U35" s="13"/>
      <c r="V35" s="32">
        <f>IF(T$12=0,0,T35/T$12)</f>
        <v>0.23897058823529413</v>
      </c>
      <c r="W35" s="16"/>
      <c r="X35" s="34">
        <f>+P35-T35</f>
        <v>-563.88</v>
      </c>
      <c r="Y35" s="16"/>
      <c r="Z35" s="32">
        <f>IF(T35=0,0,X35/T35)</f>
        <v>-0.96389743589743593</v>
      </c>
    </row>
    <row r="36" spans="1:26" ht="15" thickTop="1" x14ac:dyDescent="0.35">
      <c r="A36" s="9"/>
      <c r="C36" s="9"/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35">
      <c r="A37" s="9"/>
      <c r="B37" s="60">
        <v>44238.490623877318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59" t="s">
        <v>314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8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310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120324.61</v>
      </c>
      <c r="E12" s="4"/>
      <c r="F12" s="12"/>
      <c r="G12" s="4"/>
      <c r="H12" s="4">
        <f>SUM(OSRRefH13x_0)</f>
        <v>282717</v>
      </c>
      <c r="I12" s="4"/>
      <c r="J12" s="12"/>
      <c r="K12" s="4"/>
      <c r="L12" s="4">
        <f t="shared" ref="L12:L20" si="0">+D12-H12</f>
        <v>-162392.39000000001</v>
      </c>
      <c r="M12" s="4"/>
      <c r="N12" s="12">
        <f t="shared" ref="N12:N20" si="1">IF(H12=0,0,L12/H12)</f>
        <v>-0.57439909874538853</v>
      </c>
      <c r="O12" s="10"/>
      <c r="P12" s="4">
        <f>SUM(OSRRefP13x_0)</f>
        <v>951038.47000000009</v>
      </c>
      <c r="Q12" s="4"/>
      <c r="R12" s="12"/>
      <c r="S12" s="4"/>
      <c r="T12" s="4">
        <f>SUM(OSRRefT13x_0)</f>
        <v>2200514</v>
      </c>
      <c r="U12" s="4"/>
      <c r="V12" s="12"/>
      <c r="W12" s="4"/>
      <c r="X12" s="4">
        <f t="shared" ref="X12:X20" si="2">+P12-T12</f>
        <v>-1249475.5299999998</v>
      </c>
      <c r="Y12" s="4"/>
      <c r="Z12" s="12">
        <f t="shared" ref="Z12:Z20" si="3">IF(T12=0,0,X12/T12)</f>
        <v>-0.56781076148572551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7333</v>
      </c>
      <c r="I13" s="2"/>
      <c r="J13" s="22"/>
      <c r="K13" s="2"/>
      <c r="L13" s="2">
        <f t="shared" si="0"/>
        <v>-7333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35057</v>
      </c>
      <c r="U13" s="2"/>
      <c r="V13" s="22"/>
      <c r="W13" s="2"/>
      <c r="X13" s="2">
        <f t="shared" si="2"/>
        <v>-35057</v>
      </c>
      <c r="Y13" s="2"/>
      <c r="Z13" s="22">
        <f t="shared" si="3"/>
        <v>-1</v>
      </c>
    </row>
    <row r="14" spans="1:26" s="24" customFormat="1" hidden="1" outlineLevel="1" x14ac:dyDescent="0.3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--22964.48</f>
        <v>22964.48</v>
      </c>
      <c r="Q14" s="2"/>
      <c r="R14" s="22"/>
      <c r="S14" s="2"/>
      <c r="T14" s="2"/>
      <c r="U14" s="2"/>
      <c r="V14" s="22"/>
      <c r="W14" s="2"/>
      <c r="X14" s="2">
        <f t="shared" si="2"/>
        <v>22964.48</v>
      </c>
      <c r="Y14" s="2"/>
      <c r="Z14" s="22">
        <f t="shared" si="3"/>
        <v>0</v>
      </c>
    </row>
    <row r="15" spans="1:26" s="24" customFormat="1" hidden="1" outlineLevel="1" x14ac:dyDescent="0.35">
      <c r="A15" s="51"/>
      <c r="B15" s="11" t="str">
        <f>CONCATENATE("          ", "4052", " - ", "TAXABLE SALES-FOOD")</f>
        <v xml:space="preserve">          4052 - TAXABLE SALES-FOOD</v>
      </c>
      <c r="C15" s="11"/>
      <c r="D15" s="2">
        <f>--82073.46</f>
        <v>82073.460000000006</v>
      </c>
      <c r="E15" s="2"/>
      <c r="F15" s="22"/>
      <c r="G15" s="2"/>
      <c r="H15" s="2"/>
      <c r="I15" s="2"/>
      <c r="J15" s="22"/>
      <c r="K15" s="2"/>
      <c r="L15" s="2">
        <f t="shared" si="0"/>
        <v>82073.460000000006</v>
      </c>
      <c r="M15" s="2"/>
      <c r="N15" s="22">
        <f t="shared" si="1"/>
        <v>0</v>
      </c>
      <c r="O15" s="11"/>
      <c r="P15" s="2">
        <f>--230176.85</f>
        <v>230176.85</v>
      </c>
      <c r="Q15" s="2"/>
      <c r="R15" s="22"/>
      <c r="S15" s="2"/>
      <c r="T15" s="2"/>
      <c r="U15" s="2"/>
      <c r="V15" s="22"/>
      <c r="W15" s="2"/>
      <c r="X15" s="2">
        <f t="shared" si="2"/>
        <v>230176.85</v>
      </c>
      <c r="Y15" s="2"/>
      <c r="Z15" s="22">
        <f t="shared" si="3"/>
        <v>0</v>
      </c>
    </row>
    <row r="16" spans="1:26" s="24" customFormat="1" hidden="1" outlineLevel="1" x14ac:dyDescent="0.35">
      <c r="A16" s="51"/>
      <c r="B16" s="11" t="str">
        <f>CONCATENATE("          ", "4053", " - ", "TAXABLE SALES-FOOD")</f>
        <v xml:space="preserve">          4053 - TAXABLE SALES-FOOD</v>
      </c>
      <c r="C16" s="11"/>
      <c r="D16" s="2">
        <f>--46.44</f>
        <v>46.44</v>
      </c>
      <c r="E16" s="2"/>
      <c r="F16" s="22"/>
      <c r="G16" s="2"/>
      <c r="H16" s="2"/>
      <c r="I16" s="2"/>
      <c r="J16" s="22"/>
      <c r="K16" s="2"/>
      <c r="L16" s="2">
        <f t="shared" si="0"/>
        <v>46.44</v>
      </c>
      <c r="M16" s="2"/>
      <c r="N16" s="22">
        <f t="shared" si="1"/>
        <v>0</v>
      </c>
      <c r="O16" s="11"/>
      <c r="P16" s="2">
        <f>--579.52</f>
        <v>579.52</v>
      </c>
      <c r="Q16" s="2"/>
      <c r="R16" s="22"/>
      <c r="S16" s="2"/>
      <c r="T16" s="2"/>
      <c r="U16" s="2"/>
      <c r="V16" s="22"/>
      <c r="W16" s="2"/>
      <c r="X16" s="2">
        <f t="shared" si="2"/>
        <v>579.52</v>
      </c>
      <c r="Y16" s="2"/>
      <c r="Z16" s="22">
        <f t="shared" si="3"/>
        <v>0</v>
      </c>
    </row>
    <row r="17" spans="1:26" s="24" customFormat="1" hidden="1" outlineLevel="1" x14ac:dyDescent="0.35">
      <c r="A17" s="51"/>
      <c r="B17" s="11" t="str">
        <f>CONCATENATE("          ", "4058", " - ", "TAXABLE SALES-FOOD")</f>
        <v xml:space="preserve">          4058 - TAXABLE SALES-FOOD</v>
      </c>
      <c r="C17" s="11"/>
      <c r="D17" s="2">
        <f t="shared" ref="D17:D18" si="5">0</f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--974.91</f>
        <v>974.91</v>
      </c>
      <c r="Q17" s="2"/>
      <c r="R17" s="22"/>
      <c r="S17" s="2"/>
      <c r="T17" s="2"/>
      <c r="U17" s="2"/>
      <c r="V17" s="22"/>
      <c r="W17" s="2"/>
      <c r="X17" s="2">
        <f t="shared" si="2"/>
        <v>974.91</v>
      </c>
      <c r="Y17" s="2"/>
      <c r="Z17" s="22">
        <f t="shared" si="3"/>
        <v>0</v>
      </c>
    </row>
    <row r="18" spans="1:26" s="24" customFormat="1" hidden="1" outlineLevel="1" x14ac:dyDescent="0.35">
      <c r="A18" s="51"/>
      <c r="B18" s="11" t="str">
        <f>CONCATENATE("          ", "4100", " - ", "NON-TAXABLE SALES")</f>
        <v xml:space="preserve">          4100 - NON-TAXABLE SALES</v>
      </c>
      <c r="C18" s="11"/>
      <c r="D18" s="2">
        <f t="shared" si="5"/>
        <v>0</v>
      </c>
      <c r="E18" s="2"/>
      <c r="F18" s="22"/>
      <c r="G18" s="2"/>
      <c r="H18" s="2">
        <v>275384</v>
      </c>
      <c r="I18" s="2"/>
      <c r="J18" s="22"/>
      <c r="K18" s="2"/>
      <c r="L18" s="2">
        <f t="shared" si="0"/>
        <v>-275384</v>
      </c>
      <c r="M18" s="2"/>
      <c r="N18" s="22">
        <f t="shared" si="1"/>
        <v>-1</v>
      </c>
      <c r="O18" s="11"/>
      <c r="P18" s="2">
        <f>0</f>
        <v>0</v>
      </c>
      <c r="Q18" s="2"/>
      <c r="R18" s="22"/>
      <c r="S18" s="2"/>
      <c r="T18" s="2">
        <v>2165457</v>
      </c>
      <c r="U18" s="2"/>
      <c r="V18" s="22"/>
      <c r="W18" s="2"/>
      <c r="X18" s="2">
        <f t="shared" si="2"/>
        <v>-2165457</v>
      </c>
      <c r="Y18" s="2"/>
      <c r="Z18" s="22">
        <f t="shared" si="3"/>
        <v>-1</v>
      </c>
    </row>
    <row r="19" spans="1:26" s="24" customFormat="1" hidden="1" outlineLevel="1" x14ac:dyDescent="0.35">
      <c r="A19" s="51"/>
      <c r="B19" s="11" t="str">
        <f>CONCATENATE("          ", "4151", " - ", "NON-TAXABLE SALES-FOOD")</f>
        <v xml:space="preserve">          4151 - NON-TAXABLE SALES-FOOD</v>
      </c>
      <c r="C19" s="11"/>
      <c r="D19" s="2">
        <f>--35996.95</f>
        <v>35996.949999999997</v>
      </c>
      <c r="E19" s="2"/>
      <c r="F19" s="22"/>
      <c r="G19" s="2"/>
      <c r="H19" s="2"/>
      <c r="I19" s="2"/>
      <c r="J19" s="22"/>
      <c r="K19" s="2"/>
      <c r="L19" s="2">
        <f t="shared" si="0"/>
        <v>35996.949999999997</v>
      </c>
      <c r="M19" s="2"/>
      <c r="N19" s="22">
        <f t="shared" si="1"/>
        <v>0</v>
      </c>
      <c r="O19" s="11"/>
      <c r="P19" s="2">
        <f>--664373.55</f>
        <v>664373.55000000005</v>
      </c>
      <c r="Q19" s="2"/>
      <c r="R19" s="22"/>
      <c r="S19" s="2"/>
      <c r="T19" s="2"/>
      <c r="U19" s="2"/>
      <c r="V19" s="22"/>
      <c r="W19" s="2"/>
      <c r="X19" s="2">
        <f t="shared" si="2"/>
        <v>664373.55000000005</v>
      </c>
      <c r="Y19" s="2"/>
      <c r="Z19" s="22">
        <f t="shared" si="3"/>
        <v>0</v>
      </c>
    </row>
    <row r="20" spans="1:26" s="24" customFormat="1" hidden="1" outlineLevel="1" x14ac:dyDescent="0.35">
      <c r="A20" s="51"/>
      <c r="B20" s="11" t="str">
        <f>CONCATENATE("          ", "4153", " - ", "NON-TAXABLE SALES-FOOD")</f>
        <v xml:space="preserve">          4153 - NON-TAXABLE SALES-FOOD</v>
      </c>
      <c r="C20" s="11"/>
      <c r="D20" s="2">
        <f>--2207.76</f>
        <v>2207.7600000000002</v>
      </c>
      <c r="E20" s="2"/>
      <c r="F20" s="22"/>
      <c r="G20" s="2"/>
      <c r="H20" s="2"/>
      <c r="I20" s="2"/>
      <c r="J20" s="22"/>
      <c r="K20" s="2"/>
      <c r="L20" s="2">
        <f t="shared" si="0"/>
        <v>2207.7600000000002</v>
      </c>
      <c r="M20" s="2"/>
      <c r="N20" s="22">
        <f t="shared" si="1"/>
        <v>0</v>
      </c>
      <c r="O20" s="11"/>
      <c r="P20" s="2">
        <f>--31969.16</f>
        <v>31969.16</v>
      </c>
      <c r="Q20" s="2"/>
      <c r="R20" s="22"/>
      <c r="S20" s="2"/>
      <c r="T20" s="2"/>
      <c r="U20" s="2"/>
      <c r="V20" s="22"/>
      <c r="W20" s="2"/>
      <c r="X20" s="2">
        <f t="shared" si="2"/>
        <v>31969.16</v>
      </c>
      <c r="Y20" s="2"/>
      <c r="Z20" s="22">
        <f t="shared" si="3"/>
        <v>0</v>
      </c>
    </row>
    <row r="21" spans="1:26" x14ac:dyDescent="0.3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35">
      <c r="A22" s="10"/>
      <c r="B22" s="25" t="s">
        <v>8</v>
      </c>
      <c r="C22" s="10"/>
      <c r="D22" s="4">
        <f>SUM(OSRRefD16x_0)</f>
        <v>33302.44</v>
      </c>
      <c r="E22" s="4"/>
      <c r="F22" s="12">
        <f t="shared" ref="F22:F25" si="6">IF(D$12=0,0,D22/D$12)</f>
        <v>0.27677164297478296</v>
      </c>
      <c r="G22" s="4"/>
      <c r="H22" s="4">
        <f>SUM(OSRRefH16x_0)</f>
        <v>83997</v>
      </c>
      <c r="I22" s="4"/>
      <c r="J22" s="12">
        <f t="shared" ref="J22:J25" si="7">IF(H$12=0,0,H22/H$12)</f>
        <v>0.29710629357272467</v>
      </c>
      <c r="K22" s="4"/>
      <c r="L22" s="4">
        <f t="shared" ref="L22:L25" si="8">+D22-H22</f>
        <v>-50694.559999999998</v>
      </c>
      <c r="M22" s="4"/>
      <c r="N22" s="12">
        <f t="shared" ref="N22:N25" si="9">IF(H22=0,0,L22/H22)</f>
        <v>-0.60352822124599681</v>
      </c>
      <c r="O22" s="10"/>
      <c r="P22" s="4">
        <f>SUM(OSRRefP16x_0)</f>
        <v>303020.73</v>
      </c>
      <c r="Q22" s="4"/>
      <c r="R22" s="12">
        <f t="shared" ref="R22:R25" si="10">IF(P$12=0,0,P22/P$12)</f>
        <v>0.3186208965868646</v>
      </c>
      <c r="S22" s="4"/>
      <c r="T22" s="4">
        <f>SUM(OSRRefT16x_0)</f>
        <v>607396</v>
      </c>
      <c r="U22" s="4"/>
      <c r="V22" s="12">
        <f t="shared" ref="V22:V25" si="11">IF(T$12=0,0,T22/T$12)</f>
        <v>0.27602460152491642</v>
      </c>
      <c r="W22" s="4"/>
      <c r="X22" s="4">
        <f t="shared" ref="X22:X25" si="12">+P22-T22</f>
        <v>-304375.27</v>
      </c>
      <c r="Y22" s="4"/>
      <c r="Z22" s="12">
        <f t="shared" ref="Z22:Z25" si="13">IF(T22=0,0,X22/T22)</f>
        <v>-0.50111503862389617</v>
      </c>
    </row>
    <row r="23" spans="1:26" s="24" customFormat="1" hidden="1" outlineLevel="1" x14ac:dyDescent="0.35">
      <c r="A23" s="51"/>
      <c r="B23" s="11" t="str">
        <f>CONCATENATE("          ", "5000", " - ", "PURCHASES @ COST")</f>
        <v xml:space="preserve">          5000 - PURCHASES @ COST</v>
      </c>
      <c r="C23" s="11"/>
      <c r="D23" s="2"/>
      <c r="E23" s="2"/>
      <c r="F23" s="22">
        <f t="shared" si="6"/>
        <v>0</v>
      </c>
      <c r="G23" s="2"/>
      <c r="H23" s="2">
        <v>83997</v>
      </c>
      <c r="I23" s="2"/>
      <c r="J23" s="22">
        <f t="shared" si="7"/>
        <v>0.29710629357272467</v>
      </c>
      <c r="K23" s="2"/>
      <c r="L23" s="2">
        <f t="shared" si="8"/>
        <v>-83997</v>
      </c>
      <c r="M23" s="2"/>
      <c r="N23" s="22">
        <f t="shared" si="9"/>
        <v>-1</v>
      </c>
      <c r="O23" s="11"/>
      <c r="P23" s="2"/>
      <c r="Q23" s="2"/>
      <c r="R23" s="22">
        <f t="shared" si="10"/>
        <v>0</v>
      </c>
      <c r="S23" s="2"/>
      <c r="T23" s="2">
        <v>607396</v>
      </c>
      <c r="U23" s="2"/>
      <c r="V23" s="22">
        <f t="shared" si="11"/>
        <v>0.27602460152491642</v>
      </c>
      <c r="W23" s="2"/>
      <c r="X23" s="2">
        <f t="shared" si="12"/>
        <v>-607396</v>
      </c>
      <c r="Y23" s="2"/>
      <c r="Z23" s="22">
        <f t="shared" si="13"/>
        <v>-1</v>
      </c>
    </row>
    <row r="24" spans="1:26" s="24" customFormat="1" hidden="1" outlineLevel="1" x14ac:dyDescent="0.35">
      <c r="A24" s="51"/>
      <c r="B24" s="11" t="str">
        <f>CONCATENATE("          ", "5053", " - ", "PURCHASES @ COST-FOOD")</f>
        <v xml:space="preserve">          5053 - PURCHASES @ COST-FOOD</v>
      </c>
      <c r="C24" s="11"/>
      <c r="D24" s="2">
        <v>30885.439999999999</v>
      </c>
      <c r="E24" s="2"/>
      <c r="F24" s="22">
        <f t="shared" si="6"/>
        <v>0.25668431420637888</v>
      </c>
      <c r="G24" s="2"/>
      <c r="H24" s="2"/>
      <c r="I24" s="2"/>
      <c r="J24" s="22">
        <f t="shared" si="7"/>
        <v>0</v>
      </c>
      <c r="K24" s="2"/>
      <c r="L24" s="2">
        <f t="shared" si="8"/>
        <v>30885.439999999999</v>
      </c>
      <c r="M24" s="2"/>
      <c r="N24" s="22">
        <f t="shared" si="9"/>
        <v>0</v>
      </c>
      <c r="O24" s="11"/>
      <c r="P24" s="2">
        <v>300523.34999999998</v>
      </c>
      <c r="Q24" s="2"/>
      <c r="R24" s="22">
        <f t="shared" si="10"/>
        <v>0.31599494602989081</v>
      </c>
      <c r="S24" s="2"/>
      <c r="T24" s="2"/>
      <c r="U24" s="2"/>
      <c r="V24" s="22">
        <f t="shared" si="11"/>
        <v>0</v>
      </c>
      <c r="W24" s="2"/>
      <c r="X24" s="2">
        <f t="shared" si="12"/>
        <v>300523.34999999998</v>
      </c>
      <c r="Y24" s="2"/>
      <c r="Z24" s="22">
        <f t="shared" si="13"/>
        <v>0</v>
      </c>
    </row>
    <row r="25" spans="1:26" s="24" customFormat="1" hidden="1" outlineLevel="1" x14ac:dyDescent="0.35">
      <c r="A25" s="51"/>
      <c r="B25" s="11" t="str">
        <f>CONCATENATE("          ", "5059", " - ", "PURCHASES @ COST-FOOD")</f>
        <v xml:space="preserve">          5059 - PURCHASES @ COST-FOOD</v>
      </c>
      <c r="C25" s="11"/>
      <c r="D25" s="2">
        <v>2417</v>
      </c>
      <c r="E25" s="2"/>
      <c r="F25" s="22">
        <f t="shared" si="6"/>
        <v>2.0087328768404071E-2</v>
      </c>
      <c r="G25" s="2"/>
      <c r="H25" s="2"/>
      <c r="I25" s="2"/>
      <c r="J25" s="22">
        <f t="shared" si="7"/>
        <v>0</v>
      </c>
      <c r="K25" s="2"/>
      <c r="L25" s="2">
        <f t="shared" si="8"/>
        <v>2417</v>
      </c>
      <c r="M25" s="2"/>
      <c r="N25" s="22">
        <f t="shared" si="9"/>
        <v>0</v>
      </c>
      <c r="O25" s="11"/>
      <c r="P25" s="2">
        <v>2497.38</v>
      </c>
      <c r="Q25" s="2"/>
      <c r="R25" s="22">
        <f t="shared" si="10"/>
        <v>2.6259505569737889E-3</v>
      </c>
      <c r="S25" s="2"/>
      <c r="T25" s="2"/>
      <c r="U25" s="2"/>
      <c r="V25" s="22">
        <f t="shared" si="11"/>
        <v>0</v>
      </c>
      <c r="W25" s="2"/>
      <c r="X25" s="2">
        <f t="shared" si="12"/>
        <v>2497.38</v>
      </c>
      <c r="Y25" s="2"/>
      <c r="Z25" s="22">
        <f t="shared" si="13"/>
        <v>0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6</v>
      </c>
      <c r="C27" s="26"/>
      <c r="D27" s="19">
        <f>D12-D22</f>
        <v>87022.17</v>
      </c>
      <c r="E27" s="13"/>
      <c r="F27" s="21">
        <f>IF(D$12=0,0,D27/D$12)</f>
        <v>0.72322835702521704</v>
      </c>
      <c r="G27" s="13"/>
      <c r="H27" s="19">
        <f>H12-H22</f>
        <v>198720</v>
      </c>
      <c r="I27" s="13"/>
      <c r="J27" s="21">
        <f>IF(H$12=0,0,H27/H$12)</f>
        <v>0.70289370642727533</v>
      </c>
      <c r="K27" s="16"/>
      <c r="L27" s="19">
        <f>+D27-H27</f>
        <v>-111697.83</v>
      </c>
      <c r="M27" s="16"/>
      <c r="N27" s="21">
        <f>IF(H27=0,0,L27/H27)</f>
        <v>-0.56208650362318846</v>
      </c>
      <c r="O27" s="25"/>
      <c r="P27" s="19">
        <f>P12-P22</f>
        <v>648017.74000000011</v>
      </c>
      <c r="Q27" s="13"/>
      <c r="R27" s="21">
        <f>IF(P$12=0,0,P27/P$12)</f>
        <v>0.68137910341313535</v>
      </c>
      <c r="S27" s="13"/>
      <c r="T27" s="19">
        <f>T12-T22</f>
        <v>1593118</v>
      </c>
      <c r="U27" s="13"/>
      <c r="V27" s="21">
        <f>IF(T$12=0,0,T27/T$12)</f>
        <v>0.72397539847508352</v>
      </c>
      <c r="W27" s="16"/>
      <c r="X27" s="19">
        <f>+P27-T27</f>
        <v>-945100.25999999989</v>
      </c>
      <c r="Y27" s="16"/>
      <c r="Z27" s="21">
        <f>IF(T27=0,0,X27/T27)</f>
        <v>-0.59323933318184841</v>
      </c>
    </row>
    <row r="28" spans="1:26" x14ac:dyDescent="0.3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35">
      <c r="A29" s="10"/>
      <c r="B29" s="25" t="s">
        <v>9</v>
      </c>
      <c r="C29" s="10"/>
      <c r="D29" s="20">
        <f>SUM(OSRRefD22x_0)</f>
        <v>293889.24000000011</v>
      </c>
      <c r="E29" s="20"/>
      <c r="F29" s="30">
        <f t="shared" ref="F29:F40" si="14">IF(D$12=0,0,D29/D$12)</f>
        <v>2.442469915339847</v>
      </c>
      <c r="G29" s="20"/>
      <c r="H29" s="20">
        <f>SUM(OSRRefH22x_0)</f>
        <v>506009.84110547166</v>
      </c>
      <c r="I29" s="20"/>
      <c r="J29" s="30">
        <f t="shared" ref="J29:J40" si="15">IF(H$12=0,0,H29/H$12)</f>
        <v>1.7898104503990622</v>
      </c>
      <c r="K29" s="4"/>
      <c r="L29" s="20">
        <f t="shared" ref="L29:L40" si="16">+D29-H29</f>
        <v>-212120.60110547155</v>
      </c>
      <c r="M29" s="4"/>
      <c r="N29" s="30">
        <f t="shared" ref="N29:N40" si="17">IF(H29=0,0,L29/H29)</f>
        <v>-0.4192025211249944</v>
      </c>
      <c r="O29" s="10"/>
      <c r="P29" s="20">
        <f>SUM(OSRRefP22x_0)</f>
        <v>2372199.2099999995</v>
      </c>
      <c r="Q29" s="20"/>
      <c r="R29" s="30">
        <f t="shared" ref="R29:R40" si="18">IF(P$12=0,0,P29/P$12)</f>
        <v>2.4943251874974095</v>
      </c>
      <c r="S29" s="20"/>
      <c r="T29" s="20">
        <f>SUM(OSRRefT22x_0)</f>
        <v>3269330.7624031031</v>
      </c>
      <c r="U29" s="20"/>
      <c r="V29" s="30">
        <f t="shared" ref="V29:V40" si="19">IF(T$12=0,0,T29/T$12)</f>
        <v>1.4857123210318604</v>
      </c>
      <c r="W29" s="4"/>
      <c r="X29" s="20">
        <f t="shared" ref="X29:X40" si="20">+P29-T29</f>
        <v>-897131.55240310356</v>
      </c>
      <c r="Y29" s="4"/>
      <c r="Z29" s="30">
        <f t="shared" ref="Z29:Z40" si="21">IF(T29=0,0,X29/T29)</f>
        <v>-0.27440831705375446</v>
      </c>
    </row>
    <row r="30" spans="1:26" s="28" customFormat="1" outlineLevel="1" collapsed="1" x14ac:dyDescent="0.35">
      <c r="A30" s="27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91885.720000000016</v>
      </c>
      <c r="E30" s="1"/>
      <c r="F30" s="5">
        <f t="shared" si="14"/>
        <v>0.76364860023232173</v>
      </c>
      <c r="G30" s="1"/>
      <c r="H30" s="1">
        <f>SUM(OSRRefH22_0x_0)</f>
        <v>130195.27621867685</v>
      </c>
      <c r="I30" s="1"/>
      <c r="J30" s="5">
        <f t="shared" si="15"/>
        <v>0.46051449406536166</v>
      </c>
      <c r="K30" s="1"/>
      <c r="L30" s="1">
        <f t="shared" si="16"/>
        <v>-38309.556218676837</v>
      </c>
      <c r="M30" s="1"/>
      <c r="N30" s="5">
        <f t="shared" si="17"/>
        <v>-0.29424689843840302</v>
      </c>
      <c r="O30" s="14"/>
      <c r="P30" s="1">
        <f>SUM(OSRRefP22_0x_0)</f>
        <v>689763.04</v>
      </c>
      <c r="Q30" s="1"/>
      <c r="R30" s="5">
        <f t="shared" si="18"/>
        <v>0.72527354229950336</v>
      </c>
      <c r="S30" s="1"/>
      <c r="T30" s="1">
        <f>SUM(OSRRefT22_0x_0)</f>
        <v>832473.73733130842</v>
      </c>
      <c r="U30" s="1"/>
      <c r="V30" s="5">
        <f t="shared" si="19"/>
        <v>0.37830876664784158</v>
      </c>
      <c r="W30" s="1"/>
      <c r="X30" s="1">
        <f t="shared" si="20"/>
        <v>-142710.69733130839</v>
      </c>
      <c r="Y30" s="1"/>
      <c r="Z30" s="5">
        <f t="shared" si="21"/>
        <v>-0.17142966910740187</v>
      </c>
    </row>
    <row r="31" spans="1:26" s="24" customFormat="1" hidden="1" outlineLevel="2" x14ac:dyDescent="0.35">
      <c r="A31" s="29"/>
      <c r="B31" s="11" t="str">
        <f>CONCATENATE("          ", "6111", " - ", "F.I.C.A.")</f>
        <v xml:space="preserve">          6111 - F.I.C.A.</v>
      </c>
      <c r="C31" s="11"/>
      <c r="D31" s="7">
        <v>9304.4500000000007</v>
      </c>
      <c r="E31" s="2"/>
      <c r="F31" s="6">
        <f t="shared" si="14"/>
        <v>7.7327904906568989E-2</v>
      </c>
      <c r="G31" s="2"/>
      <c r="H31" s="7">
        <v>13835.94573815769</v>
      </c>
      <c r="I31" s="2"/>
      <c r="J31" s="6">
        <f t="shared" si="15"/>
        <v>4.893920683283174E-2</v>
      </c>
      <c r="K31" s="2"/>
      <c r="L31" s="7">
        <f t="shared" si="16"/>
        <v>-4531.4957381576896</v>
      </c>
      <c r="M31" s="2"/>
      <c r="N31" s="6">
        <f t="shared" si="17"/>
        <v>-0.32751615421997715</v>
      </c>
      <c r="O31" s="11"/>
      <c r="P31" s="7">
        <v>74055.27</v>
      </c>
      <c r="Q31" s="2"/>
      <c r="R31" s="6">
        <f t="shared" si="18"/>
        <v>7.7867796452019439E-2</v>
      </c>
      <c r="S31" s="2"/>
      <c r="T31" s="7">
        <v>88403.143634577675</v>
      </c>
      <c r="U31" s="2"/>
      <c r="V31" s="6">
        <f t="shared" si="19"/>
        <v>4.0173861031821509E-2</v>
      </c>
      <c r="W31" s="2"/>
      <c r="X31" s="7">
        <f t="shared" si="20"/>
        <v>-14347.873634577671</v>
      </c>
      <c r="Y31" s="2"/>
      <c r="Z31" s="6">
        <f t="shared" si="21"/>
        <v>-0.16230049118938455</v>
      </c>
    </row>
    <row r="32" spans="1:26" s="24" customFormat="1" hidden="1" outlineLevel="2" x14ac:dyDescent="0.35">
      <c r="A32" s="29"/>
      <c r="B32" s="11" t="str">
        <f>CONCATENATE("          ", "6112", " - ", "COMPENSATION INSURANCE")</f>
        <v xml:space="preserve">          6112 - COMPENSATION INSURANCE</v>
      </c>
      <c r="C32" s="11"/>
      <c r="D32" s="7">
        <v>1086.93</v>
      </c>
      <c r="E32" s="2"/>
      <c r="F32" s="6">
        <f t="shared" si="14"/>
        <v>9.0333141324954232E-3</v>
      </c>
      <c r="G32" s="2"/>
      <c r="H32" s="7">
        <v>9150.4038679730766</v>
      </c>
      <c r="I32" s="2"/>
      <c r="J32" s="6">
        <f t="shared" si="15"/>
        <v>3.2365948520863892E-2</v>
      </c>
      <c r="K32" s="2"/>
      <c r="L32" s="7">
        <f t="shared" si="16"/>
        <v>-8063.4738679730763</v>
      </c>
      <c r="M32" s="2"/>
      <c r="N32" s="6">
        <f t="shared" si="17"/>
        <v>-0.88121507906286889</v>
      </c>
      <c r="O32" s="11"/>
      <c r="P32" s="7">
        <v>40151</v>
      </c>
      <c r="Q32" s="2"/>
      <c r="R32" s="6">
        <f t="shared" si="18"/>
        <v>4.2218060852995773E-2</v>
      </c>
      <c r="S32" s="2"/>
      <c r="T32" s="7">
        <v>56813.730545423074</v>
      </c>
      <c r="U32" s="2"/>
      <c r="V32" s="6">
        <f t="shared" si="19"/>
        <v>2.5818390860236778E-2</v>
      </c>
      <c r="W32" s="2"/>
      <c r="X32" s="7">
        <f t="shared" si="20"/>
        <v>-16662.730545423074</v>
      </c>
      <c r="Y32" s="2"/>
      <c r="Z32" s="6">
        <f t="shared" si="21"/>
        <v>-0.29328703440977311</v>
      </c>
    </row>
    <row r="33" spans="1:26" s="24" customFormat="1" hidden="1" outlineLevel="2" x14ac:dyDescent="0.35">
      <c r="A33" s="29"/>
      <c r="B33" s="11" t="str">
        <f>CONCATENATE("          ", "6113", " - ", "GROUP INSURANCE")</f>
        <v xml:space="preserve">          6113 - GROUP INSURANCE</v>
      </c>
      <c r="C33" s="11"/>
      <c r="D33" s="7">
        <v>53968.590000000004</v>
      </c>
      <c r="E33" s="2"/>
      <c r="F33" s="6">
        <f t="shared" si="14"/>
        <v>0.44852495262606712</v>
      </c>
      <c r="G33" s="2"/>
      <c r="H33" s="7">
        <v>77443.653846153786</v>
      </c>
      <c r="I33" s="2"/>
      <c r="J33" s="6">
        <f t="shared" si="15"/>
        <v>0.273926413502385</v>
      </c>
      <c r="K33" s="2"/>
      <c r="L33" s="7">
        <f t="shared" si="16"/>
        <v>-23475.063846153782</v>
      </c>
      <c r="M33" s="2"/>
      <c r="N33" s="6">
        <f t="shared" si="17"/>
        <v>-0.30312443538354128</v>
      </c>
      <c r="O33" s="11"/>
      <c r="P33" s="7">
        <v>382492.37</v>
      </c>
      <c r="Q33" s="2"/>
      <c r="R33" s="6">
        <f t="shared" si="18"/>
        <v>0.4021839095531014</v>
      </c>
      <c r="S33" s="2"/>
      <c r="T33" s="7">
        <v>499364.11538461538</v>
      </c>
      <c r="U33" s="2"/>
      <c r="V33" s="6">
        <f t="shared" si="19"/>
        <v>0.22693066955475646</v>
      </c>
      <c r="W33" s="2"/>
      <c r="X33" s="7">
        <f t="shared" si="20"/>
        <v>-116871.74538461538</v>
      </c>
      <c r="Y33" s="2"/>
      <c r="Z33" s="6">
        <f t="shared" si="21"/>
        <v>-0.23404113708611113</v>
      </c>
    </row>
    <row r="34" spans="1:26" s="24" customFormat="1" hidden="1" outlineLevel="2" x14ac:dyDescent="0.35">
      <c r="A34" s="29"/>
      <c r="B34" s="11" t="str">
        <f>CONCATENATE("          ", "6114", " - ", "STATE UNEMPLOYMENT INSURANCE")</f>
        <v xml:space="preserve">          6114 - STATE UNEMPLOYMENT INSURANCE</v>
      </c>
      <c r="C34" s="11"/>
      <c r="D34" s="7">
        <v>720.37</v>
      </c>
      <c r="E34" s="2"/>
      <c r="F34" s="6">
        <f t="shared" si="14"/>
        <v>5.9868883015702272E-3</v>
      </c>
      <c r="G34" s="2"/>
      <c r="H34" s="7">
        <v>587.77762369999994</v>
      </c>
      <c r="I34" s="2"/>
      <c r="J34" s="6">
        <f t="shared" si="15"/>
        <v>2.0790317656879491E-3</v>
      </c>
      <c r="K34" s="2"/>
      <c r="L34" s="7">
        <f t="shared" si="16"/>
        <v>132.59237630000007</v>
      </c>
      <c r="M34" s="2"/>
      <c r="N34" s="6">
        <f t="shared" si="17"/>
        <v>0.22558255189325624</v>
      </c>
      <c r="O34" s="11"/>
      <c r="P34" s="7">
        <v>2874.5</v>
      </c>
      <c r="Q34" s="2"/>
      <c r="R34" s="6">
        <f t="shared" si="18"/>
        <v>3.0224855152284217E-3</v>
      </c>
      <c r="S34" s="2"/>
      <c r="T34" s="7">
        <v>3649.1440889999999</v>
      </c>
      <c r="U34" s="2"/>
      <c r="V34" s="6">
        <f t="shared" si="19"/>
        <v>1.6583144160864235E-3</v>
      </c>
      <c r="W34" s="2"/>
      <c r="X34" s="7">
        <f t="shared" si="20"/>
        <v>-774.64408899999989</v>
      </c>
      <c r="Y34" s="2"/>
      <c r="Z34" s="6">
        <f t="shared" si="21"/>
        <v>-0.21228103634906917</v>
      </c>
    </row>
    <row r="35" spans="1:26" s="24" customFormat="1" hidden="1" outlineLevel="2" x14ac:dyDescent="0.35">
      <c r="A35" s="29"/>
      <c r="B35" s="11" t="str">
        <f>CONCATENATE("          ", "6115", " - ", "P.E.R.S.")</f>
        <v xml:space="preserve">          6115 - P.E.R.S.</v>
      </c>
      <c r="C35" s="11"/>
      <c r="D35" s="7">
        <v>9264.23</v>
      </c>
      <c r="E35" s="2"/>
      <c r="F35" s="6">
        <f t="shared" si="14"/>
        <v>7.6993642447708746E-2</v>
      </c>
      <c r="G35" s="2"/>
      <c r="H35" s="7">
        <v>7486.5938884615507</v>
      </c>
      <c r="I35" s="2"/>
      <c r="J35" s="6">
        <f t="shared" si="15"/>
        <v>2.6480876241830348E-2</v>
      </c>
      <c r="K35" s="2"/>
      <c r="L35" s="7">
        <f t="shared" si="16"/>
        <v>1777.6361115384489</v>
      </c>
      <c r="M35" s="2"/>
      <c r="N35" s="6">
        <f t="shared" si="17"/>
        <v>0.23744257241977129</v>
      </c>
      <c r="O35" s="11"/>
      <c r="P35" s="7">
        <v>53178.89</v>
      </c>
      <c r="Q35" s="2"/>
      <c r="R35" s="6">
        <f t="shared" si="18"/>
        <v>5.591665498031851E-2</v>
      </c>
      <c r="S35" s="2"/>
      <c r="T35" s="7">
        <v>46416.882108461599</v>
      </c>
      <c r="U35" s="2"/>
      <c r="V35" s="6">
        <f t="shared" si="19"/>
        <v>2.1093654531832835E-2</v>
      </c>
      <c r="W35" s="2"/>
      <c r="X35" s="7">
        <f t="shared" si="20"/>
        <v>6762.0078915384001</v>
      </c>
      <c r="Y35" s="2"/>
      <c r="Z35" s="6">
        <f t="shared" si="21"/>
        <v>0.14567992472518346</v>
      </c>
    </row>
    <row r="36" spans="1:26" s="24" customFormat="1" hidden="1" outlineLevel="2" x14ac:dyDescent="0.35">
      <c r="A36" s="29"/>
      <c r="B36" s="11" t="str">
        <f>CONCATENATE("          ", "6116", " - ", "EDUCATIONAL BENEFITS")</f>
        <v xml:space="preserve">          6116 - EDUCATIONAL BENEFITS</v>
      </c>
      <c r="C36" s="11"/>
      <c r="D36" s="7"/>
      <c r="E36" s="2"/>
      <c r="F36" s="6">
        <f t="shared" si="14"/>
        <v>0</v>
      </c>
      <c r="G36" s="2"/>
      <c r="H36" s="7">
        <v>0</v>
      </c>
      <c r="I36" s="2"/>
      <c r="J36" s="6">
        <f t="shared" si="15"/>
        <v>0</v>
      </c>
      <c r="K36" s="2"/>
      <c r="L36" s="7">
        <f t="shared" si="16"/>
        <v>0</v>
      </c>
      <c r="M36" s="2"/>
      <c r="N36" s="6">
        <f t="shared" si="17"/>
        <v>0</v>
      </c>
      <c r="O36" s="11"/>
      <c r="P36" s="7"/>
      <c r="Q36" s="2"/>
      <c r="R36" s="6">
        <f t="shared" si="18"/>
        <v>0</v>
      </c>
      <c r="S36" s="2"/>
      <c r="T36" s="7">
        <v>0</v>
      </c>
      <c r="U36" s="2"/>
      <c r="V36" s="6">
        <f t="shared" si="19"/>
        <v>0</v>
      </c>
      <c r="W36" s="2"/>
      <c r="X36" s="7">
        <f t="shared" si="20"/>
        <v>0</v>
      </c>
      <c r="Y36" s="2"/>
      <c r="Z36" s="6">
        <f t="shared" si="21"/>
        <v>0</v>
      </c>
    </row>
    <row r="37" spans="1:26" s="24" customFormat="1" hidden="1" outlineLevel="2" x14ac:dyDescent="0.35">
      <c r="A37" s="29"/>
      <c r="B37" s="11" t="str">
        <f>CONCATENATE("          ", "6117", " - ", "RETIREMENT STAFF HOURLY")</f>
        <v xml:space="preserve">          6117 - RETIREMENT STAFF HOURLY</v>
      </c>
      <c r="C37" s="11"/>
      <c r="D37" s="7">
        <v>1440.43</v>
      </c>
      <c r="E37" s="2"/>
      <c r="F37" s="6">
        <f t="shared" si="14"/>
        <v>1.1971200239086585E-2</v>
      </c>
      <c r="G37" s="2"/>
      <c r="H37" s="7"/>
      <c r="I37" s="2"/>
      <c r="J37" s="6">
        <f t="shared" si="15"/>
        <v>0</v>
      </c>
      <c r="K37" s="2"/>
      <c r="L37" s="7">
        <f t="shared" si="16"/>
        <v>1440.43</v>
      </c>
      <c r="M37" s="2"/>
      <c r="N37" s="6">
        <f t="shared" si="17"/>
        <v>0</v>
      </c>
      <c r="O37" s="11"/>
      <c r="P37" s="7">
        <v>10473.23</v>
      </c>
      <c r="Q37" s="2"/>
      <c r="R37" s="6">
        <f t="shared" si="18"/>
        <v>1.101241467130136E-2</v>
      </c>
      <c r="S37" s="2"/>
      <c r="T37" s="7"/>
      <c r="U37" s="2"/>
      <c r="V37" s="6">
        <f t="shared" si="19"/>
        <v>0</v>
      </c>
      <c r="W37" s="2"/>
      <c r="X37" s="7">
        <f t="shared" si="20"/>
        <v>10473.23</v>
      </c>
      <c r="Y37" s="2"/>
      <c r="Z37" s="6">
        <f t="shared" si="21"/>
        <v>0</v>
      </c>
    </row>
    <row r="38" spans="1:26" s="24" customFormat="1" hidden="1" outlineLevel="2" x14ac:dyDescent="0.35">
      <c r="A38" s="29"/>
      <c r="B38" s="11" t="str">
        <f>CONCATENATE("          ", "6118", " - ", "VACATION")</f>
        <v xml:space="preserve">          6118 - VACATION</v>
      </c>
      <c r="C38" s="11"/>
      <c r="D38" s="7">
        <v>8969.57</v>
      </c>
      <c r="E38" s="2"/>
      <c r="F38" s="6">
        <f t="shared" si="14"/>
        <v>7.454476686024579E-2</v>
      </c>
      <c r="G38" s="2"/>
      <c r="H38" s="7">
        <v>10324.549942307691</v>
      </c>
      <c r="I38" s="2"/>
      <c r="J38" s="6">
        <f t="shared" si="15"/>
        <v>3.6519027657720235E-2</v>
      </c>
      <c r="K38" s="2"/>
      <c r="L38" s="7">
        <f t="shared" si="16"/>
        <v>-1354.9799423076911</v>
      </c>
      <c r="M38" s="2"/>
      <c r="N38" s="6">
        <f t="shared" si="17"/>
        <v>-0.13123864477184494</v>
      </c>
      <c r="O38" s="11"/>
      <c r="P38" s="7">
        <v>65122.87</v>
      </c>
      <c r="Q38" s="2"/>
      <c r="R38" s="6">
        <f t="shared" si="18"/>
        <v>6.8475537062133773E-2</v>
      </c>
      <c r="S38" s="2"/>
      <c r="T38" s="7">
        <v>64059.589642307714</v>
      </c>
      <c r="U38" s="2"/>
      <c r="V38" s="6">
        <f t="shared" si="19"/>
        <v>2.9111193858483844E-2</v>
      </c>
      <c r="W38" s="2"/>
      <c r="X38" s="7">
        <f t="shared" si="20"/>
        <v>1063.2803576922888</v>
      </c>
      <c r="Y38" s="2"/>
      <c r="Z38" s="6">
        <f t="shared" si="21"/>
        <v>1.6598301107287342E-2</v>
      </c>
    </row>
    <row r="39" spans="1:26" s="24" customFormat="1" hidden="1" outlineLevel="2" x14ac:dyDescent="0.35">
      <c r="A39" s="29"/>
      <c r="B39" s="11" t="str">
        <f>CONCATENATE("          ", "6119", " - ", "SICK LEAVE")</f>
        <v xml:space="preserve">          6119 - SICK LEAVE</v>
      </c>
      <c r="C39" s="11"/>
      <c r="D39" s="7">
        <v>5594.46</v>
      </c>
      <c r="E39" s="2"/>
      <c r="F39" s="6">
        <f t="shared" si="14"/>
        <v>4.649472788650634E-2</v>
      </c>
      <c r="G39" s="2"/>
      <c r="H39" s="7">
        <v>7341.3513119230702</v>
      </c>
      <c r="I39" s="2"/>
      <c r="J39" s="6">
        <f t="shared" si="15"/>
        <v>2.5967137851360442E-2</v>
      </c>
      <c r="K39" s="2"/>
      <c r="L39" s="7">
        <f t="shared" si="16"/>
        <v>-1746.8913119230701</v>
      </c>
      <c r="M39" s="2"/>
      <c r="N39" s="6">
        <f t="shared" si="17"/>
        <v>-0.23795228394613788</v>
      </c>
      <c r="O39" s="11"/>
      <c r="P39" s="7">
        <v>41618.25</v>
      </c>
      <c r="Q39" s="2"/>
      <c r="R39" s="6">
        <f t="shared" si="18"/>
        <v>4.376084807589329E-2</v>
      </c>
      <c r="S39" s="2"/>
      <c r="T39" s="7">
        <v>45592.131926923052</v>
      </c>
      <c r="U39" s="2"/>
      <c r="V39" s="6">
        <f t="shared" si="19"/>
        <v>2.0718855652326253E-2</v>
      </c>
      <c r="W39" s="2"/>
      <c r="X39" s="7">
        <f t="shared" si="20"/>
        <v>-3973.8819269230517</v>
      </c>
      <c r="Y39" s="2"/>
      <c r="Z39" s="6">
        <f t="shared" si="21"/>
        <v>-8.716157281902398E-2</v>
      </c>
    </row>
    <row r="40" spans="1:26" s="24" customFormat="1" hidden="1" outlineLevel="2" x14ac:dyDescent="0.35">
      <c r="A40" s="29"/>
      <c r="B40" s="11" t="str">
        <f>CONCATENATE("          ", "6156", " - ", "EMPLOYEE MEALS")</f>
        <v xml:space="preserve">          6156 - EMPLOYEE MEALS</v>
      </c>
      <c r="C40" s="11"/>
      <c r="D40" s="7">
        <v>1536.69</v>
      </c>
      <c r="E40" s="2"/>
      <c r="F40" s="6">
        <f t="shared" si="14"/>
        <v>1.2771202832072342E-2</v>
      </c>
      <c r="G40" s="2"/>
      <c r="H40" s="7">
        <v>4025</v>
      </c>
      <c r="I40" s="2"/>
      <c r="J40" s="6">
        <f t="shared" si="15"/>
        <v>1.4236851692682082E-2</v>
      </c>
      <c r="K40" s="2"/>
      <c r="L40" s="7">
        <f t="shared" si="16"/>
        <v>-2488.31</v>
      </c>
      <c r="M40" s="2"/>
      <c r="N40" s="6">
        <f t="shared" si="17"/>
        <v>-0.61821366459627325</v>
      </c>
      <c r="O40" s="11"/>
      <c r="P40" s="7">
        <v>19796.66</v>
      </c>
      <c r="Q40" s="2"/>
      <c r="R40" s="6">
        <f t="shared" si="18"/>
        <v>2.0815835136511352E-2</v>
      </c>
      <c r="S40" s="2"/>
      <c r="T40" s="7">
        <v>28175</v>
      </c>
      <c r="U40" s="2"/>
      <c r="V40" s="6">
        <f t="shared" si="19"/>
        <v>1.2803826742297481E-2</v>
      </c>
      <c r="W40" s="2"/>
      <c r="X40" s="7">
        <f t="shared" si="20"/>
        <v>-8378.34</v>
      </c>
      <c r="Y40" s="2"/>
      <c r="Z40" s="6">
        <f t="shared" si="21"/>
        <v>-0.29736787932564329</v>
      </c>
    </row>
    <row r="41" spans="1:26" s="28" customFormat="1" outlineLevel="1" collapsed="1" x14ac:dyDescent="0.35">
      <c r="A41" s="27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136745.51999999999</v>
      </c>
      <c r="E41" s="1"/>
      <c r="F41" s="5">
        <f t="shared" ref="F41:F51" si="22">IF(D$12=0,0,D41/D$12)</f>
        <v>1.1364717492124012</v>
      </c>
      <c r="G41" s="1"/>
      <c r="H41" s="1">
        <f>SUM(OSRRefH22_1x_0)</f>
        <v>208901.23155346146</v>
      </c>
      <c r="I41" s="1"/>
      <c r="J41" s="5">
        <f t="shared" ref="J41:J51" si="23">IF(H$12=0,0,H41/H$12)</f>
        <v>0.73890580175037746</v>
      </c>
      <c r="K41" s="1"/>
      <c r="L41" s="1">
        <f t="shared" ref="L41:L51" si="24">+D41-H41</f>
        <v>-72155.711553461471</v>
      </c>
      <c r="M41" s="1"/>
      <c r="N41" s="5">
        <f t="shared" ref="N41:N51" si="25">IF(H41=0,0,L41/H41)</f>
        <v>-0.34540586963938302</v>
      </c>
      <c r="O41" s="14"/>
      <c r="P41" s="1">
        <f>SUM(OSRRefP22_1x_0)</f>
        <v>956193.19</v>
      </c>
      <c r="Q41" s="1"/>
      <c r="R41" s="5">
        <f t="shared" ref="R41:R51" si="26">IF(P$12=0,0,P41/P$12)</f>
        <v>1.0054200962028379</v>
      </c>
      <c r="S41" s="1"/>
      <c r="T41" s="1">
        <f>SUM(OSRRefT22_1x_0)</f>
        <v>1297405.6917384614</v>
      </c>
      <c r="U41" s="1"/>
      <c r="V41" s="5">
        <f t="shared" ref="V41:V51" si="27">IF(T$12=0,0,T41/T$12)</f>
        <v>0.5895921097245741</v>
      </c>
      <c r="W41" s="1"/>
      <c r="X41" s="1">
        <f t="shared" ref="X41:X51" si="28">+P41-T41</f>
        <v>-341212.50173846143</v>
      </c>
      <c r="Y41" s="1"/>
      <c r="Z41" s="5">
        <f t="shared" ref="Z41:Z51" si="29">IF(T41=0,0,X41/T41)</f>
        <v>-0.26299599570991017</v>
      </c>
    </row>
    <row r="42" spans="1:26" s="24" customFormat="1" hidden="1" outlineLevel="2" x14ac:dyDescent="0.35">
      <c r="A42" s="29"/>
      <c r="B42" s="11" t="str">
        <f>CONCATENATE("          ", "6001", " - ", "ADMINISTRATIVE SALARIES")</f>
        <v xml:space="preserve">          6001 - ADMINISTRATIVE SALARIES</v>
      </c>
      <c r="C42" s="11"/>
      <c r="D42" s="7">
        <v>24737.84</v>
      </c>
      <c r="E42" s="2"/>
      <c r="F42" s="6">
        <f t="shared" si="22"/>
        <v>0.20559252176258871</v>
      </c>
      <c r="G42" s="2"/>
      <c r="H42" s="7">
        <v>12452.884615384599</v>
      </c>
      <c r="I42" s="2"/>
      <c r="J42" s="6">
        <f t="shared" si="23"/>
        <v>4.4047173022437984E-2</v>
      </c>
      <c r="K42" s="2"/>
      <c r="L42" s="7">
        <f t="shared" si="24"/>
        <v>12284.955384615401</v>
      </c>
      <c r="M42" s="2"/>
      <c r="N42" s="6">
        <f t="shared" si="25"/>
        <v>0.98651483283144425</v>
      </c>
      <c r="O42" s="11"/>
      <c r="P42" s="7">
        <v>140726.9</v>
      </c>
      <c r="Q42" s="2"/>
      <c r="R42" s="6">
        <f t="shared" si="26"/>
        <v>0.14797182704922546</v>
      </c>
      <c r="S42" s="2"/>
      <c r="T42" s="7">
        <v>77207.884615384566</v>
      </c>
      <c r="U42" s="2"/>
      <c r="V42" s="6">
        <f t="shared" si="27"/>
        <v>3.5086295572481961E-2</v>
      </c>
      <c r="W42" s="2"/>
      <c r="X42" s="7">
        <f t="shared" si="28"/>
        <v>63519.015384615428</v>
      </c>
      <c r="Y42" s="2"/>
      <c r="Z42" s="6">
        <f t="shared" si="29"/>
        <v>0.82270114899584401</v>
      </c>
    </row>
    <row r="43" spans="1:26" s="24" customFormat="1" hidden="1" outlineLevel="2" x14ac:dyDescent="0.35">
      <c r="A43" s="29"/>
      <c r="B43" s="11" t="str">
        <f>CONCATENATE("          ", "6002", " - ", "STAFF SALARIES")</f>
        <v xml:space="preserve">          6002 - STAFF SALARIES</v>
      </c>
      <c r="C43" s="11"/>
      <c r="D43" s="7">
        <v>46627.77</v>
      </c>
      <c r="E43" s="2"/>
      <c r="F43" s="6">
        <f t="shared" si="22"/>
        <v>0.38751648561337532</v>
      </c>
      <c r="G43" s="2"/>
      <c r="H43" s="7">
        <v>66034.304423076901</v>
      </c>
      <c r="I43" s="2"/>
      <c r="J43" s="6">
        <f t="shared" si="23"/>
        <v>0.23357033508093572</v>
      </c>
      <c r="K43" s="2"/>
      <c r="L43" s="7">
        <f t="shared" si="24"/>
        <v>-19406.534423076904</v>
      </c>
      <c r="M43" s="2"/>
      <c r="N43" s="6">
        <f t="shared" si="25"/>
        <v>-0.29388564917320359</v>
      </c>
      <c r="O43" s="11"/>
      <c r="P43" s="7">
        <v>309506.52999999997</v>
      </c>
      <c r="Q43" s="2"/>
      <c r="R43" s="6">
        <f t="shared" si="26"/>
        <v>0.32544059968467937</v>
      </c>
      <c r="S43" s="2"/>
      <c r="T43" s="7">
        <v>409412.68742307689</v>
      </c>
      <c r="U43" s="2"/>
      <c r="V43" s="6">
        <f t="shared" si="27"/>
        <v>0.18605320730660058</v>
      </c>
      <c r="W43" s="2"/>
      <c r="X43" s="7">
        <f t="shared" si="28"/>
        <v>-99906.157423076918</v>
      </c>
      <c r="Y43" s="2"/>
      <c r="Z43" s="6">
        <f t="shared" si="29"/>
        <v>-0.24402311040213656</v>
      </c>
    </row>
    <row r="44" spans="1:26" s="24" customFormat="1" hidden="1" outlineLevel="2" x14ac:dyDescent="0.35">
      <c r="A44" s="29"/>
      <c r="B44" s="11" t="str">
        <f>CONCATENATE("          ", "6003", " - ", "STAFF HOURLY-9 MONTH")</f>
        <v xml:space="preserve">          6003 - STAFF HOURLY-9 MONTH</v>
      </c>
      <c r="C44" s="11"/>
      <c r="D44" s="7"/>
      <c r="E44" s="2"/>
      <c r="F44" s="6">
        <f t="shared" si="22"/>
        <v>0</v>
      </c>
      <c r="G44" s="2"/>
      <c r="H44" s="7">
        <v>0</v>
      </c>
      <c r="I44" s="2"/>
      <c r="J44" s="6">
        <f t="shared" si="23"/>
        <v>0</v>
      </c>
      <c r="K44" s="2"/>
      <c r="L44" s="7">
        <f t="shared" si="24"/>
        <v>0</v>
      </c>
      <c r="M44" s="2"/>
      <c r="N44" s="6">
        <f t="shared" si="25"/>
        <v>0</v>
      </c>
      <c r="O44" s="11"/>
      <c r="P44" s="7"/>
      <c r="Q44" s="2"/>
      <c r="R44" s="6">
        <f t="shared" si="26"/>
        <v>0</v>
      </c>
      <c r="S44" s="2"/>
      <c r="T44" s="7">
        <v>0</v>
      </c>
      <c r="U44" s="2"/>
      <c r="V44" s="6">
        <f t="shared" si="27"/>
        <v>0</v>
      </c>
      <c r="W44" s="2"/>
      <c r="X44" s="7">
        <f t="shared" si="28"/>
        <v>0</v>
      </c>
      <c r="Y44" s="2"/>
      <c r="Z44" s="6">
        <f t="shared" si="29"/>
        <v>0</v>
      </c>
    </row>
    <row r="45" spans="1:26" s="24" customFormat="1" hidden="1" outlineLevel="2" x14ac:dyDescent="0.35">
      <c r="A45" s="29"/>
      <c r="B45" s="11" t="str">
        <f>CONCATENATE("          ", "6004", " - ", "STAFF HOURLY")</f>
        <v xml:space="preserve">          6004 - STAFF HOURLY</v>
      </c>
      <c r="C45" s="11"/>
      <c r="D45" s="7">
        <v>38541.379999999997</v>
      </c>
      <c r="E45" s="2"/>
      <c r="F45" s="6">
        <f t="shared" si="22"/>
        <v>0.32031169683408905</v>
      </c>
      <c r="G45" s="2"/>
      <c r="H45" s="7">
        <v>86207.562399999995</v>
      </c>
      <c r="I45" s="2"/>
      <c r="J45" s="6">
        <f t="shared" si="23"/>
        <v>0.30492528712458039</v>
      </c>
      <c r="K45" s="2"/>
      <c r="L45" s="7">
        <f t="shared" si="24"/>
        <v>-47666.182399999998</v>
      </c>
      <c r="M45" s="2"/>
      <c r="N45" s="6">
        <f t="shared" si="25"/>
        <v>-0.55292344514777747</v>
      </c>
      <c r="O45" s="11"/>
      <c r="P45" s="7">
        <v>334382.76999999996</v>
      </c>
      <c r="Q45" s="2"/>
      <c r="R45" s="6">
        <f t="shared" si="26"/>
        <v>0.35159752265331595</v>
      </c>
      <c r="S45" s="2"/>
      <c r="T45" s="7">
        <v>551819.72687999997</v>
      </c>
      <c r="U45" s="2"/>
      <c r="V45" s="6">
        <f t="shared" si="27"/>
        <v>0.25076855992736241</v>
      </c>
      <c r="W45" s="2"/>
      <c r="X45" s="7">
        <f t="shared" si="28"/>
        <v>-217436.95688000001</v>
      </c>
      <c r="Y45" s="2"/>
      <c r="Z45" s="6">
        <f t="shared" si="29"/>
        <v>-0.39403621561228525</v>
      </c>
    </row>
    <row r="46" spans="1:26" s="24" customFormat="1" hidden="1" outlineLevel="2" x14ac:dyDescent="0.35">
      <c r="A46" s="29"/>
      <c r="B46" s="11" t="str">
        <f>CONCATENATE("          ", "6005", " - ", "TEMPORARY WAGES-HOURLY")</f>
        <v xml:space="preserve">          6005 - TEMPORARY WAGES-HOURLY</v>
      </c>
      <c r="C46" s="11"/>
      <c r="D46" s="7">
        <v>8579.9500000000007</v>
      </c>
      <c r="E46" s="2"/>
      <c r="F46" s="6">
        <f t="shared" si="22"/>
        <v>7.1306692787119777E-2</v>
      </c>
      <c r="G46" s="2"/>
      <c r="H46" s="7">
        <v>11979.334615</v>
      </c>
      <c r="I46" s="2"/>
      <c r="J46" s="6">
        <f t="shared" si="23"/>
        <v>4.2372176469755975E-2</v>
      </c>
      <c r="K46" s="2"/>
      <c r="L46" s="7">
        <f t="shared" si="24"/>
        <v>-3399.384614999999</v>
      </c>
      <c r="M46" s="2"/>
      <c r="N46" s="6">
        <f t="shared" si="25"/>
        <v>-0.28377073721135043</v>
      </c>
      <c r="O46" s="11"/>
      <c r="P46" s="7">
        <v>73480.39</v>
      </c>
      <c r="Q46" s="2"/>
      <c r="R46" s="6">
        <f t="shared" si="26"/>
        <v>7.7263320378617273E-2</v>
      </c>
      <c r="S46" s="2"/>
      <c r="T46" s="7">
        <v>64369.157319999998</v>
      </c>
      <c r="U46" s="2"/>
      <c r="V46" s="6">
        <f t="shared" si="27"/>
        <v>2.9251873571356508E-2</v>
      </c>
      <c r="W46" s="2"/>
      <c r="X46" s="7">
        <f t="shared" si="28"/>
        <v>9111.232680000001</v>
      </c>
      <c r="Y46" s="2"/>
      <c r="Z46" s="6">
        <f t="shared" si="29"/>
        <v>0.14154655831060678</v>
      </c>
    </row>
    <row r="47" spans="1:26" s="24" customFormat="1" hidden="1" outlineLevel="2" x14ac:dyDescent="0.35">
      <c r="A47" s="29"/>
      <c r="B47" s="11" t="str">
        <f>CONCATENATE("          ", "6006", " - ", "TEMPORARY PART TIME")</f>
        <v xml:space="preserve">          6006 - TEMPORARY PART TIME</v>
      </c>
      <c r="C47" s="11"/>
      <c r="D47" s="7"/>
      <c r="E47" s="2"/>
      <c r="F47" s="6">
        <f t="shared" si="22"/>
        <v>0</v>
      </c>
      <c r="G47" s="2"/>
      <c r="H47" s="7">
        <v>0</v>
      </c>
      <c r="I47" s="2"/>
      <c r="J47" s="6">
        <f t="shared" si="23"/>
        <v>0</v>
      </c>
      <c r="K47" s="2"/>
      <c r="L47" s="7">
        <f t="shared" si="24"/>
        <v>0</v>
      </c>
      <c r="M47" s="2"/>
      <c r="N47" s="6">
        <f t="shared" si="25"/>
        <v>0</v>
      </c>
      <c r="O47" s="11"/>
      <c r="P47" s="7"/>
      <c r="Q47" s="2"/>
      <c r="R47" s="6">
        <f t="shared" si="26"/>
        <v>0</v>
      </c>
      <c r="S47" s="2"/>
      <c r="T47" s="7">
        <v>0</v>
      </c>
      <c r="U47" s="2"/>
      <c r="V47" s="6">
        <f t="shared" si="27"/>
        <v>0</v>
      </c>
      <c r="W47" s="2"/>
      <c r="X47" s="7">
        <f t="shared" si="28"/>
        <v>0</v>
      </c>
      <c r="Y47" s="2"/>
      <c r="Z47" s="6">
        <f t="shared" si="29"/>
        <v>0</v>
      </c>
    </row>
    <row r="48" spans="1:26" s="24" customFormat="1" hidden="1" outlineLevel="2" x14ac:dyDescent="0.35">
      <c r="A48" s="29"/>
      <c r="B48" s="11" t="str">
        <f>CONCATENATE("          ", "6007", " - ", "STUDENT HOURLY")</f>
        <v xml:space="preserve">          6007 - STUDENT HOURLY</v>
      </c>
      <c r="C48" s="11"/>
      <c r="D48" s="7">
        <v>18258.580000000002</v>
      </c>
      <c r="E48" s="2"/>
      <c r="F48" s="6">
        <f t="shared" si="22"/>
        <v>0.15174435221522847</v>
      </c>
      <c r="G48" s="2"/>
      <c r="H48" s="7">
        <v>0</v>
      </c>
      <c r="I48" s="2"/>
      <c r="J48" s="6">
        <f t="shared" si="23"/>
        <v>0</v>
      </c>
      <c r="K48" s="2"/>
      <c r="L48" s="7">
        <f t="shared" si="24"/>
        <v>18258.580000000002</v>
      </c>
      <c r="M48" s="2"/>
      <c r="N48" s="6">
        <f t="shared" si="25"/>
        <v>0</v>
      </c>
      <c r="O48" s="11"/>
      <c r="P48" s="7">
        <v>87465.72</v>
      </c>
      <c r="Q48" s="2"/>
      <c r="R48" s="6">
        <f t="shared" si="26"/>
        <v>9.1968645600634849E-2</v>
      </c>
      <c r="S48" s="2"/>
      <c r="T48" s="7">
        <v>16306.670000000002</v>
      </c>
      <c r="U48" s="2"/>
      <c r="V48" s="6">
        <f t="shared" si="27"/>
        <v>7.410391390375159E-3</v>
      </c>
      <c r="W48" s="2"/>
      <c r="X48" s="7">
        <f t="shared" si="28"/>
        <v>71159.05</v>
      </c>
      <c r="Y48" s="2"/>
      <c r="Z48" s="6">
        <f t="shared" si="29"/>
        <v>4.3638002118151649</v>
      </c>
    </row>
    <row r="49" spans="1:26" s="24" customFormat="1" hidden="1" outlineLevel="2" x14ac:dyDescent="0.35">
      <c r="A49" s="29"/>
      <c r="B49" s="11" t="str">
        <f>CONCATENATE("          ", "6008", " - ", "STUDENT HOURLY-FICA EXEMPT")</f>
        <v xml:space="preserve">          6008 - STUDENT HOURLY-FICA EXEMPT</v>
      </c>
      <c r="C49" s="11"/>
      <c r="D49" s="7"/>
      <c r="E49" s="2"/>
      <c r="F49" s="6">
        <f t="shared" si="22"/>
        <v>0</v>
      </c>
      <c r="G49" s="2"/>
      <c r="H49" s="7">
        <v>32227.145499999999</v>
      </c>
      <c r="I49" s="2"/>
      <c r="J49" s="6">
        <f t="shared" si="23"/>
        <v>0.11399083005266751</v>
      </c>
      <c r="K49" s="2"/>
      <c r="L49" s="7">
        <f t="shared" si="24"/>
        <v>-32227.145499999999</v>
      </c>
      <c r="M49" s="2"/>
      <c r="N49" s="6">
        <f t="shared" si="25"/>
        <v>-1</v>
      </c>
      <c r="O49" s="11"/>
      <c r="P49" s="7">
        <v>10630.88</v>
      </c>
      <c r="Q49" s="2"/>
      <c r="R49" s="6">
        <f t="shared" si="26"/>
        <v>1.1178180836365114E-2</v>
      </c>
      <c r="S49" s="2"/>
      <c r="T49" s="7">
        <v>178289.5655</v>
      </c>
      <c r="U49" s="2"/>
      <c r="V49" s="6">
        <f t="shared" si="27"/>
        <v>8.1021781956397462E-2</v>
      </c>
      <c r="W49" s="2"/>
      <c r="X49" s="7">
        <f t="shared" si="28"/>
        <v>-167658.68549999999</v>
      </c>
      <c r="Y49" s="2"/>
      <c r="Z49" s="6">
        <f t="shared" si="29"/>
        <v>-0.94037295469206805</v>
      </c>
    </row>
    <row r="50" spans="1:26" s="24" customFormat="1" hidden="1" outlineLevel="2" x14ac:dyDescent="0.35">
      <c r="A50" s="29"/>
      <c r="B50" s="11" t="str">
        <f>CONCATENATE("          ", "6009", " - ", "TEMPORARY-SEASONAL")</f>
        <v xml:space="preserve">          6009 - TEMPORARY-SEASONAL</v>
      </c>
      <c r="C50" s="11"/>
      <c r="D50" s="7"/>
      <c r="E50" s="2"/>
      <c r="F50" s="6">
        <f t="shared" si="22"/>
        <v>0</v>
      </c>
      <c r="G50" s="2"/>
      <c r="H50" s="7">
        <v>0</v>
      </c>
      <c r="I50" s="2"/>
      <c r="J50" s="6">
        <f t="shared" si="23"/>
        <v>0</v>
      </c>
      <c r="K50" s="2"/>
      <c r="L50" s="7">
        <f t="shared" si="24"/>
        <v>0</v>
      </c>
      <c r="M50" s="2"/>
      <c r="N50" s="6">
        <f t="shared" si="25"/>
        <v>0</v>
      </c>
      <c r="O50" s="11"/>
      <c r="P50" s="7"/>
      <c r="Q50" s="2"/>
      <c r="R50" s="6">
        <f t="shared" si="26"/>
        <v>0</v>
      </c>
      <c r="S50" s="2"/>
      <c r="T50" s="7">
        <v>0</v>
      </c>
      <c r="U50" s="2"/>
      <c r="V50" s="6">
        <f t="shared" si="27"/>
        <v>0</v>
      </c>
      <c r="W50" s="2"/>
      <c r="X50" s="7">
        <f t="shared" si="28"/>
        <v>0</v>
      </c>
      <c r="Y50" s="2"/>
      <c r="Z50" s="6">
        <f t="shared" si="29"/>
        <v>0</v>
      </c>
    </row>
    <row r="51" spans="1:26" s="24" customFormat="1" hidden="1" outlineLevel="2" x14ac:dyDescent="0.35">
      <c r="A51" s="29"/>
      <c r="B51" s="11" t="str">
        <f>CONCATENATE("          ", "6010", " - ", "GRATUITY")</f>
        <v xml:space="preserve">          6010 - GRATUITY</v>
      </c>
      <c r="C51" s="11"/>
      <c r="D51" s="7"/>
      <c r="E51" s="2"/>
      <c r="F51" s="6">
        <f t="shared" si="22"/>
        <v>0</v>
      </c>
      <c r="G51" s="2"/>
      <c r="H51" s="7">
        <v>0</v>
      </c>
      <c r="I51" s="2"/>
      <c r="J51" s="6">
        <f t="shared" si="23"/>
        <v>0</v>
      </c>
      <c r="K51" s="2"/>
      <c r="L51" s="7">
        <f t="shared" si="24"/>
        <v>0</v>
      </c>
      <c r="M51" s="2"/>
      <c r="N51" s="6">
        <f t="shared" si="25"/>
        <v>0</v>
      </c>
      <c r="O51" s="11"/>
      <c r="P51" s="7"/>
      <c r="Q51" s="2"/>
      <c r="R51" s="6">
        <f t="shared" si="26"/>
        <v>0</v>
      </c>
      <c r="S51" s="2"/>
      <c r="T51" s="7">
        <v>0</v>
      </c>
      <c r="U51" s="2"/>
      <c r="V51" s="6">
        <f t="shared" si="27"/>
        <v>0</v>
      </c>
      <c r="W51" s="2"/>
      <c r="X51" s="7">
        <f t="shared" si="28"/>
        <v>0</v>
      </c>
      <c r="Y51" s="2"/>
      <c r="Z51" s="6">
        <f t="shared" si="29"/>
        <v>0</v>
      </c>
    </row>
    <row r="52" spans="1:26" s="28" customFormat="1" outlineLevel="1" collapsed="1" x14ac:dyDescent="0.35">
      <c r="A52" s="27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SUM(OSRRefD22_2x_0)</f>
        <v>21.57</v>
      </c>
      <c r="E52" s="1"/>
      <c r="F52" s="5">
        <f t="shared" ref="F52:F61" si="30">IF(D$12=0,0,D52/D$12)</f>
        <v>1.792650730386743E-4</v>
      </c>
      <c r="G52" s="1"/>
      <c r="H52" s="1">
        <f>SUM(OSRRefH22_2x_0)</f>
        <v>1658</v>
      </c>
      <c r="I52" s="1"/>
      <c r="J52" s="5">
        <f t="shared" ref="J52:J61" si="31">IF(H$12=0,0,H52/H$12)</f>
        <v>5.8645217655818359E-3</v>
      </c>
      <c r="K52" s="1"/>
      <c r="L52" s="1">
        <f t="shared" ref="L52:L61" si="32">+D52-H52</f>
        <v>-1636.43</v>
      </c>
      <c r="M52" s="1"/>
      <c r="N52" s="5">
        <f t="shared" ref="N52:N61" si="33">IF(H52=0,0,L52/H52)</f>
        <v>-0.9869903498190592</v>
      </c>
      <c r="O52" s="14"/>
      <c r="P52" s="1">
        <f>SUM(OSRRefP22_2x_0)</f>
        <v>1584.52</v>
      </c>
      <c r="Q52" s="1"/>
      <c r="R52" s="5">
        <f t="shared" ref="R52:R61" si="34">IF(P$12=0,0,P52/P$12)</f>
        <v>1.666094537689942E-3</v>
      </c>
      <c r="S52" s="1"/>
      <c r="T52" s="1">
        <f>SUM(OSRRefT22_2x_0)</f>
        <v>12466</v>
      </c>
      <c r="U52" s="1"/>
      <c r="V52" s="5">
        <f t="shared" ref="V52:V61" si="35">IF(T$12=0,0,T52/T$12)</f>
        <v>5.6650400770001915E-3</v>
      </c>
      <c r="W52" s="1"/>
      <c r="X52" s="1">
        <f t="shared" ref="X52:X61" si="36">+P52-T52</f>
        <v>-10881.48</v>
      </c>
      <c r="Y52" s="1"/>
      <c r="Z52" s="5">
        <f t="shared" ref="Z52:Z61" si="37">IF(T52=0,0,X52/T52)</f>
        <v>-0.8728926680571153</v>
      </c>
    </row>
    <row r="53" spans="1:26" s="24" customFormat="1" hidden="1" outlineLevel="2" x14ac:dyDescent="0.35">
      <c r="A53" s="29"/>
      <c r="B53" s="11" t="str">
        <f>CONCATENATE("          ", "6362", " - ", "ADVERTISING EXPENSE")</f>
        <v xml:space="preserve">          6362 - ADVERTISING EXPENSE</v>
      </c>
      <c r="C53" s="11"/>
      <c r="D53" s="7">
        <v>21.57</v>
      </c>
      <c r="E53" s="2"/>
      <c r="F53" s="6">
        <f t="shared" si="30"/>
        <v>1.792650730386743E-4</v>
      </c>
      <c r="G53" s="2"/>
      <c r="H53" s="7">
        <v>1658</v>
      </c>
      <c r="I53" s="2"/>
      <c r="J53" s="6">
        <f t="shared" si="31"/>
        <v>5.8645217655818359E-3</v>
      </c>
      <c r="K53" s="2"/>
      <c r="L53" s="7">
        <f t="shared" si="32"/>
        <v>-1636.43</v>
      </c>
      <c r="M53" s="2"/>
      <c r="N53" s="6">
        <f t="shared" si="33"/>
        <v>-0.9869903498190592</v>
      </c>
      <c r="O53" s="11"/>
      <c r="P53" s="7">
        <v>1584.52</v>
      </c>
      <c r="Q53" s="2"/>
      <c r="R53" s="6">
        <f t="shared" si="34"/>
        <v>1.666094537689942E-3</v>
      </c>
      <c r="S53" s="2"/>
      <c r="T53" s="7">
        <v>12466</v>
      </c>
      <c r="U53" s="2"/>
      <c r="V53" s="6">
        <f t="shared" si="35"/>
        <v>5.6650400770001915E-3</v>
      </c>
      <c r="W53" s="2"/>
      <c r="X53" s="7">
        <f t="shared" si="36"/>
        <v>-10881.48</v>
      </c>
      <c r="Y53" s="2"/>
      <c r="Z53" s="6">
        <f t="shared" si="37"/>
        <v>-0.8728926680571153</v>
      </c>
    </row>
    <row r="54" spans="1:26" s="28" customFormat="1" outlineLevel="1" collapsed="1" x14ac:dyDescent="0.35">
      <c r="A54" s="27"/>
      <c r="B54" s="14" t="str">
        <f>CONCATENATE("     ","Bad Debts/Over/Short                              ")</f>
        <v xml:space="preserve">     Bad Debts/Over/Short                              </v>
      </c>
      <c r="C54" s="14"/>
      <c r="D54" s="1">
        <f>SUM(OSRRefD22_3x_0)</f>
        <v>0</v>
      </c>
      <c r="E54" s="1"/>
      <c r="F54" s="5">
        <f t="shared" si="30"/>
        <v>0</v>
      </c>
      <c r="G54" s="1"/>
      <c r="H54" s="1">
        <f>SUM(OSRRefH22_3x_0)</f>
        <v>36</v>
      </c>
      <c r="I54" s="1"/>
      <c r="J54" s="5">
        <f t="shared" si="31"/>
        <v>1.2733581638175277E-4</v>
      </c>
      <c r="K54" s="1"/>
      <c r="L54" s="1">
        <f t="shared" si="32"/>
        <v>-36</v>
      </c>
      <c r="M54" s="1"/>
      <c r="N54" s="5">
        <f t="shared" si="33"/>
        <v>-1</v>
      </c>
      <c r="O54" s="14"/>
      <c r="P54" s="1">
        <f>SUM(OSRRefP22_3x_0)</f>
        <v>78.53</v>
      </c>
      <c r="Q54" s="1"/>
      <c r="R54" s="5">
        <f t="shared" si="34"/>
        <v>8.2572895289924494E-5</v>
      </c>
      <c r="S54" s="1"/>
      <c r="T54" s="1">
        <f>SUM(OSRRefT22_3x_0)</f>
        <v>266</v>
      </c>
      <c r="U54" s="1"/>
      <c r="V54" s="5">
        <f t="shared" si="35"/>
        <v>1.2088084874715635E-4</v>
      </c>
      <c r="W54" s="1"/>
      <c r="X54" s="1">
        <f t="shared" si="36"/>
        <v>-187.47</v>
      </c>
      <c r="Y54" s="1"/>
      <c r="Z54" s="5">
        <f t="shared" si="37"/>
        <v>-0.70477443609022561</v>
      </c>
    </row>
    <row r="55" spans="1:26" s="24" customFormat="1" hidden="1" outlineLevel="2" x14ac:dyDescent="0.35">
      <c r="A55" s="29"/>
      <c r="B55" s="11" t="str">
        <f>CONCATENATE("          ", "6272", " - ", "CASH (OVER/SHORT)")</f>
        <v xml:space="preserve">          6272 - CASH (OVER/SHORT)</v>
      </c>
      <c r="C55" s="11"/>
      <c r="D55" s="7"/>
      <c r="E55" s="2"/>
      <c r="F55" s="6">
        <f t="shared" si="30"/>
        <v>0</v>
      </c>
      <c r="G55" s="2"/>
      <c r="H55" s="7">
        <v>36</v>
      </c>
      <c r="I55" s="2"/>
      <c r="J55" s="6">
        <f t="shared" si="31"/>
        <v>1.2733581638175277E-4</v>
      </c>
      <c r="K55" s="2"/>
      <c r="L55" s="7">
        <f t="shared" si="32"/>
        <v>-36</v>
      </c>
      <c r="M55" s="2"/>
      <c r="N55" s="6">
        <f t="shared" si="33"/>
        <v>-1</v>
      </c>
      <c r="O55" s="11"/>
      <c r="P55" s="7">
        <v>78.53</v>
      </c>
      <c r="Q55" s="2"/>
      <c r="R55" s="6">
        <f t="shared" si="34"/>
        <v>8.2572895289924494E-5</v>
      </c>
      <c r="S55" s="2"/>
      <c r="T55" s="7">
        <v>266</v>
      </c>
      <c r="U55" s="2"/>
      <c r="V55" s="6">
        <f t="shared" si="35"/>
        <v>1.2088084874715635E-4</v>
      </c>
      <c r="W55" s="2"/>
      <c r="X55" s="7">
        <f t="shared" si="36"/>
        <v>-187.47</v>
      </c>
      <c r="Y55" s="2"/>
      <c r="Z55" s="6">
        <f t="shared" si="37"/>
        <v>-0.70477443609022561</v>
      </c>
    </row>
    <row r="56" spans="1:26" s="28" customFormat="1" outlineLevel="1" collapsed="1" x14ac:dyDescent="0.35">
      <c r="A56" s="27"/>
      <c r="B56" s="14" t="str">
        <f>CONCATENATE("     ","Bank/card Fees                                    ")</f>
        <v xml:space="preserve">     Bank/card Fees                                    </v>
      </c>
      <c r="C56" s="14"/>
      <c r="D56" s="1">
        <f>SUM(OSRRefD22_4x_0)</f>
        <v>747.89</v>
      </c>
      <c r="E56" s="1"/>
      <c r="F56" s="5">
        <f t="shared" si="30"/>
        <v>6.2156029427396439E-3</v>
      </c>
      <c r="G56" s="1"/>
      <c r="H56" s="1">
        <f>SUM(OSRRefH22_4x_0)</f>
        <v>2215</v>
      </c>
      <c r="I56" s="1"/>
      <c r="J56" s="5">
        <f t="shared" si="31"/>
        <v>7.8346898134884005E-3</v>
      </c>
      <c r="K56" s="1"/>
      <c r="L56" s="1">
        <f t="shared" si="32"/>
        <v>-1467.1100000000001</v>
      </c>
      <c r="M56" s="1"/>
      <c r="N56" s="5">
        <f t="shared" si="33"/>
        <v>-0.66235214446952606</v>
      </c>
      <c r="O56" s="14"/>
      <c r="P56" s="1">
        <f>SUM(OSRRefP22_4x_0)</f>
        <v>4037.85</v>
      </c>
      <c r="Q56" s="1"/>
      <c r="R56" s="5">
        <f t="shared" si="34"/>
        <v>4.2457273048060818E-3</v>
      </c>
      <c r="S56" s="1"/>
      <c r="T56" s="1">
        <f>SUM(OSRRefT22_4x_0)</f>
        <v>23823</v>
      </c>
      <c r="U56" s="1"/>
      <c r="V56" s="5">
        <f t="shared" si="35"/>
        <v>1.0826106991366562E-2</v>
      </c>
      <c r="W56" s="1"/>
      <c r="X56" s="1">
        <f t="shared" si="36"/>
        <v>-19785.150000000001</v>
      </c>
      <c r="Y56" s="1"/>
      <c r="Z56" s="5">
        <f t="shared" si="37"/>
        <v>-0.83050623347185504</v>
      </c>
    </row>
    <row r="57" spans="1:26" s="24" customFormat="1" hidden="1" outlineLevel="2" x14ac:dyDescent="0.35">
      <c r="A57" s="29"/>
      <c r="B57" s="11" t="str">
        <f>CONCATENATE("          ", "6381", " - ", "BANK/CREDIT CARD FEES")</f>
        <v xml:space="preserve">          6381 - BANK/CREDIT CARD FEES</v>
      </c>
      <c r="C57" s="11"/>
      <c r="D57" s="7">
        <v>747.89</v>
      </c>
      <c r="E57" s="2"/>
      <c r="F57" s="6">
        <f t="shared" si="30"/>
        <v>6.2156029427396439E-3</v>
      </c>
      <c r="G57" s="2"/>
      <c r="H57" s="7">
        <v>2215</v>
      </c>
      <c r="I57" s="2"/>
      <c r="J57" s="6">
        <f t="shared" si="31"/>
        <v>7.8346898134884005E-3</v>
      </c>
      <c r="K57" s="2"/>
      <c r="L57" s="7">
        <f t="shared" si="32"/>
        <v>-1467.1100000000001</v>
      </c>
      <c r="M57" s="2"/>
      <c r="N57" s="6">
        <f t="shared" si="33"/>
        <v>-0.66235214446952606</v>
      </c>
      <c r="O57" s="11"/>
      <c r="P57" s="7">
        <v>4037.85</v>
      </c>
      <c r="Q57" s="2"/>
      <c r="R57" s="6">
        <f t="shared" si="34"/>
        <v>4.2457273048060818E-3</v>
      </c>
      <c r="S57" s="2"/>
      <c r="T57" s="7">
        <v>23823</v>
      </c>
      <c r="U57" s="2"/>
      <c r="V57" s="6">
        <f t="shared" si="35"/>
        <v>1.0826106991366562E-2</v>
      </c>
      <c r="W57" s="2"/>
      <c r="X57" s="7">
        <f t="shared" si="36"/>
        <v>-19785.150000000001</v>
      </c>
      <c r="Y57" s="2"/>
      <c r="Z57" s="6">
        <f t="shared" si="37"/>
        <v>-0.83050623347185504</v>
      </c>
    </row>
    <row r="58" spans="1:26" s="28" customFormat="1" outlineLevel="1" collapsed="1" x14ac:dyDescent="0.35">
      <c r="A58" s="27"/>
      <c r="B58" s="14" t="str">
        <f>CONCATENATE("     ","Depreciation                                      ")</f>
        <v xml:space="preserve">     Depreciation                                      </v>
      </c>
      <c r="C58" s="14"/>
      <c r="D58" s="1">
        <f>SUM(OSRRefD22_5x_0)</f>
        <v>37479.259999999995</v>
      </c>
      <c r="E58" s="1"/>
      <c r="F58" s="5">
        <f t="shared" si="30"/>
        <v>0.31148457493442111</v>
      </c>
      <c r="G58" s="1"/>
      <c r="H58" s="1">
        <f>SUM(OSRRefH22_5x_0)</f>
        <v>37930</v>
      </c>
      <c r="I58" s="1"/>
      <c r="J58" s="5">
        <f t="shared" si="31"/>
        <v>0.13416243098221897</v>
      </c>
      <c r="K58" s="1"/>
      <c r="L58" s="1">
        <f t="shared" si="32"/>
        <v>-450.74000000000524</v>
      </c>
      <c r="M58" s="1"/>
      <c r="N58" s="5">
        <f t="shared" si="33"/>
        <v>-1.188346954916966E-2</v>
      </c>
      <c r="O58" s="14"/>
      <c r="P58" s="1">
        <f>SUM(OSRRefP22_5x_0)</f>
        <v>264649.90000000002</v>
      </c>
      <c r="Q58" s="1"/>
      <c r="R58" s="5">
        <f t="shared" si="34"/>
        <v>0.27827465275931479</v>
      </c>
      <c r="S58" s="1"/>
      <c r="T58" s="1">
        <f>SUM(OSRRefT22_5x_0)</f>
        <v>268114</v>
      </c>
      <c r="U58" s="1"/>
      <c r="V58" s="5">
        <f t="shared" si="35"/>
        <v>0.12184153338719954</v>
      </c>
      <c r="W58" s="1"/>
      <c r="X58" s="1">
        <f t="shared" si="36"/>
        <v>-3464.0999999999767</v>
      </c>
      <c r="Y58" s="1"/>
      <c r="Z58" s="5">
        <f t="shared" si="37"/>
        <v>-1.2920250341272655E-2</v>
      </c>
    </row>
    <row r="59" spans="1:26" s="24" customFormat="1" hidden="1" outlineLevel="2" x14ac:dyDescent="0.35">
      <c r="A59" s="29"/>
      <c r="B59" s="11" t="str">
        <f>CONCATENATE("          ", "6321", " - ", "BUILDING DEPRECIATION")</f>
        <v xml:space="preserve">          6321 - BUILDING DEPRECIATION</v>
      </c>
      <c r="C59" s="11"/>
      <c r="D59" s="7">
        <v>23583.489999999998</v>
      </c>
      <c r="E59" s="2"/>
      <c r="F59" s="6">
        <f t="shared" si="30"/>
        <v>0.19599889000263535</v>
      </c>
      <c r="G59" s="2"/>
      <c r="H59" s="7"/>
      <c r="I59" s="2"/>
      <c r="J59" s="6">
        <f t="shared" si="31"/>
        <v>0</v>
      </c>
      <c r="K59" s="2"/>
      <c r="L59" s="7">
        <f t="shared" si="32"/>
        <v>23583.489999999998</v>
      </c>
      <c r="M59" s="2"/>
      <c r="N59" s="6">
        <f t="shared" si="33"/>
        <v>0</v>
      </c>
      <c r="O59" s="11"/>
      <c r="P59" s="7">
        <v>165868.62</v>
      </c>
      <c r="Q59" s="2"/>
      <c r="R59" s="6">
        <f t="shared" si="34"/>
        <v>0.17440789750597574</v>
      </c>
      <c r="S59" s="2"/>
      <c r="T59" s="7"/>
      <c r="U59" s="2"/>
      <c r="V59" s="6">
        <f t="shared" si="35"/>
        <v>0</v>
      </c>
      <c r="W59" s="2"/>
      <c r="X59" s="7">
        <f t="shared" si="36"/>
        <v>165868.62</v>
      </c>
      <c r="Y59" s="2"/>
      <c r="Z59" s="6">
        <f t="shared" si="37"/>
        <v>0</v>
      </c>
    </row>
    <row r="60" spans="1:26" s="24" customFormat="1" hidden="1" outlineLevel="2" x14ac:dyDescent="0.35">
      <c r="A60" s="29"/>
      <c r="B60" s="11" t="str">
        <f>CONCATENATE("          ", "6322", " - ", "EQUIPMENT DEPRECIATION EXPENSE")</f>
        <v xml:space="preserve">          6322 - EQUIPMENT DEPRECIATION EXPENSE</v>
      </c>
      <c r="C60" s="11"/>
      <c r="D60" s="7">
        <v>13895.77</v>
      </c>
      <c r="E60" s="2"/>
      <c r="F60" s="6">
        <f t="shared" si="30"/>
        <v>0.11548568493178578</v>
      </c>
      <c r="G60" s="2"/>
      <c r="H60" s="7">
        <v>37380</v>
      </c>
      <c r="I60" s="2"/>
      <c r="J60" s="6">
        <f t="shared" si="31"/>
        <v>0.13221702267638663</v>
      </c>
      <c r="K60" s="2"/>
      <c r="L60" s="7">
        <f t="shared" si="32"/>
        <v>-23484.23</v>
      </c>
      <c r="M60" s="2"/>
      <c r="N60" s="6">
        <f t="shared" si="33"/>
        <v>-0.62825655430711613</v>
      </c>
      <c r="O60" s="11"/>
      <c r="P60" s="7">
        <v>98781.28</v>
      </c>
      <c r="Q60" s="2"/>
      <c r="R60" s="6">
        <f t="shared" si="34"/>
        <v>0.10386675525333901</v>
      </c>
      <c r="S60" s="2"/>
      <c r="T60" s="7">
        <v>264264</v>
      </c>
      <c r="U60" s="2"/>
      <c r="V60" s="6">
        <f t="shared" si="35"/>
        <v>0.1200919421553328</v>
      </c>
      <c r="W60" s="2"/>
      <c r="X60" s="7">
        <f t="shared" si="36"/>
        <v>-165482.72</v>
      </c>
      <c r="Y60" s="2"/>
      <c r="Z60" s="6">
        <f t="shared" si="37"/>
        <v>-0.62620228256591892</v>
      </c>
    </row>
    <row r="61" spans="1:26" s="24" customFormat="1" hidden="1" outlineLevel="2" x14ac:dyDescent="0.35">
      <c r="A61" s="29"/>
      <c r="B61" s="11" t="str">
        <f>CONCATENATE("          ", "6326", " - ", "VEHICLES DEPRECIATION EXPENSE")</f>
        <v xml:space="preserve">          6326 - VEHICLES DEPRECIATION EXPENSE</v>
      </c>
      <c r="C61" s="11"/>
      <c r="D61" s="7"/>
      <c r="E61" s="2"/>
      <c r="F61" s="6">
        <f t="shared" si="30"/>
        <v>0</v>
      </c>
      <c r="G61" s="2"/>
      <c r="H61" s="7">
        <v>550</v>
      </c>
      <c r="I61" s="2"/>
      <c r="J61" s="6">
        <f t="shared" si="31"/>
        <v>1.9454083058323341E-3</v>
      </c>
      <c r="K61" s="2"/>
      <c r="L61" s="7">
        <f t="shared" si="32"/>
        <v>-550</v>
      </c>
      <c r="M61" s="2"/>
      <c r="N61" s="6">
        <f t="shared" si="33"/>
        <v>-1</v>
      </c>
      <c r="O61" s="11"/>
      <c r="P61" s="7"/>
      <c r="Q61" s="2"/>
      <c r="R61" s="6">
        <f t="shared" si="34"/>
        <v>0</v>
      </c>
      <c r="S61" s="2"/>
      <c r="T61" s="7">
        <v>3850</v>
      </c>
      <c r="U61" s="2"/>
      <c r="V61" s="6">
        <f t="shared" si="35"/>
        <v>1.7495912318667365E-3</v>
      </c>
      <c r="W61" s="2"/>
      <c r="X61" s="7">
        <f t="shared" si="36"/>
        <v>-3850</v>
      </c>
      <c r="Y61" s="2"/>
      <c r="Z61" s="6">
        <f t="shared" si="37"/>
        <v>-1</v>
      </c>
    </row>
    <row r="62" spans="1:26" s="28" customFormat="1" outlineLevel="1" collapsed="1" x14ac:dyDescent="0.35">
      <c r="A62" s="27"/>
      <c r="B62" s="14" t="str">
        <f>CONCATENATE("     ","Donations                                         ")</f>
        <v xml:space="preserve">     Donations                                         </v>
      </c>
      <c r="C62" s="14"/>
      <c r="D62" s="1">
        <f>SUM(OSRRefD22_6x_0)</f>
        <v>1459.14</v>
      </c>
      <c r="E62" s="1"/>
      <c r="F62" s="5">
        <f t="shared" ref="F62:F84" si="38">IF(D$12=0,0,D62/D$12)</f>
        <v>1.2126696276015356E-2</v>
      </c>
      <c r="G62" s="1"/>
      <c r="H62" s="1">
        <f>SUM(OSRRefH22_6x_0)</f>
        <v>10773</v>
      </c>
      <c r="I62" s="1"/>
      <c r="J62" s="5">
        <f t="shared" ref="J62:J84" si="39">IF(H$12=0,0,H62/H$12)</f>
        <v>3.8105243052239515E-2</v>
      </c>
      <c r="K62" s="1"/>
      <c r="L62" s="1">
        <f t="shared" ref="L62:L84" si="40">+D62-H62</f>
        <v>-9313.86</v>
      </c>
      <c r="M62" s="1"/>
      <c r="N62" s="5">
        <f t="shared" ref="N62:N84" si="41">IF(H62=0,0,L62/H62)</f>
        <v>-0.8645558340295183</v>
      </c>
      <c r="O62" s="14"/>
      <c r="P62" s="1">
        <f>SUM(OSRRefP22_6x_0)</f>
        <v>38281.15</v>
      </c>
      <c r="Q62" s="1"/>
      <c r="R62" s="5">
        <f t="shared" ref="R62:R84" si="42">IF(P$12=0,0,P62/P$12)</f>
        <v>4.0251946905996344E-2</v>
      </c>
      <c r="S62" s="1"/>
      <c r="T62" s="1">
        <f>SUM(OSRRefT22_6x_0)</f>
        <v>78638</v>
      </c>
      <c r="U62" s="1"/>
      <c r="V62" s="5">
        <f t="shared" ref="V62:V84" si="43">IF(T$12=0,0,T62/T$12)</f>
        <v>3.5736196179619852E-2</v>
      </c>
      <c r="W62" s="1"/>
      <c r="X62" s="1">
        <f t="shared" ref="X62:X84" si="44">+P62-T62</f>
        <v>-40356.85</v>
      </c>
      <c r="Y62" s="1"/>
      <c r="Z62" s="5">
        <f t="shared" ref="Z62:Z84" si="45">IF(T62=0,0,X62/T62)</f>
        <v>-0.51319781784887708</v>
      </c>
    </row>
    <row r="63" spans="1:26" s="24" customFormat="1" hidden="1" outlineLevel="2" x14ac:dyDescent="0.35">
      <c r="A63" s="29"/>
      <c r="B63" s="11" t="str">
        <f>CONCATENATE("          ", "6399", " - ", "DONATION-ON CAMPUS")</f>
        <v xml:space="preserve">          6399 - DONATION-ON CAMPUS</v>
      </c>
      <c r="C63" s="11"/>
      <c r="D63" s="7">
        <v>1459.14</v>
      </c>
      <c r="E63" s="2"/>
      <c r="F63" s="6">
        <f t="shared" si="38"/>
        <v>1.2126696276015356E-2</v>
      </c>
      <c r="G63" s="2"/>
      <c r="H63" s="7">
        <v>10773</v>
      </c>
      <c r="I63" s="2"/>
      <c r="J63" s="6">
        <f t="shared" si="39"/>
        <v>3.8105243052239515E-2</v>
      </c>
      <c r="K63" s="2"/>
      <c r="L63" s="7">
        <f t="shared" si="40"/>
        <v>-9313.86</v>
      </c>
      <c r="M63" s="2"/>
      <c r="N63" s="6">
        <f t="shared" si="41"/>
        <v>-0.8645558340295183</v>
      </c>
      <c r="O63" s="11"/>
      <c r="P63" s="7">
        <v>38281.15</v>
      </c>
      <c r="Q63" s="2"/>
      <c r="R63" s="6">
        <f t="shared" si="42"/>
        <v>4.0251946905996344E-2</v>
      </c>
      <c r="S63" s="2"/>
      <c r="T63" s="7">
        <v>78638</v>
      </c>
      <c r="U63" s="2"/>
      <c r="V63" s="6">
        <f t="shared" si="43"/>
        <v>3.5736196179619852E-2</v>
      </c>
      <c r="W63" s="2"/>
      <c r="X63" s="7">
        <f t="shared" si="44"/>
        <v>-40356.85</v>
      </c>
      <c r="Y63" s="2"/>
      <c r="Z63" s="6">
        <f t="shared" si="45"/>
        <v>-0.51319781784887708</v>
      </c>
    </row>
    <row r="64" spans="1:26" s="28" customFormat="1" outlineLevel="1" collapsed="1" x14ac:dyDescent="0.35">
      <c r="A64" s="27"/>
      <c r="B64" s="14" t="str">
        <f>CONCATENATE("     ","Employees' Appreciation                           ")</f>
        <v xml:space="preserve">     Employees' Appreciation                           </v>
      </c>
      <c r="C64" s="14"/>
      <c r="D64" s="1">
        <f>SUM(OSRRefD22_7x_0)</f>
        <v>0</v>
      </c>
      <c r="E64" s="1"/>
      <c r="F64" s="5">
        <f t="shared" si="38"/>
        <v>0</v>
      </c>
      <c r="G64" s="1"/>
      <c r="H64" s="1">
        <f>SUM(OSRRefH22_7x_0)</f>
        <v>300</v>
      </c>
      <c r="I64" s="1"/>
      <c r="J64" s="5">
        <f t="shared" si="39"/>
        <v>1.0611318031812731E-3</v>
      </c>
      <c r="K64" s="1"/>
      <c r="L64" s="1">
        <f t="shared" si="40"/>
        <v>-300</v>
      </c>
      <c r="M64" s="1"/>
      <c r="N64" s="5">
        <f t="shared" si="41"/>
        <v>-1</v>
      </c>
      <c r="O64" s="14"/>
      <c r="P64" s="1">
        <f>SUM(OSRRefP22_7x_0)</f>
        <v>10</v>
      </c>
      <c r="Q64" s="1"/>
      <c r="R64" s="5">
        <f t="shared" si="42"/>
        <v>1.0514821761100788E-5</v>
      </c>
      <c r="S64" s="1"/>
      <c r="T64" s="1">
        <f>SUM(OSRRefT22_7x_0)</f>
        <v>2000</v>
      </c>
      <c r="U64" s="1"/>
      <c r="V64" s="5">
        <f t="shared" si="43"/>
        <v>9.0887856200869436E-4</v>
      </c>
      <c r="W64" s="1"/>
      <c r="X64" s="1">
        <f t="shared" si="44"/>
        <v>-1990</v>
      </c>
      <c r="Y64" s="1"/>
      <c r="Z64" s="5">
        <f t="shared" si="45"/>
        <v>-0.995</v>
      </c>
    </row>
    <row r="65" spans="1:26" s="24" customFormat="1" hidden="1" outlineLevel="2" x14ac:dyDescent="0.35">
      <c r="A65" s="29"/>
      <c r="B65" s="11" t="str">
        <f>CONCATENATE("          ", "6277", " - ", "EMPLOYEE APPRECIATION")</f>
        <v xml:space="preserve">          6277 - EMPLOYEE APPRECIATION</v>
      </c>
      <c r="C65" s="11"/>
      <c r="D65" s="7"/>
      <c r="E65" s="2"/>
      <c r="F65" s="6">
        <f t="shared" si="38"/>
        <v>0</v>
      </c>
      <c r="G65" s="2"/>
      <c r="H65" s="7">
        <v>300</v>
      </c>
      <c r="I65" s="2"/>
      <c r="J65" s="6">
        <f t="shared" si="39"/>
        <v>1.0611318031812731E-3</v>
      </c>
      <c r="K65" s="2"/>
      <c r="L65" s="7">
        <f t="shared" si="40"/>
        <v>-300</v>
      </c>
      <c r="M65" s="2"/>
      <c r="N65" s="6">
        <f t="shared" si="41"/>
        <v>-1</v>
      </c>
      <c r="O65" s="11"/>
      <c r="P65" s="7">
        <v>10</v>
      </c>
      <c r="Q65" s="2"/>
      <c r="R65" s="6">
        <f t="shared" si="42"/>
        <v>1.0514821761100788E-5</v>
      </c>
      <c r="S65" s="2"/>
      <c r="T65" s="7">
        <v>2000</v>
      </c>
      <c r="U65" s="2"/>
      <c r="V65" s="6">
        <f t="shared" si="43"/>
        <v>9.0887856200869436E-4</v>
      </c>
      <c r="W65" s="2"/>
      <c r="X65" s="7">
        <f t="shared" si="44"/>
        <v>-1990</v>
      </c>
      <c r="Y65" s="2"/>
      <c r="Z65" s="6">
        <f t="shared" si="45"/>
        <v>-0.995</v>
      </c>
    </row>
    <row r="66" spans="1:26" s="28" customFormat="1" outlineLevel="1" collapsed="1" x14ac:dyDescent="0.35">
      <c r="A66" s="27"/>
      <c r="B66" s="14" t="str">
        <f>CONCATENATE("     ","Equipment Rental                                  ")</f>
        <v xml:space="preserve">     Equipment Rental                                  </v>
      </c>
      <c r="C66" s="14"/>
      <c r="D66" s="1">
        <f>SUM(OSRRefD22_8x_0)</f>
        <v>444.75</v>
      </c>
      <c r="E66" s="1"/>
      <c r="F66" s="5">
        <f t="shared" si="38"/>
        <v>3.6962513321256558E-3</v>
      </c>
      <c r="G66" s="1"/>
      <c r="H66" s="1">
        <f>SUM(OSRRefH22_8x_0)</f>
        <v>1064.333333333333</v>
      </c>
      <c r="I66" s="1"/>
      <c r="J66" s="5">
        <f t="shared" si="39"/>
        <v>3.7646598306197822E-3</v>
      </c>
      <c r="K66" s="1"/>
      <c r="L66" s="1">
        <f t="shared" si="40"/>
        <v>-619.58333333333303</v>
      </c>
      <c r="M66" s="1"/>
      <c r="N66" s="5">
        <f t="shared" si="41"/>
        <v>-0.5821327904791731</v>
      </c>
      <c r="O66" s="14"/>
      <c r="P66" s="1">
        <f>SUM(OSRRefP22_8x_0)</f>
        <v>7745.9</v>
      </c>
      <c r="Q66" s="1"/>
      <c r="R66" s="5">
        <f t="shared" si="42"/>
        <v>8.1446757879310595E-3</v>
      </c>
      <c r="S66" s="1"/>
      <c r="T66" s="1">
        <f>SUM(OSRRefT22_8x_0)</f>
        <v>7123.3333333333312</v>
      </c>
      <c r="U66" s="1"/>
      <c r="V66" s="5">
        <f t="shared" si="43"/>
        <v>3.2371224783542987E-3</v>
      </c>
      <c r="W66" s="1"/>
      <c r="X66" s="1">
        <f t="shared" si="44"/>
        <v>622.56666666666843</v>
      </c>
      <c r="Y66" s="1"/>
      <c r="Z66" s="5">
        <f t="shared" si="45"/>
        <v>8.7398221806270743E-2</v>
      </c>
    </row>
    <row r="67" spans="1:26" s="24" customFormat="1" hidden="1" outlineLevel="2" x14ac:dyDescent="0.35">
      <c r="A67" s="29"/>
      <c r="B67" s="11" t="str">
        <f>CONCATENATE("          ", "6351", " - ", "EQUIPMENT RENTAL")</f>
        <v xml:space="preserve">          6351 - EQUIPMENT RENTAL</v>
      </c>
      <c r="C67" s="11"/>
      <c r="D67" s="7">
        <v>444.75</v>
      </c>
      <c r="E67" s="2"/>
      <c r="F67" s="6">
        <f t="shared" si="38"/>
        <v>3.6962513321256558E-3</v>
      </c>
      <c r="G67" s="2"/>
      <c r="H67" s="7">
        <v>1064.333333333333</v>
      </c>
      <c r="I67" s="2"/>
      <c r="J67" s="6">
        <f t="shared" si="39"/>
        <v>3.7646598306197822E-3</v>
      </c>
      <c r="K67" s="2"/>
      <c r="L67" s="7">
        <f t="shared" si="40"/>
        <v>-619.58333333333303</v>
      </c>
      <c r="M67" s="2"/>
      <c r="N67" s="6">
        <f t="shared" si="41"/>
        <v>-0.5821327904791731</v>
      </c>
      <c r="O67" s="11"/>
      <c r="P67" s="7">
        <v>7745.9</v>
      </c>
      <c r="Q67" s="2"/>
      <c r="R67" s="6">
        <f t="shared" si="42"/>
        <v>8.1446757879310595E-3</v>
      </c>
      <c r="S67" s="2"/>
      <c r="T67" s="7">
        <v>7123.3333333333312</v>
      </c>
      <c r="U67" s="2"/>
      <c r="V67" s="6">
        <f t="shared" si="43"/>
        <v>3.2371224783542987E-3</v>
      </c>
      <c r="W67" s="2"/>
      <c r="X67" s="7">
        <f t="shared" si="44"/>
        <v>622.56666666666843</v>
      </c>
      <c r="Y67" s="2"/>
      <c r="Z67" s="6">
        <f t="shared" si="45"/>
        <v>8.7398221806270743E-2</v>
      </c>
    </row>
    <row r="68" spans="1:26" s="28" customFormat="1" outlineLevel="1" collapsed="1" x14ac:dyDescent="0.35">
      <c r="A68" s="27"/>
      <c r="B68" s="14" t="str">
        <f>CONCATENATE("     ","Freight out/Postage                               ")</f>
        <v xml:space="preserve">     Freight out/Postage                               </v>
      </c>
      <c r="C68" s="14"/>
      <c r="D68" s="1">
        <f>SUM(OSRRefD22_9x_0)</f>
        <v>0</v>
      </c>
      <c r="E68" s="1"/>
      <c r="F68" s="5">
        <f t="shared" si="38"/>
        <v>0</v>
      </c>
      <c r="G68" s="1"/>
      <c r="H68" s="1">
        <f>SUM(OSRRefH22_9x_0)</f>
        <v>0</v>
      </c>
      <c r="I68" s="1"/>
      <c r="J68" s="5">
        <f t="shared" si="39"/>
        <v>0</v>
      </c>
      <c r="K68" s="1"/>
      <c r="L68" s="1">
        <f t="shared" si="40"/>
        <v>0</v>
      </c>
      <c r="M68" s="1"/>
      <c r="N68" s="5">
        <f t="shared" si="41"/>
        <v>0</v>
      </c>
      <c r="O68" s="14"/>
      <c r="P68" s="1">
        <f>SUM(OSRRefP22_9x_0)</f>
        <v>-5.41</v>
      </c>
      <c r="Q68" s="1"/>
      <c r="R68" s="5">
        <f t="shared" si="42"/>
        <v>-5.6885185727555261E-6</v>
      </c>
      <c r="S68" s="1"/>
      <c r="T68" s="1">
        <f>SUM(OSRRefT22_9x_0)</f>
        <v>0</v>
      </c>
      <c r="U68" s="1"/>
      <c r="V68" s="5">
        <f t="shared" si="43"/>
        <v>0</v>
      </c>
      <c r="W68" s="1"/>
      <c r="X68" s="1">
        <f t="shared" si="44"/>
        <v>-5.41</v>
      </c>
      <c r="Y68" s="1"/>
      <c r="Z68" s="5">
        <f t="shared" si="45"/>
        <v>0</v>
      </c>
    </row>
    <row r="69" spans="1:26" s="24" customFormat="1" hidden="1" outlineLevel="2" x14ac:dyDescent="0.35">
      <c r="A69" s="29"/>
      <c r="B69" s="11" t="str">
        <f>CONCATENATE("          ", "6307", " - ", "POSTAGE")</f>
        <v xml:space="preserve">          6307 - POSTAGE</v>
      </c>
      <c r="C69" s="11"/>
      <c r="D69" s="7"/>
      <c r="E69" s="2"/>
      <c r="F69" s="6">
        <f t="shared" si="38"/>
        <v>0</v>
      </c>
      <c r="G69" s="2"/>
      <c r="H69" s="7"/>
      <c r="I69" s="2"/>
      <c r="J69" s="6">
        <f t="shared" si="39"/>
        <v>0</v>
      </c>
      <c r="K69" s="2"/>
      <c r="L69" s="7">
        <f t="shared" si="40"/>
        <v>0</v>
      </c>
      <c r="M69" s="2"/>
      <c r="N69" s="6">
        <f t="shared" si="41"/>
        <v>0</v>
      </c>
      <c r="O69" s="11"/>
      <c r="P69" s="7">
        <v>-5.41</v>
      </c>
      <c r="Q69" s="2"/>
      <c r="R69" s="6">
        <f t="shared" si="42"/>
        <v>-5.6885185727555261E-6</v>
      </c>
      <c r="S69" s="2"/>
      <c r="T69" s="7"/>
      <c r="U69" s="2"/>
      <c r="V69" s="6">
        <f t="shared" si="43"/>
        <v>0</v>
      </c>
      <c r="W69" s="2"/>
      <c r="X69" s="7">
        <f t="shared" si="44"/>
        <v>-5.41</v>
      </c>
      <c r="Y69" s="2"/>
      <c r="Z69" s="6">
        <f t="shared" si="45"/>
        <v>0</v>
      </c>
    </row>
    <row r="70" spans="1:26" s="28" customFormat="1" outlineLevel="1" collapsed="1" x14ac:dyDescent="0.35">
      <c r="A70" s="27"/>
      <c r="B70" s="14" t="str">
        <f>CONCATENATE("     ","General                                           ")</f>
        <v xml:space="preserve">     General                                           </v>
      </c>
      <c r="C70" s="14"/>
      <c r="D70" s="1">
        <f>SUM(OSRRefD22_10x_0)</f>
        <v>397</v>
      </c>
      <c r="E70" s="1"/>
      <c r="F70" s="5">
        <f t="shared" si="38"/>
        <v>3.2994081593117151E-3</v>
      </c>
      <c r="G70" s="1"/>
      <c r="H70" s="1">
        <f>SUM(OSRRefH22_10x_0)</f>
        <v>430</v>
      </c>
      <c r="I70" s="1"/>
      <c r="J70" s="5">
        <f t="shared" si="39"/>
        <v>1.5209555845598249E-3</v>
      </c>
      <c r="K70" s="1"/>
      <c r="L70" s="1">
        <f t="shared" si="40"/>
        <v>-33</v>
      </c>
      <c r="M70" s="1"/>
      <c r="N70" s="5">
        <f t="shared" si="41"/>
        <v>-7.6744186046511634E-2</v>
      </c>
      <c r="O70" s="14"/>
      <c r="P70" s="1">
        <f>SUM(OSRRefP22_10x_0)</f>
        <v>12235.88</v>
      </c>
      <c r="Q70" s="1"/>
      <c r="R70" s="5">
        <f t="shared" si="42"/>
        <v>1.286580972902179E-2</v>
      </c>
      <c r="S70" s="1"/>
      <c r="T70" s="1">
        <f>SUM(OSRRefT22_10x_0)</f>
        <v>12240</v>
      </c>
      <c r="U70" s="1"/>
      <c r="V70" s="5">
        <f t="shared" si="43"/>
        <v>5.5623367994932097E-3</v>
      </c>
      <c r="W70" s="1"/>
      <c r="X70" s="1">
        <f t="shared" si="44"/>
        <v>-4.1200000000008004</v>
      </c>
      <c r="Y70" s="1"/>
      <c r="Z70" s="5">
        <f t="shared" si="45"/>
        <v>-3.3660130718960786E-4</v>
      </c>
    </row>
    <row r="71" spans="1:26" s="24" customFormat="1" hidden="1" outlineLevel="2" x14ac:dyDescent="0.35">
      <c r="A71" s="29"/>
      <c r="B71" s="11" t="str">
        <f>CONCATENATE("          ", "6279", " - ", "GENERAL EXPENSE")</f>
        <v xml:space="preserve">          6279 - GENERAL EXPENSE</v>
      </c>
      <c r="C71" s="11"/>
      <c r="D71" s="7">
        <v>397</v>
      </c>
      <c r="E71" s="2"/>
      <c r="F71" s="6">
        <f t="shared" si="38"/>
        <v>3.2994081593117151E-3</v>
      </c>
      <c r="G71" s="2"/>
      <c r="H71" s="7">
        <v>430</v>
      </c>
      <c r="I71" s="2"/>
      <c r="J71" s="6">
        <f t="shared" si="39"/>
        <v>1.5209555845598249E-3</v>
      </c>
      <c r="K71" s="2"/>
      <c r="L71" s="7">
        <f t="shared" si="40"/>
        <v>-33</v>
      </c>
      <c r="M71" s="2"/>
      <c r="N71" s="6">
        <f t="shared" si="41"/>
        <v>-7.6744186046511634E-2</v>
      </c>
      <c r="O71" s="11"/>
      <c r="P71" s="7">
        <v>12235.88</v>
      </c>
      <c r="Q71" s="2"/>
      <c r="R71" s="6">
        <f t="shared" si="42"/>
        <v>1.286580972902179E-2</v>
      </c>
      <c r="S71" s="2"/>
      <c r="T71" s="7">
        <v>12240</v>
      </c>
      <c r="U71" s="2"/>
      <c r="V71" s="6">
        <f t="shared" si="43"/>
        <v>5.5623367994932097E-3</v>
      </c>
      <c r="W71" s="2"/>
      <c r="X71" s="7">
        <f t="shared" si="44"/>
        <v>-4.1200000000008004</v>
      </c>
      <c r="Y71" s="2"/>
      <c r="Z71" s="6">
        <f t="shared" si="45"/>
        <v>-3.3660130718960786E-4</v>
      </c>
    </row>
    <row r="72" spans="1:26" s="28" customFormat="1" outlineLevel="1" collapsed="1" x14ac:dyDescent="0.35">
      <c r="A72" s="27"/>
      <c r="B72" s="14" t="str">
        <f>CONCATENATE("     ","Insurance                                         ")</f>
        <v xml:space="preserve">     Insurance                                         </v>
      </c>
      <c r="C72" s="14"/>
      <c r="D72" s="1">
        <f>SUM(OSRRefD22_11x_0)</f>
        <v>4246.03</v>
      </c>
      <c r="E72" s="1"/>
      <c r="F72" s="5">
        <f t="shared" si="38"/>
        <v>3.5288126011794263E-2</v>
      </c>
      <c r="G72" s="1"/>
      <c r="H72" s="1">
        <f>SUM(OSRRefH22_11x_0)</f>
        <v>4572</v>
      </c>
      <c r="I72" s="1"/>
      <c r="J72" s="5">
        <f t="shared" si="39"/>
        <v>1.6171648680482601E-2</v>
      </c>
      <c r="K72" s="1"/>
      <c r="L72" s="1">
        <f t="shared" si="40"/>
        <v>-325.97000000000025</v>
      </c>
      <c r="M72" s="1"/>
      <c r="N72" s="5">
        <f t="shared" si="41"/>
        <v>-7.1297025371828582E-2</v>
      </c>
      <c r="O72" s="14"/>
      <c r="P72" s="1">
        <f>SUM(OSRRefP22_11x_0)</f>
        <v>35834.21</v>
      </c>
      <c r="Q72" s="1"/>
      <c r="R72" s="5">
        <f t="shared" si="42"/>
        <v>3.7679033109985549E-2</v>
      </c>
      <c r="S72" s="1"/>
      <c r="T72" s="1">
        <f>SUM(OSRRefT22_11x_0)</f>
        <v>32004</v>
      </c>
      <c r="U72" s="1"/>
      <c r="V72" s="5">
        <f t="shared" si="43"/>
        <v>1.4543874749263127E-2</v>
      </c>
      <c r="W72" s="1"/>
      <c r="X72" s="1">
        <f t="shared" si="44"/>
        <v>3830.2099999999991</v>
      </c>
      <c r="Y72" s="1"/>
      <c r="Z72" s="5">
        <f t="shared" si="45"/>
        <v>0.11967910261217345</v>
      </c>
    </row>
    <row r="73" spans="1:26" s="24" customFormat="1" hidden="1" outlineLevel="2" x14ac:dyDescent="0.35">
      <c r="A73" s="29"/>
      <c r="B73" s="11" t="str">
        <f>CONCATENATE("          ", "6314", " - ", "LIABILITY INSURANCE")</f>
        <v xml:space="preserve">          6314 - LIABILITY INSURANCE</v>
      </c>
      <c r="C73" s="11"/>
      <c r="D73" s="7">
        <v>4246.03</v>
      </c>
      <c r="E73" s="2"/>
      <c r="F73" s="6">
        <f t="shared" si="38"/>
        <v>3.5288126011794263E-2</v>
      </c>
      <c r="G73" s="2"/>
      <c r="H73" s="7">
        <v>4572</v>
      </c>
      <c r="I73" s="2"/>
      <c r="J73" s="6">
        <f t="shared" si="39"/>
        <v>1.6171648680482601E-2</v>
      </c>
      <c r="K73" s="2"/>
      <c r="L73" s="7">
        <f t="shared" si="40"/>
        <v>-325.97000000000025</v>
      </c>
      <c r="M73" s="2"/>
      <c r="N73" s="6">
        <f t="shared" si="41"/>
        <v>-7.1297025371828582E-2</v>
      </c>
      <c r="O73" s="11"/>
      <c r="P73" s="7">
        <v>35834.21</v>
      </c>
      <c r="Q73" s="2"/>
      <c r="R73" s="6">
        <f t="shared" si="42"/>
        <v>3.7679033109985549E-2</v>
      </c>
      <c r="S73" s="2"/>
      <c r="T73" s="7">
        <v>32004</v>
      </c>
      <c r="U73" s="2"/>
      <c r="V73" s="6">
        <f t="shared" si="43"/>
        <v>1.4543874749263127E-2</v>
      </c>
      <c r="W73" s="2"/>
      <c r="X73" s="7">
        <f t="shared" si="44"/>
        <v>3830.2099999999991</v>
      </c>
      <c r="Y73" s="2"/>
      <c r="Z73" s="6">
        <f t="shared" si="45"/>
        <v>0.11967910261217345</v>
      </c>
    </row>
    <row r="74" spans="1:26" s="28" customFormat="1" outlineLevel="1" collapsed="1" x14ac:dyDescent="0.35">
      <c r="A74" s="27"/>
      <c r="B74" s="14" t="str">
        <f>CONCATENATE("     ","Interest                                          ")</f>
        <v xml:space="preserve">     Interest                                          </v>
      </c>
      <c r="C74" s="14"/>
      <c r="D74" s="1">
        <f>SUM(OSRRefD22_12x_0)</f>
        <v>7510</v>
      </c>
      <c r="E74" s="1"/>
      <c r="F74" s="5">
        <f t="shared" si="38"/>
        <v>6.2414496917962171E-2</v>
      </c>
      <c r="G74" s="1"/>
      <c r="H74" s="1">
        <f>SUM(OSRRefH22_12x_0)</f>
        <v>7510</v>
      </c>
      <c r="I74" s="1"/>
      <c r="J74" s="5">
        <f t="shared" si="39"/>
        <v>2.656366613963787E-2</v>
      </c>
      <c r="K74" s="1"/>
      <c r="L74" s="1">
        <f t="shared" si="40"/>
        <v>0</v>
      </c>
      <c r="M74" s="1"/>
      <c r="N74" s="5">
        <f t="shared" si="41"/>
        <v>0</v>
      </c>
      <c r="O74" s="14"/>
      <c r="P74" s="1">
        <f>SUM(OSRRefP22_12x_0)</f>
        <v>52083.15</v>
      </c>
      <c r="Q74" s="1"/>
      <c r="R74" s="5">
        <f t="shared" si="42"/>
        <v>5.4764503900667651E-2</v>
      </c>
      <c r="S74" s="1"/>
      <c r="T74" s="1">
        <f>SUM(OSRRefT22_12x_0)</f>
        <v>52570</v>
      </c>
      <c r="U74" s="1"/>
      <c r="V74" s="5">
        <f t="shared" si="43"/>
        <v>2.3889873002398532E-2</v>
      </c>
      <c r="W74" s="1"/>
      <c r="X74" s="1">
        <f t="shared" si="44"/>
        <v>-486.84999999999854</v>
      </c>
      <c r="Y74" s="1"/>
      <c r="Z74" s="5">
        <f t="shared" si="45"/>
        <v>-9.2609853528628217E-3</v>
      </c>
    </row>
    <row r="75" spans="1:26" s="24" customFormat="1" hidden="1" outlineLevel="2" x14ac:dyDescent="0.35">
      <c r="A75" s="29"/>
      <c r="B75" s="11" t="str">
        <f>CONCATENATE("          ", "6401", " - ", "INTEREST EXPENSE")</f>
        <v xml:space="preserve">          6401 - INTEREST EXPENSE</v>
      </c>
      <c r="C75" s="11"/>
      <c r="D75" s="7">
        <v>7510</v>
      </c>
      <c r="E75" s="2"/>
      <c r="F75" s="6">
        <f t="shared" si="38"/>
        <v>6.2414496917962171E-2</v>
      </c>
      <c r="G75" s="2"/>
      <c r="H75" s="7">
        <v>7510</v>
      </c>
      <c r="I75" s="2"/>
      <c r="J75" s="6">
        <f t="shared" si="39"/>
        <v>2.656366613963787E-2</v>
      </c>
      <c r="K75" s="2"/>
      <c r="L75" s="7">
        <f t="shared" si="40"/>
        <v>0</v>
      </c>
      <c r="M75" s="2"/>
      <c r="N75" s="6">
        <f t="shared" si="41"/>
        <v>0</v>
      </c>
      <c r="O75" s="11"/>
      <c r="P75" s="7">
        <v>52083.15</v>
      </c>
      <c r="Q75" s="2"/>
      <c r="R75" s="6">
        <f t="shared" si="42"/>
        <v>5.4764503900667651E-2</v>
      </c>
      <c r="S75" s="2"/>
      <c r="T75" s="7">
        <v>52570</v>
      </c>
      <c r="U75" s="2"/>
      <c r="V75" s="6">
        <f t="shared" si="43"/>
        <v>2.3889873002398532E-2</v>
      </c>
      <c r="W75" s="2"/>
      <c r="X75" s="7">
        <f t="shared" si="44"/>
        <v>-486.84999999999854</v>
      </c>
      <c r="Y75" s="2"/>
      <c r="Z75" s="6">
        <f t="shared" si="45"/>
        <v>-9.2609853528628217E-3</v>
      </c>
    </row>
    <row r="76" spans="1:26" s="28" customFormat="1" outlineLevel="1" collapsed="1" x14ac:dyDescent="0.35">
      <c r="A76" s="27"/>
      <c r="B76" s="14" t="str">
        <f>CONCATENATE("     ","R/H Commissions                                   ")</f>
        <v xml:space="preserve">     R/H Commissions                                   </v>
      </c>
      <c r="C76" s="14"/>
      <c r="D76" s="1">
        <f>SUM(OSRRefD22_13x_0)</f>
        <v>-29103.129999999997</v>
      </c>
      <c r="E76" s="1"/>
      <c r="F76" s="5">
        <f t="shared" si="38"/>
        <v>-0.24187179995846234</v>
      </c>
      <c r="G76" s="1"/>
      <c r="H76" s="1">
        <f>SUM(OSRRefH22_13x_0)</f>
        <v>20731</v>
      </c>
      <c r="I76" s="1"/>
      <c r="J76" s="5">
        <f t="shared" si="39"/>
        <v>7.3327744705836584E-2</v>
      </c>
      <c r="K76" s="1"/>
      <c r="L76" s="1">
        <f t="shared" si="40"/>
        <v>-49834.13</v>
      </c>
      <c r="M76" s="1"/>
      <c r="N76" s="5">
        <f t="shared" si="41"/>
        <v>-2.4038459312141236</v>
      </c>
      <c r="O76" s="14"/>
      <c r="P76" s="1">
        <f>SUM(OSRRefP22_13x_0)</f>
        <v>45913.36</v>
      </c>
      <c r="Q76" s="1"/>
      <c r="R76" s="5">
        <f t="shared" si="42"/>
        <v>4.827707968532545E-2</v>
      </c>
      <c r="S76" s="1"/>
      <c r="T76" s="1">
        <f>SUM(OSRRefT22_13x_0)</f>
        <v>169302</v>
      </c>
      <c r="U76" s="1"/>
      <c r="V76" s="5">
        <f t="shared" si="43"/>
        <v>7.6937479152597979E-2</v>
      </c>
      <c r="W76" s="1"/>
      <c r="X76" s="1">
        <f t="shared" si="44"/>
        <v>-123388.64</v>
      </c>
      <c r="Y76" s="1"/>
      <c r="Z76" s="5">
        <f t="shared" si="45"/>
        <v>-0.72880792902623714</v>
      </c>
    </row>
    <row r="77" spans="1:26" s="24" customFormat="1" hidden="1" outlineLevel="2" x14ac:dyDescent="0.35">
      <c r="A77" s="29"/>
      <c r="B77" s="11" t="str">
        <f>CONCATENATE("          ", "6387", " - ", "COMMISSION DUE HOUSING")</f>
        <v xml:space="preserve">          6387 - COMMISSION DUE HOUSING</v>
      </c>
      <c r="C77" s="11"/>
      <c r="D77" s="7">
        <v>-29103.129999999997</v>
      </c>
      <c r="E77" s="2"/>
      <c r="F77" s="6">
        <f t="shared" si="38"/>
        <v>-0.24187179995846234</v>
      </c>
      <c r="G77" s="2"/>
      <c r="H77" s="7">
        <v>20731</v>
      </c>
      <c r="I77" s="2"/>
      <c r="J77" s="6">
        <f t="shared" si="39"/>
        <v>7.3327744705836584E-2</v>
      </c>
      <c r="K77" s="2"/>
      <c r="L77" s="7">
        <f t="shared" si="40"/>
        <v>-49834.13</v>
      </c>
      <c r="M77" s="2"/>
      <c r="N77" s="6">
        <f t="shared" si="41"/>
        <v>-2.4038459312141236</v>
      </c>
      <c r="O77" s="11"/>
      <c r="P77" s="7">
        <v>45913.36</v>
      </c>
      <c r="Q77" s="2"/>
      <c r="R77" s="6">
        <f t="shared" si="42"/>
        <v>4.827707968532545E-2</v>
      </c>
      <c r="S77" s="2"/>
      <c r="T77" s="7">
        <v>169302</v>
      </c>
      <c r="U77" s="2"/>
      <c r="V77" s="6">
        <f t="shared" si="43"/>
        <v>7.6937479152597979E-2</v>
      </c>
      <c r="W77" s="2"/>
      <c r="X77" s="7">
        <f t="shared" si="44"/>
        <v>-123388.64</v>
      </c>
      <c r="Y77" s="2"/>
      <c r="Z77" s="6">
        <f t="shared" si="45"/>
        <v>-0.72880792902623714</v>
      </c>
    </row>
    <row r="78" spans="1:26" s="28" customFormat="1" outlineLevel="1" collapsed="1" x14ac:dyDescent="0.35">
      <c r="A78" s="27"/>
      <c r="B78" s="14" t="str">
        <f>CONCATENATE("     ","Rent                                              ")</f>
        <v xml:space="preserve">     Rent                                              </v>
      </c>
      <c r="C78" s="14"/>
      <c r="D78" s="1">
        <f>SUM(OSRRefD22_14x_0)</f>
        <v>0</v>
      </c>
      <c r="E78" s="1"/>
      <c r="F78" s="5">
        <f t="shared" si="38"/>
        <v>0</v>
      </c>
      <c r="G78" s="1"/>
      <c r="H78" s="1">
        <f>SUM(OSRRefH22_14x_0)</f>
        <v>1943</v>
      </c>
      <c r="I78" s="1"/>
      <c r="J78" s="5">
        <f t="shared" si="39"/>
        <v>6.8725969786040458E-3</v>
      </c>
      <c r="K78" s="1"/>
      <c r="L78" s="1">
        <f t="shared" si="40"/>
        <v>-1943</v>
      </c>
      <c r="M78" s="1"/>
      <c r="N78" s="5">
        <f t="shared" si="41"/>
        <v>-1</v>
      </c>
      <c r="O78" s="14"/>
      <c r="P78" s="1">
        <f>SUM(OSRRefP22_14x_0)</f>
        <v>11100</v>
      </c>
      <c r="Q78" s="1"/>
      <c r="R78" s="5">
        <f t="shared" si="42"/>
        <v>1.1671452154821875E-2</v>
      </c>
      <c r="S78" s="1"/>
      <c r="T78" s="1">
        <f>SUM(OSRRefT22_14x_0)</f>
        <v>13601</v>
      </c>
      <c r="U78" s="1"/>
      <c r="V78" s="5">
        <f t="shared" si="43"/>
        <v>6.1808286609401257E-3</v>
      </c>
      <c r="W78" s="1"/>
      <c r="X78" s="1">
        <f t="shared" si="44"/>
        <v>-2501</v>
      </c>
      <c r="Y78" s="1"/>
      <c r="Z78" s="5">
        <f t="shared" si="45"/>
        <v>-0.18388353797514889</v>
      </c>
    </row>
    <row r="79" spans="1:26" s="24" customFormat="1" hidden="1" outlineLevel="2" x14ac:dyDescent="0.35">
      <c r="A79" s="29"/>
      <c r="B79" s="11" t="str">
        <f>CONCATENATE("          ", "6273", " - ", "RENT")</f>
        <v xml:space="preserve">          6273 - RENT</v>
      </c>
      <c r="C79" s="11"/>
      <c r="D79" s="7"/>
      <c r="E79" s="2"/>
      <c r="F79" s="6">
        <f t="shared" si="38"/>
        <v>0</v>
      </c>
      <c r="G79" s="2"/>
      <c r="H79" s="7">
        <v>1943</v>
      </c>
      <c r="I79" s="2"/>
      <c r="J79" s="6">
        <f t="shared" si="39"/>
        <v>6.8725969786040458E-3</v>
      </c>
      <c r="K79" s="2"/>
      <c r="L79" s="7">
        <f t="shared" si="40"/>
        <v>-1943</v>
      </c>
      <c r="M79" s="2"/>
      <c r="N79" s="6">
        <f t="shared" si="41"/>
        <v>-1</v>
      </c>
      <c r="O79" s="11"/>
      <c r="P79" s="7">
        <v>11100</v>
      </c>
      <c r="Q79" s="2"/>
      <c r="R79" s="6">
        <f t="shared" si="42"/>
        <v>1.1671452154821875E-2</v>
      </c>
      <c r="S79" s="2"/>
      <c r="T79" s="7">
        <v>13601</v>
      </c>
      <c r="U79" s="2"/>
      <c r="V79" s="6">
        <f t="shared" si="43"/>
        <v>6.1808286609401257E-3</v>
      </c>
      <c r="W79" s="2"/>
      <c r="X79" s="7">
        <f t="shared" si="44"/>
        <v>-2501</v>
      </c>
      <c r="Y79" s="2"/>
      <c r="Z79" s="6">
        <f t="shared" si="45"/>
        <v>-0.18388353797514889</v>
      </c>
    </row>
    <row r="80" spans="1:26" s="28" customFormat="1" outlineLevel="1" collapsed="1" x14ac:dyDescent="0.35">
      <c r="A80" s="27"/>
      <c r="B80" s="14" t="str">
        <f>CONCATENATE("     ","Repair and Maintenance                            ")</f>
        <v xml:space="preserve">     Repair and Maintenance                            </v>
      </c>
      <c r="C80" s="14"/>
      <c r="D80" s="1">
        <f>SUM(OSRRefD22_15x_0)</f>
        <v>6434.15</v>
      </c>
      <c r="E80" s="1"/>
      <c r="F80" s="5">
        <f t="shared" si="38"/>
        <v>5.3473267023263153E-2</v>
      </c>
      <c r="G80" s="1"/>
      <c r="H80" s="1">
        <f>SUM(OSRRefH22_15x_0)</f>
        <v>11941</v>
      </c>
      <c r="I80" s="1"/>
      <c r="J80" s="5">
        <f t="shared" si="39"/>
        <v>4.2236582872625272E-2</v>
      </c>
      <c r="K80" s="1"/>
      <c r="L80" s="1">
        <f t="shared" si="40"/>
        <v>-5506.85</v>
      </c>
      <c r="M80" s="1"/>
      <c r="N80" s="5">
        <f t="shared" si="41"/>
        <v>-0.461171593668872</v>
      </c>
      <c r="O80" s="14"/>
      <c r="P80" s="1">
        <f>SUM(OSRRefP22_15x_0)</f>
        <v>34439.919999999998</v>
      </c>
      <c r="Q80" s="1"/>
      <c r="R80" s="5">
        <f t="shared" si="42"/>
        <v>3.6212962026657025E-2</v>
      </c>
      <c r="S80" s="1"/>
      <c r="T80" s="1">
        <f>SUM(OSRRefT22_15x_0)</f>
        <v>46631</v>
      </c>
      <c r="U80" s="1"/>
      <c r="V80" s="5">
        <f t="shared" si="43"/>
        <v>2.1190958112513713E-2</v>
      </c>
      <c r="W80" s="1"/>
      <c r="X80" s="1">
        <f t="shared" si="44"/>
        <v>-12191.080000000002</v>
      </c>
      <c r="Y80" s="1"/>
      <c r="Z80" s="5">
        <f t="shared" si="45"/>
        <v>-0.26143724132015189</v>
      </c>
    </row>
    <row r="81" spans="1:26" s="24" customFormat="1" hidden="1" outlineLevel="2" x14ac:dyDescent="0.35">
      <c r="A81" s="29"/>
      <c r="B81" s="11" t="str">
        <f>CONCATENATE("          ", "6371", " - ", "COMPUTER SOFTWARE MAINTENANCE")</f>
        <v xml:space="preserve">          6371 - COMPUTER SOFTWARE MAINTENANCE</v>
      </c>
      <c r="C81" s="11"/>
      <c r="D81" s="7">
        <v>3500</v>
      </c>
      <c r="E81" s="2"/>
      <c r="F81" s="6">
        <f t="shared" si="38"/>
        <v>2.9087981253377842E-2</v>
      </c>
      <c r="G81" s="2"/>
      <c r="H81" s="7">
        <v>8000</v>
      </c>
      <c r="I81" s="2"/>
      <c r="J81" s="6">
        <f t="shared" si="39"/>
        <v>2.8296848084833952E-2</v>
      </c>
      <c r="K81" s="2"/>
      <c r="L81" s="7">
        <f t="shared" si="40"/>
        <v>-4500</v>
      </c>
      <c r="M81" s="2"/>
      <c r="N81" s="6">
        <f t="shared" si="41"/>
        <v>-0.5625</v>
      </c>
      <c r="O81" s="11"/>
      <c r="P81" s="7">
        <v>7000</v>
      </c>
      <c r="Q81" s="2"/>
      <c r="R81" s="6">
        <f t="shared" si="42"/>
        <v>7.3603752327705517E-3</v>
      </c>
      <c r="S81" s="2"/>
      <c r="T81" s="7">
        <v>16500</v>
      </c>
      <c r="U81" s="2"/>
      <c r="V81" s="6">
        <f t="shared" si="43"/>
        <v>7.4982481365717286E-3</v>
      </c>
      <c r="W81" s="2"/>
      <c r="X81" s="7">
        <f t="shared" si="44"/>
        <v>-9500</v>
      </c>
      <c r="Y81" s="2"/>
      <c r="Z81" s="6">
        <f t="shared" si="45"/>
        <v>-0.5757575757575758</v>
      </c>
    </row>
    <row r="82" spans="1:26" s="24" customFormat="1" hidden="1" outlineLevel="2" x14ac:dyDescent="0.35">
      <c r="A82" s="29"/>
      <c r="B82" s="11" t="str">
        <f>CONCATENATE("          ", "6372", " - ", "COMPUTER HARDWARE MAINTENANCE")</f>
        <v xml:space="preserve">          6372 - COMPUTER HARDWARE MAINTENANCE</v>
      </c>
      <c r="C82" s="11"/>
      <c r="D82" s="7"/>
      <c r="E82" s="2"/>
      <c r="F82" s="6">
        <f t="shared" si="38"/>
        <v>0</v>
      </c>
      <c r="G82" s="2"/>
      <c r="H82" s="7">
        <v>0</v>
      </c>
      <c r="I82" s="2"/>
      <c r="J82" s="6">
        <f t="shared" si="39"/>
        <v>0</v>
      </c>
      <c r="K82" s="2"/>
      <c r="L82" s="7">
        <f t="shared" si="40"/>
        <v>0</v>
      </c>
      <c r="M82" s="2"/>
      <c r="N82" s="6">
        <f t="shared" si="41"/>
        <v>0</v>
      </c>
      <c r="O82" s="11"/>
      <c r="P82" s="7"/>
      <c r="Q82" s="2"/>
      <c r="R82" s="6">
        <f t="shared" si="42"/>
        <v>0</v>
      </c>
      <c r="S82" s="2"/>
      <c r="T82" s="7">
        <v>3083</v>
      </c>
      <c r="U82" s="2"/>
      <c r="V82" s="6">
        <f t="shared" si="43"/>
        <v>1.4010363033364023E-3</v>
      </c>
      <c r="W82" s="2"/>
      <c r="X82" s="7">
        <f t="shared" si="44"/>
        <v>-3083</v>
      </c>
      <c r="Y82" s="2"/>
      <c r="Z82" s="6">
        <f t="shared" si="45"/>
        <v>-1</v>
      </c>
    </row>
    <row r="83" spans="1:26" s="24" customFormat="1" hidden="1" outlineLevel="2" x14ac:dyDescent="0.35">
      <c r="A83" s="29"/>
      <c r="B83" s="11" t="str">
        <f>CONCATENATE("          ", "6373", " - ", "MAINTENANCE CONTRACTS")</f>
        <v xml:space="preserve">          6373 - MAINTENANCE CONTRACTS</v>
      </c>
      <c r="C83" s="11"/>
      <c r="D83" s="7">
        <v>5.94</v>
      </c>
      <c r="E83" s="2"/>
      <c r="F83" s="6">
        <f t="shared" si="38"/>
        <v>4.9366459612875538E-5</v>
      </c>
      <c r="G83" s="2"/>
      <c r="H83" s="7">
        <v>58</v>
      </c>
      <c r="I83" s="2"/>
      <c r="J83" s="6">
        <f t="shared" si="39"/>
        <v>2.0515214861504614E-4</v>
      </c>
      <c r="K83" s="2"/>
      <c r="L83" s="7">
        <f t="shared" si="40"/>
        <v>-52.06</v>
      </c>
      <c r="M83" s="2"/>
      <c r="N83" s="6">
        <f t="shared" si="41"/>
        <v>-0.89758620689655177</v>
      </c>
      <c r="O83" s="11"/>
      <c r="P83" s="7">
        <v>13997.35</v>
      </c>
      <c r="Q83" s="2"/>
      <c r="R83" s="6">
        <f t="shared" si="42"/>
        <v>1.4717964037774412E-2</v>
      </c>
      <c r="S83" s="2"/>
      <c r="T83" s="7">
        <v>7775</v>
      </c>
      <c r="U83" s="2"/>
      <c r="V83" s="6">
        <f t="shared" si="43"/>
        <v>3.5332654098087992E-3</v>
      </c>
      <c r="W83" s="2"/>
      <c r="X83" s="7">
        <f t="shared" si="44"/>
        <v>6222.35</v>
      </c>
      <c r="Y83" s="2"/>
      <c r="Z83" s="6">
        <f t="shared" si="45"/>
        <v>0.80030225080385853</v>
      </c>
    </row>
    <row r="84" spans="1:26" s="24" customFormat="1" hidden="1" outlineLevel="2" x14ac:dyDescent="0.35">
      <c r="A84" s="29"/>
      <c r="B84" s="11" t="str">
        <f>CONCATENATE("          ", "6375", " - ", "OUTSIDE REPAIRS &amp; MAINTENANCE")</f>
        <v xml:space="preserve">          6375 - OUTSIDE REPAIRS &amp; MAINTENANCE</v>
      </c>
      <c r="C84" s="11"/>
      <c r="D84" s="7">
        <v>2928.21</v>
      </c>
      <c r="E84" s="2"/>
      <c r="F84" s="6">
        <f t="shared" si="38"/>
        <v>2.4335919310272437E-2</v>
      </c>
      <c r="G84" s="2"/>
      <c r="H84" s="7">
        <v>3883</v>
      </c>
      <c r="I84" s="2"/>
      <c r="J84" s="6">
        <f t="shared" si="39"/>
        <v>1.3734582639176278E-2</v>
      </c>
      <c r="K84" s="2"/>
      <c r="L84" s="7">
        <f t="shared" si="40"/>
        <v>-954.79</v>
      </c>
      <c r="M84" s="2"/>
      <c r="N84" s="6">
        <f t="shared" si="41"/>
        <v>-0.24588977594643316</v>
      </c>
      <c r="O84" s="11"/>
      <c r="P84" s="7">
        <v>13442.57</v>
      </c>
      <c r="Q84" s="2"/>
      <c r="R84" s="6">
        <f t="shared" si="42"/>
        <v>1.4134622756112061E-2</v>
      </c>
      <c r="S84" s="2"/>
      <c r="T84" s="7">
        <v>19273</v>
      </c>
      <c r="U84" s="2"/>
      <c r="V84" s="6">
        <f t="shared" si="43"/>
        <v>8.7584082627967831E-3</v>
      </c>
      <c r="W84" s="2"/>
      <c r="X84" s="7">
        <f t="shared" si="44"/>
        <v>-5830.43</v>
      </c>
      <c r="Y84" s="2"/>
      <c r="Z84" s="6">
        <f t="shared" si="45"/>
        <v>-0.30251803040523012</v>
      </c>
    </row>
    <row r="85" spans="1:26" s="28" customFormat="1" outlineLevel="1" collapsed="1" x14ac:dyDescent="0.35">
      <c r="A85" s="27"/>
      <c r="B85" s="14" t="str">
        <f>CONCATENATE("     ","Royalty &amp; Commissions                             ")</f>
        <v xml:space="preserve">     Royalty &amp; Commissions                             </v>
      </c>
      <c r="C85" s="14"/>
      <c r="D85" s="1">
        <f>SUM(OSRRefD22_16x_0)</f>
        <v>0</v>
      </c>
      <c r="E85" s="1"/>
      <c r="F85" s="5">
        <f t="shared" ref="F85:F87" si="46">IF(D$12=0,0,D85/D$12)</f>
        <v>0</v>
      </c>
      <c r="G85" s="1"/>
      <c r="H85" s="1">
        <f>SUM(OSRRefH22_16x_0)</f>
        <v>0</v>
      </c>
      <c r="I85" s="1"/>
      <c r="J85" s="5">
        <f t="shared" ref="J85:J87" si="47">IF(H$12=0,0,H85/H$12)</f>
        <v>0</v>
      </c>
      <c r="K85" s="1"/>
      <c r="L85" s="1">
        <f t="shared" ref="L85:L87" si="48">+D85-H85</f>
        <v>0</v>
      </c>
      <c r="M85" s="1"/>
      <c r="N85" s="5">
        <f t="shared" ref="N85:N87" si="49">IF(H85=0,0,L85/H85)</f>
        <v>0</v>
      </c>
      <c r="O85" s="14"/>
      <c r="P85" s="1">
        <f>SUM(OSRRefP22_16x_0)</f>
        <v>0</v>
      </c>
      <c r="Q85" s="1"/>
      <c r="R85" s="5">
        <f t="shared" ref="R85:R87" si="50">IF(P$12=0,0,P85/P$12)</f>
        <v>0</v>
      </c>
      <c r="S85" s="1"/>
      <c r="T85" s="1">
        <f>SUM(OSRRefT22_16x_0)</f>
        <v>0</v>
      </c>
      <c r="U85" s="1"/>
      <c r="V85" s="5">
        <f t="shared" ref="V85:V87" si="51">IF(T$12=0,0,T85/T$12)</f>
        <v>0</v>
      </c>
      <c r="W85" s="1"/>
      <c r="X85" s="1">
        <f t="shared" ref="X85:X87" si="52">+P85-T85</f>
        <v>0</v>
      </c>
      <c r="Y85" s="1"/>
      <c r="Z85" s="5">
        <f t="shared" ref="Z85:Z87" si="53">IF(T85=0,0,X85/T85)</f>
        <v>0</v>
      </c>
    </row>
    <row r="86" spans="1:26" s="24" customFormat="1" hidden="1" outlineLevel="2" x14ac:dyDescent="0.35">
      <c r="A86" s="29"/>
      <c r="B86" s="11" t="str">
        <f>CONCATENATE("          ", "6254", " - ", "ROYALTY &amp; COMMISSIONS")</f>
        <v xml:space="preserve">          6254 - ROYALTY &amp; COMMISSIONS</v>
      </c>
      <c r="C86" s="11"/>
      <c r="D86" s="7"/>
      <c r="E86" s="2"/>
      <c r="F86" s="6">
        <f t="shared" si="46"/>
        <v>0</v>
      </c>
      <c r="G86" s="2"/>
      <c r="H86" s="7">
        <v>0</v>
      </c>
      <c r="I86" s="2"/>
      <c r="J86" s="6">
        <f t="shared" si="47"/>
        <v>0</v>
      </c>
      <c r="K86" s="2"/>
      <c r="L86" s="7">
        <f t="shared" si="48"/>
        <v>0</v>
      </c>
      <c r="M86" s="2"/>
      <c r="N86" s="6">
        <f t="shared" si="49"/>
        <v>0</v>
      </c>
      <c r="O86" s="11"/>
      <c r="P86" s="7"/>
      <c r="Q86" s="2"/>
      <c r="R86" s="6">
        <f t="shared" si="50"/>
        <v>0</v>
      </c>
      <c r="S86" s="2"/>
      <c r="T86" s="7">
        <v>0</v>
      </c>
      <c r="U86" s="2"/>
      <c r="V86" s="6">
        <f t="shared" si="51"/>
        <v>0</v>
      </c>
      <c r="W86" s="2"/>
      <c r="X86" s="7">
        <f t="shared" si="52"/>
        <v>0</v>
      </c>
      <c r="Y86" s="2"/>
      <c r="Z86" s="6">
        <f t="shared" si="53"/>
        <v>0</v>
      </c>
    </row>
    <row r="87" spans="1:26" s="24" customFormat="1" hidden="1" outlineLevel="2" x14ac:dyDescent="0.35">
      <c r="A87" s="29"/>
      <c r="B87" s="11" t="str">
        <f>CONCATENATE("          ", "6259", " - ", "ROYALTY &amp; COMMISSIONS")</f>
        <v xml:space="preserve">          6259 - ROYALTY &amp; COMMISSIONS</v>
      </c>
      <c r="C87" s="11"/>
      <c r="D87" s="7"/>
      <c r="E87" s="2"/>
      <c r="F87" s="6">
        <f t="shared" si="46"/>
        <v>0</v>
      </c>
      <c r="G87" s="2"/>
      <c r="H87" s="7">
        <v>0</v>
      </c>
      <c r="I87" s="2"/>
      <c r="J87" s="6">
        <f t="shared" si="47"/>
        <v>0</v>
      </c>
      <c r="K87" s="2"/>
      <c r="L87" s="7">
        <f t="shared" si="48"/>
        <v>0</v>
      </c>
      <c r="M87" s="2"/>
      <c r="N87" s="6">
        <f t="shared" si="49"/>
        <v>0</v>
      </c>
      <c r="O87" s="11"/>
      <c r="P87" s="7"/>
      <c r="Q87" s="2"/>
      <c r="R87" s="6">
        <f t="shared" si="50"/>
        <v>0</v>
      </c>
      <c r="S87" s="2"/>
      <c r="T87" s="7">
        <v>0</v>
      </c>
      <c r="U87" s="2"/>
      <c r="V87" s="6">
        <f t="shared" si="51"/>
        <v>0</v>
      </c>
      <c r="W87" s="2"/>
      <c r="X87" s="7">
        <f t="shared" si="52"/>
        <v>0</v>
      </c>
      <c r="Y87" s="2"/>
      <c r="Z87" s="6">
        <f t="shared" si="53"/>
        <v>0</v>
      </c>
    </row>
    <row r="88" spans="1:26" s="28" customFormat="1" outlineLevel="1" collapsed="1" x14ac:dyDescent="0.35">
      <c r="A88" s="27"/>
      <c r="B88" s="14" t="str">
        <f>CONCATENATE("     ","Services                                          ")</f>
        <v xml:space="preserve">     Services                                          </v>
      </c>
      <c r="C88" s="14"/>
      <c r="D88" s="1">
        <f>SUM(OSRRefD22_17x_0)</f>
        <v>20590.37</v>
      </c>
      <c r="E88" s="1"/>
      <c r="F88" s="5">
        <f t="shared" ref="F88:F93" si="54">IF(D$12=0,0,D88/D$12)</f>
        <v>0.17112351330288958</v>
      </c>
      <c r="G88" s="1"/>
      <c r="H88" s="1">
        <f>SUM(OSRRefH22_17x_0)</f>
        <v>28495</v>
      </c>
      <c r="I88" s="1"/>
      <c r="J88" s="5">
        <f t="shared" ref="J88:J93" si="55">IF(H$12=0,0,H88/H$12)</f>
        <v>0.10078983577216792</v>
      </c>
      <c r="K88" s="1"/>
      <c r="L88" s="1">
        <f t="shared" ref="L88:L93" si="56">+D88-H88</f>
        <v>-7904.630000000001</v>
      </c>
      <c r="M88" s="1"/>
      <c r="N88" s="5">
        <f t="shared" ref="N88:N93" si="57">IF(H88=0,0,L88/H88)</f>
        <v>-0.2774041059835059</v>
      </c>
      <c r="O88" s="14"/>
      <c r="P88" s="1">
        <f>SUM(OSRRefP22_17x_0)</f>
        <v>122805.62000000001</v>
      </c>
      <c r="Q88" s="1"/>
      <c r="R88" s="5">
        <f t="shared" ref="R88:R93" si="58">IF(P$12=0,0,P88/P$12)</f>
        <v>0.12912792055614744</v>
      </c>
      <c r="S88" s="1"/>
      <c r="T88" s="1">
        <f>SUM(OSRRefT22_17x_0)</f>
        <v>185454</v>
      </c>
      <c r="U88" s="1"/>
      <c r="V88" s="5">
        <f t="shared" ref="V88:V93" si="59">IF(T$12=0,0,T88/T$12)</f>
        <v>8.4277582419380201E-2</v>
      </c>
      <c r="W88" s="1"/>
      <c r="X88" s="1">
        <f t="shared" ref="X88:X93" si="60">+P88-T88</f>
        <v>-62648.37999999999</v>
      </c>
      <c r="Y88" s="1"/>
      <c r="Z88" s="5">
        <f t="shared" ref="Z88:Z93" si="61">IF(T88=0,0,X88/T88)</f>
        <v>-0.33781088571829126</v>
      </c>
    </row>
    <row r="89" spans="1:26" s="24" customFormat="1" hidden="1" outlineLevel="2" x14ac:dyDescent="0.35">
      <c r="A89" s="29"/>
      <c r="B89" s="11" t="str">
        <f>CONCATENATE("          ", "6282", " - ", "JANITORIAL/EXTERMINATOR EXPENS")</f>
        <v xml:space="preserve">          6282 - JANITORIAL/EXTERMINATOR EXPENS</v>
      </c>
      <c r="C89" s="11"/>
      <c r="D89" s="7">
        <v>5550.87</v>
      </c>
      <c r="E89" s="2"/>
      <c r="F89" s="6">
        <f t="shared" si="54"/>
        <v>4.6132457857124991E-2</v>
      </c>
      <c r="G89" s="2"/>
      <c r="H89" s="7">
        <v>3033</v>
      </c>
      <c r="I89" s="2"/>
      <c r="J89" s="6">
        <f t="shared" si="55"/>
        <v>1.0728042530162671E-2</v>
      </c>
      <c r="K89" s="2"/>
      <c r="L89" s="7">
        <f t="shared" si="56"/>
        <v>2517.87</v>
      </c>
      <c r="M89" s="2"/>
      <c r="N89" s="6">
        <f t="shared" si="57"/>
        <v>0.83015825914935704</v>
      </c>
      <c r="O89" s="11"/>
      <c r="P89" s="7">
        <v>15693.42</v>
      </c>
      <c r="Q89" s="2"/>
      <c r="R89" s="6">
        <f t="shared" si="58"/>
        <v>1.6501351412209434E-2</v>
      </c>
      <c r="S89" s="2"/>
      <c r="T89" s="7">
        <v>19890</v>
      </c>
      <c r="U89" s="2"/>
      <c r="V89" s="6">
        <f t="shared" si="59"/>
        <v>9.0387972991764643E-3</v>
      </c>
      <c r="W89" s="2"/>
      <c r="X89" s="7">
        <f t="shared" si="60"/>
        <v>-4196.58</v>
      </c>
      <c r="Y89" s="2"/>
      <c r="Z89" s="6">
        <f t="shared" si="61"/>
        <v>-0.21098944193061839</v>
      </c>
    </row>
    <row r="90" spans="1:26" s="24" customFormat="1" hidden="1" outlineLevel="2" x14ac:dyDescent="0.35">
      <c r="A90" s="29"/>
      <c r="B90" s="11" t="str">
        <f>CONCATENATE("          ", "6283", " - ", "PLANT SERVICE")</f>
        <v xml:space="preserve">          6283 - PLANT SERVICE</v>
      </c>
      <c r="C90" s="11"/>
      <c r="D90" s="7"/>
      <c r="E90" s="2"/>
      <c r="F90" s="6">
        <f t="shared" si="54"/>
        <v>0</v>
      </c>
      <c r="G90" s="2"/>
      <c r="H90" s="7">
        <v>0</v>
      </c>
      <c r="I90" s="2"/>
      <c r="J90" s="6">
        <f t="shared" si="55"/>
        <v>0</v>
      </c>
      <c r="K90" s="2"/>
      <c r="L90" s="7">
        <f t="shared" si="56"/>
        <v>0</v>
      </c>
      <c r="M90" s="2"/>
      <c r="N90" s="6">
        <f t="shared" si="57"/>
        <v>0</v>
      </c>
      <c r="O90" s="11"/>
      <c r="P90" s="7"/>
      <c r="Q90" s="2"/>
      <c r="R90" s="6">
        <f t="shared" si="58"/>
        <v>0</v>
      </c>
      <c r="S90" s="2"/>
      <c r="T90" s="7">
        <v>248</v>
      </c>
      <c r="U90" s="2"/>
      <c r="V90" s="6">
        <f t="shared" si="59"/>
        <v>1.127009416890781E-4</v>
      </c>
      <c r="W90" s="2"/>
      <c r="X90" s="7">
        <f t="shared" si="60"/>
        <v>-248</v>
      </c>
      <c r="Y90" s="2"/>
      <c r="Z90" s="6">
        <f t="shared" si="61"/>
        <v>-1</v>
      </c>
    </row>
    <row r="91" spans="1:26" s="24" customFormat="1" hidden="1" outlineLevel="2" x14ac:dyDescent="0.35">
      <c r="A91" s="29"/>
      <c r="B91" s="11" t="str">
        <f>CONCATENATE("          ", "6284", " - ", "TRASH REMOVAL EXPENSE")</f>
        <v xml:space="preserve">          6284 - TRASH REMOVAL EXPENSE</v>
      </c>
      <c r="C91" s="11"/>
      <c r="D91" s="7">
        <v>5369</v>
      </c>
      <c r="E91" s="2"/>
      <c r="F91" s="6">
        <f t="shared" si="54"/>
        <v>4.4620963242681611E-2</v>
      </c>
      <c r="G91" s="2"/>
      <c r="H91" s="7">
        <v>3761</v>
      </c>
      <c r="I91" s="2"/>
      <c r="J91" s="6">
        <f t="shared" si="55"/>
        <v>1.3303055705882562E-2</v>
      </c>
      <c r="K91" s="2"/>
      <c r="L91" s="7">
        <f t="shared" si="56"/>
        <v>1608</v>
      </c>
      <c r="M91" s="2"/>
      <c r="N91" s="6">
        <f t="shared" si="57"/>
        <v>0.42754586546131346</v>
      </c>
      <c r="O91" s="11"/>
      <c r="P91" s="7">
        <v>24519.75</v>
      </c>
      <c r="Q91" s="2"/>
      <c r="R91" s="6">
        <f t="shared" si="58"/>
        <v>2.5782080087675106E-2</v>
      </c>
      <c r="S91" s="2"/>
      <c r="T91" s="7">
        <v>24119</v>
      </c>
      <c r="U91" s="2"/>
      <c r="V91" s="6">
        <f t="shared" si="59"/>
        <v>1.0960621018543849E-2</v>
      </c>
      <c r="W91" s="2"/>
      <c r="X91" s="7">
        <f t="shared" si="60"/>
        <v>400.75</v>
      </c>
      <c r="Y91" s="2"/>
      <c r="Z91" s="6">
        <f t="shared" si="61"/>
        <v>1.6615531323852566E-2</v>
      </c>
    </row>
    <row r="92" spans="1:26" s="24" customFormat="1" hidden="1" outlineLevel="2" x14ac:dyDescent="0.35">
      <c r="A92" s="29"/>
      <c r="B92" s="11" t="str">
        <f>CONCATENATE("          ", "6285", " - ", "JANITORIAL SERVICES")</f>
        <v xml:space="preserve">          6285 - JANITORIAL SERVICES</v>
      </c>
      <c r="C92" s="11"/>
      <c r="D92" s="7">
        <v>8897.19</v>
      </c>
      <c r="E92" s="2"/>
      <c r="F92" s="6">
        <f t="shared" si="54"/>
        <v>7.3943227407925943E-2</v>
      </c>
      <c r="G92" s="2"/>
      <c r="H92" s="7">
        <v>17201</v>
      </c>
      <c r="I92" s="2"/>
      <c r="J92" s="6">
        <f t="shared" si="55"/>
        <v>6.0841760488403597E-2</v>
      </c>
      <c r="K92" s="2"/>
      <c r="L92" s="7">
        <f t="shared" si="56"/>
        <v>-8303.81</v>
      </c>
      <c r="M92" s="2"/>
      <c r="N92" s="6">
        <f t="shared" si="57"/>
        <v>-0.4827515842102203</v>
      </c>
      <c r="O92" s="11"/>
      <c r="P92" s="7">
        <v>70969.98000000001</v>
      </c>
      <c r="Q92" s="2"/>
      <c r="R92" s="6">
        <f t="shared" si="58"/>
        <v>7.4623669008888782E-2</v>
      </c>
      <c r="S92" s="2"/>
      <c r="T92" s="7">
        <v>109697</v>
      </c>
      <c r="U92" s="2"/>
      <c r="V92" s="6">
        <f t="shared" si="59"/>
        <v>4.9850625808333868E-2</v>
      </c>
      <c r="W92" s="2"/>
      <c r="X92" s="7">
        <f t="shared" si="60"/>
        <v>-38727.01999999999</v>
      </c>
      <c r="Y92" s="2"/>
      <c r="Z92" s="6">
        <f t="shared" si="61"/>
        <v>-0.35303627264191356</v>
      </c>
    </row>
    <row r="93" spans="1:26" s="24" customFormat="1" hidden="1" outlineLevel="2" x14ac:dyDescent="0.35">
      <c r="A93" s="29"/>
      <c r="B93" s="11" t="str">
        <f>CONCATENATE("          ", "6286", " - ", "LAUNDRY EXPENSE")</f>
        <v xml:space="preserve">          6286 - LAUNDRY EXPENSE</v>
      </c>
      <c r="C93" s="11"/>
      <c r="D93" s="7">
        <v>773.31</v>
      </c>
      <c r="E93" s="2"/>
      <c r="F93" s="6">
        <f t="shared" si="54"/>
        <v>6.4268647951570331E-3</v>
      </c>
      <c r="G93" s="2"/>
      <c r="H93" s="7">
        <v>4500</v>
      </c>
      <c r="I93" s="2"/>
      <c r="J93" s="6">
        <f t="shared" si="55"/>
        <v>1.5916977047719098E-2</v>
      </c>
      <c r="K93" s="2"/>
      <c r="L93" s="7">
        <f t="shared" si="56"/>
        <v>-3726.69</v>
      </c>
      <c r="M93" s="2"/>
      <c r="N93" s="6">
        <f t="shared" si="57"/>
        <v>-0.8281533333333333</v>
      </c>
      <c r="O93" s="11"/>
      <c r="P93" s="7">
        <v>11622.47</v>
      </c>
      <c r="Q93" s="2"/>
      <c r="R93" s="6">
        <f t="shared" si="58"/>
        <v>1.2220820047374107E-2</v>
      </c>
      <c r="S93" s="2"/>
      <c r="T93" s="7">
        <v>31500</v>
      </c>
      <c r="U93" s="2"/>
      <c r="V93" s="6">
        <f t="shared" si="59"/>
        <v>1.4314837351636935E-2</v>
      </c>
      <c r="W93" s="2"/>
      <c r="X93" s="7">
        <f t="shared" si="60"/>
        <v>-19877.53</v>
      </c>
      <c r="Y93" s="2"/>
      <c r="Z93" s="6">
        <f t="shared" si="61"/>
        <v>-0.63103269841269838</v>
      </c>
    </row>
    <row r="94" spans="1:26" s="28" customFormat="1" outlineLevel="1" collapsed="1" x14ac:dyDescent="0.35">
      <c r="A94" s="27"/>
      <c r="B94" s="14" t="str">
        <f>CONCATENATE("     ","Subscriptions &amp; Dues                              ")</f>
        <v xml:space="preserve">     Subscriptions &amp; Dues                              </v>
      </c>
      <c r="C94" s="14"/>
      <c r="D94" s="1">
        <f>SUM(OSRRefD22_18x_0)</f>
        <v>0</v>
      </c>
      <c r="E94" s="1"/>
      <c r="F94" s="5">
        <f t="shared" ref="F94:F96" si="62">IF(D$12=0,0,D94/D$12)</f>
        <v>0</v>
      </c>
      <c r="G94" s="1"/>
      <c r="H94" s="1">
        <f>SUM(OSRRefH22_18x_0)</f>
        <v>197</v>
      </c>
      <c r="I94" s="1"/>
      <c r="J94" s="5">
        <f t="shared" ref="J94:J96" si="63">IF(H$12=0,0,H94/H$12)</f>
        <v>6.9680988408903609E-4</v>
      </c>
      <c r="K94" s="1"/>
      <c r="L94" s="1">
        <f t="shared" ref="L94:L96" si="64">+D94-H94</f>
        <v>-197</v>
      </c>
      <c r="M94" s="1"/>
      <c r="N94" s="5">
        <f t="shared" ref="N94:N96" si="65">IF(H94=0,0,L94/H94)</f>
        <v>-1</v>
      </c>
      <c r="O94" s="14"/>
      <c r="P94" s="1">
        <f>SUM(OSRRefP22_18x_0)</f>
        <v>1329.17</v>
      </c>
      <c r="Q94" s="1"/>
      <c r="R94" s="5">
        <f t="shared" ref="R94:R96" si="66">IF(P$12=0,0,P94/P$12)</f>
        <v>1.3975985640202336E-3</v>
      </c>
      <c r="S94" s="1"/>
      <c r="T94" s="1">
        <f>SUM(OSRRefT22_18x_0)</f>
        <v>2279</v>
      </c>
      <c r="U94" s="1"/>
      <c r="V94" s="5">
        <f t="shared" ref="V94:V96" si="67">IF(T$12=0,0,T94/T$12)</f>
        <v>1.0356671214089071E-3</v>
      </c>
      <c r="W94" s="1"/>
      <c r="X94" s="1">
        <f t="shared" ref="X94:X96" si="68">+P94-T94</f>
        <v>-949.82999999999993</v>
      </c>
      <c r="Y94" s="1"/>
      <c r="Z94" s="5">
        <f t="shared" ref="Z94:Z96" si="69">IF(T94=0,0,X94/T94)</f>
        <v>-0.4167749012724879</v>
      </c>
    </row>
    <row r="95" spans="1:26" s="24" customFormat="1" hidden="1" outlineLevel="2" x14ac:dyDescent="0.35">
      <c r="A95" s="29"/>
      <c r="B95" s="11" t="str">
        <f>CONCATENATE("          ", "6258", " - ", "MEMBERSHIP DUES")</f>
        <v xml:space="preserve">          6258 - MEMBERSHIP DUES</v>
      </c>
      <c r="C95" s="11"/>
      <c r="D95" s="7"/>
      <c r="E95" s="2"/>
      <c r="F95" s="6">
        <f t="shared" si="62"/>
        <v>0</v>
      </c>
      <c r="G95" s="2"/>
      <c r="H95" s="7"/>
      <c r="I95" s="2"/>
      <c r="J95" s="6">
        <f t="shared" si="63"/>
        <v>0</v>
      </c>
      <c r="K95" s="2"/>
      <c r="L95" s="7">
        <f t="shared" si="64"/>
        <v>0</v>
      </c>
      <c r="M95" s="2"/>
      <c r="N95" s="6">
        <f t="shared" si="65"/>
        <v>0</v>
      </c>
      <c r="O95" s="11"/>
      <c r="P95" s="7">
        <v>795</v>
      </c>
      <c r="Q95" s="2"/>
      <c r="R95" s="6">
        <f t="shared" si="66"/>
        <v>8.3592833000751263E-4</v>
      </c>
      <c r="S95" s="2"/>
      <c r="T95" s="7">
        <v>900</v>
      </c>
      <c r="U95" s="2"/>
      <c r="V95" s="6">
        <f t="shared" si="67"/>
        <v>4.0899535290391247E-4</v>
      </c>
      <c r="W95" s="2"/>
      <c r="X95" s="7">
        <f t="shared" si="68"/>
        <v>-105</v>
      </c>
      <c r="Y95" s="2"/>
      <c r="Z95" s="6">
        <f t="shared" si="69"/>
        <v>-0.11666666666666667</v>
      </c>
    </row>
    <row r="96" spans="1:26" s="24" customFormat="1" hidden="1" outlineLevel="2" x14ac:dyDescent="0.35">
      <c r="A96" s="29"/>
      <c r="B96" s="11" t="str">
        <f>CONCATENATE("          ", "6275", " - ", "SUBSCRIPTIONS")</f>
        <v xml:space="preserve">          6275 - SUBSCRIPTIONS</v>
      </c>
      <c r="C96" s="11"/>
      <c r="D96" s="7"/>
      <c r="E96" s="2"/>
      <c r="F96" s="6">
        <f t="shared" si="62"/>
        <v>0</v>
      </c>
      <c r="G96" s="2"/>
      <c r="H96" s="7">
        <v>197</v>
      </c>
      <c r="I96" s="2"/>
      <c r="J96" s="6">
        <f t="shared" si="63"/>
        <v>6.9680988408903609E-4</v>
      </c>
      <c r="K96" s="2"/>
      <c r="L96" s="7">
        <f t="shared" si="64"/>
        <v>-197</v>
      </c>
      <c r="M96" s="2"/>
      <c r="N96" s="6">
        <f t="shared" si="65"/>
        <v>-1</v>
      </c>
      <c r="O96" s="11"/>
      <c r="P96" s="7">
        <v>534.16999999999996</v>
      </c>
      <c r="Q96" s="2"/>
      <c r="R96" s="6">
        <f t="shared" si="66"/>
        <v>5.6167023401272078E-4</v>
      </c>
      <c r="S96" s="2"/>
      <c r="T96" s="7">
        <v>1379</v>
      </c>
      <c r="U96" s="2"/>
      <c r="V96" s="6">
        <f t="shared" si="67"/>
        <v>6.2667176850499475E-4</v>
      </c>
      <c r="W96" s="2"/>
      <c r="X96" s="7">
        <f t="shared" si="68"/>
        <v>-844.83</v>
      </c>
      <c r="Y96" s="2"/>
      <c r="Z96" s="6">
        <f t="shared" si="69"/>
        <v>-0.61263959390862943</v>
      </c>
    </row>
    <row r="97" spans="1:26" s="28" customFormat="1" outlineLevel="1" collapsed="1" x14ac:dyDescent="0.35">
      <c r="A97" s="27"/>
      <c r="B97" s="14" t="str">
        <f>CONCATENATE("     ","Supplies                                          ")</f>
        <v xml:space="preserve">     Supplies                                          </v>
      </c>
      <c r="C97" s="14"/>
      <c r="D97" s="1">
        <f>SUM(OSRRefD22_19x_0)</f>
        <v>10874.97</v>
      </c>
      <c r="E97" s="1"/>
      <c r="F97" s="5">
        <f t="shared" ref="F97:F108" si="70">IF(D$12=0,0,D97/D$12)</f>
        <v>9.0380263854584683E-2</v>
      </c>
      <c r="G97" s="1"/>
      <c r="H97" s="1">
        <f>SUM(OSRRefH22_19x_0)</f>
        <v>30158</v>
      </c>
      <c r="I97" s="1"/>
      <c r="J97" s="5">
        <f t="shared" ref="J97:J108" si="71">IF(H$12=0,0,H97/H$12)</f>
        <v>0.10667204306780279</v>
      </c>
      <c r="K97" s="1"/>
      <c r="L97" s="1">
        <f t="shared" ref="L97:L108" si="72">+D97-H97</f>
        <v>-19283.03</v>
      </c>
      <c r="M97" s="1"/>
      <c r="N97" s="5">
        <f t="shared" ref="N97:N108" si="73">IF(H97=0,0,L97/H97)</f>
        <v>-0.63940015916174808</v>
      </c>
      <c r="O97" s="14"/>
      <c r="P97" s="1">
        <f>SUM(OSRRefP22_19x_0)</f>
        <v>79069.429999999993</v>
      </c>
      <c r="Q97" s="1"/>
      <c r="R97" s="5">
        <f t="shared" ref="R97:R108" si="74">IF(P$12=0,0,P97/P$12)</f>
        <v>8.3140096320183543E-2</v>
      </c>
      <c r="S97" s="1"/>
      <c r="T97" s="1">
        <f>SUM(OSRRefT22_19x_0)</f>
        <v>193828</v>
      </c>
      <c r="U97" s="1"/>
      <c r="V97" s="5">
        <f t="shared" ref="V97:V108" si="75">IF(T$12=0,0,T97/T$12)</f>
        <v>8.8083056958510597E-2</v>
      </c>
      <c r="W97" s="1"/>
      <c r="X97" s="1">
        <f t="shared" ref="X97:X108" si="76">+P97-T97</f>
        <v>-114758.57</v>
      </c>
      <c r="Y97" s="1"/>
      <c r="Z97" s="5">
        <f t="shared" ref="Z97:Z108" si="77">IF(T97=0,0,X97/T97)</f>
        <v>-0.59206394328992717</v>
      </c>
    </row>
    <row r="98" spans="1:26" s="24" customFormat="1" hidden="1" outlineLevel="2" x14ac:dyDescent="0.35">
      <c r="A98" s="29"/>
      <c r="B98" s="11" t="str">
        <f>CONCATENATE("          ", "6234", " - ", "EXPENDABLE SUPPLIES &amp; EQUIPMEN")</f>
        <v xml:space="preserve">          6234 - EXPENDABLE SUPPLIES &amp; EQUIPMEN</v>
      </c>
      <c r="C98" s="11"/>
      <c r="D98" s="7"/>
      <c r="E98" s="2"/>
      <c r="F98" s="6">
        <f t="shared" si="70"/>
        <v>0</v>
      </c>
      <c r="G98" s="2"/>
      <c r="H98" s="7">
        <v>1108</v>
      </c>
      <c r="I98" s="2"/>
      <c r="J98" s="6">
        <f t="shared" si="71"/>
        <v>3.9191134597495025E-3</v>
      </c>
      <c r="K98" s="2"/>
      <c r="L98" s="7">
        <f t="shared" si="72"/>
        <v>-1108</v>
      </c>
      <c r="M98" s="2"/>
      <c r="N98" s="6">
        <f t="shared" si="73"/>
        <v>-1</v>
      </c>
      <c r="O98" s="11"/>
      <c r="P98" s="7">
        <v>310.91000000000003</v>
      </c>
      <c r="Q98" s="2"/>
      <c r="R98" s="6">
        <f t="shared" si="74"/>
        <v>3.2691632337438463E-4</v>
      </c>
      <c r="S98" s="2"/>
      <c r="T98" s="7">
        <v>1776</v>
      </c>
      <c r="U98" s="2"/>
      <c r="V98" s="6">
        <f t="shared" si="75"/>
        <v>8.0708416306372053E-4</v>
      </c>
      <c r="W98" s="2"/>
      <c r="X98" s="7">
        <f t="shared" si="76"/>
        <v>-1465.09</v>
      </c>
      <c r="Y98" s="2"/>
      <c r="Z98" s="6">
        <f t="shared" si="77"/>
        <v>-0.82493806306306305</v>
      </c>
    </row>
    <row r="99" spans="1:26" s="24" customFormat="1" hidden="1" outlineLevel="2" x14ac:dyDescent="0.35">
      <c r="A99" s="29"/>
      <c r="B99" s="11" t="str">
        <f>CONCATENATE("          ", "6235", " - ", "COVID-19 EXPENSES")</f>
        <v xml:space="preserve">          6235 - COVID-19 EXPENSES</v>
      </c>
      <c r="C99" s="11"/>
      <c r="D99" s="7">
        <v>2921.2</v>
      </c>
      <c r="E99" s="2"/>
      <c r="F99" s="6">
        <f t="shared" si="70"/>
        <v>2.4277660239247812E-2</v>
      </c>
      <c r="G99" s="2"/>
      <c r="H99" s="7">
        <v>12200</v>
      </c>
      <c r="I99" s="2"/>
      <c r="J99" s="6">
        <f t="shared" si="71"/>
        <v>4.3152693329371772E-2</v>
      </c>
      <c r="K99" s="2"/>
      <c r="L99" s="7">
        <f t="shared" si="72"/>
        <v>-9278.7999999999993</v>
      </c>
      <c r="M99" s="2"/>
      <c r="N99" s="6">
        <f t="shared" si="73"/>
        <v>-0.76055737704918025</v>
      </c>
      <c r="O99" s="11"/>
      <c r="P99" s="7">
        <v>57530.21</v>
      </c>
      <c r="Q99" s="2"/>
      <c r="R99" s="6">
        <f t="shared" si="74"/>
        <v>6.0491990402869816E-2</v>
      </c>
      <c r="S99" s="2"/>
      <c r="T99" s="7">
        <v>78400</v>
      </c>
      <c r="U99" s="2"/>
      <c r="V99" s="6">
        <f t="shared" si="75"/>
        <v>3.5628039630740821E-2</v>
      </c>
      <c r="W99" s="2"/>
      <c r="X99" s="7">
        <f t="shared" si="76"/>
        <v>-20869.79</v>
      </c>
      <c r="Y99" s="2"/>
      <c r="Z99" s="6">
        <f t="shared" si="77"/>
        <v>-0.2661963010204082</v>
      </c>
    </row>
    <row r="100" spans="1:26" s="24" customFormat="1" hidden="1" outlineLevel="2" x14ac:dyDescent="0.35">
      <c r="A100" s="29"/>
      <c r="B100" s="11" t="str">
        <f>CONCATENATE("          ", "6237", " - ", "JANITORIAL SUPPLIES")</f>
        <v xml:space="preserve">          6237 - JANITORIAL SUPPLIES</v>
      </c>
      <c r="C100" s="11"/>
      <c r="D100" s="7">
        <v>4171.3599999999997</v>
      </c>
      <c r="E100" s="2"/>
      <c r="F100" s="6">
        <f t="shared" si="70"/>
        <v>3.4667554708882907E-2</v>
      </c>
      <c r="G100" s="2"/>
      <c r="H100" s="7">
        <v>9820</v>
      </c>
      <c r="I100" s="2"/>
      <c r="J100" s="6">
        <f t="shared" si="71"/>
        <v>3.4734381024133676E-2</v>
      </c>
      <c r="K100" s="2"/>
      <c r="L100" s="7">
        <f t="shared" si="72"/>
        <v>-5648.64</v>
      </c>
      <c r="M100" s="2"/>
      <c r="N100" s="6">
        <f t="shared" si="73"/>
        <v>-0.57521792260692473</v>
      </c>
      <c r="O100" s="11"/>
      <c r="P100" s="7">
        <v>17594.72</v>
      </c>
      <c r="Q100" s="2"/>
      <c r="R100" s="6">
        <f t="shared" si="74"/>
        <v>1.8500534473647526E-2</v>
      </c>
      <c r="S100" s="2"/>
      <c r="T100" s="7">
        <v>65528.999999999993</v>
      </c>
      <c r="U100" s="2"/>
      <c r="V100" s="6">
        <f t="shared" si="75"/>
        <v>2.9778951644933861E-2</v>
      </c>
      <c r="W100" s="2"/>
      <c r="X100" s="7">
        <f t="shared" si="76"/>
        <v>-47934.279999999992</v>
      </c>
      <c r="Y100" s="2"/>
      <c r="Z100" s="6">
        <f t="shared" si="77"/>
        <v>-0.73149719971310412</v>
      </c>
    </row>
    <row r="101" spans="1:26" s="24" customFormat="1" hidden="1" outlineLevel="2" x14ac:dyDescent="0.35">
      <c r="A101" s="29"/>
      <c r="B101" s="11" t="str">
        <f>CONCATENATE("          ", "6239", " - ", "KITCHEN SUPPLIES")</f>
        <v xml:space="preserve">          6239 - KITCHEN SUPPLIES</v>
      </c>
      <c r="C101" s="11"/>
      <c r="D101" s="7">
        <v>979.48</v>
      </c>
      <c r="E101" s="2"/>
      <c r="F101" s="6">
        <f t="shared" si="70"/>
        <v>8.140313108016722E-3</v>
      </c>
      <c r="G101" s="2"/>
      <c r="H101" s="7">
        <v>2300</v>
      </c>
      <c r="I101" s="2"/>
      <c r="J101" s="6">
        <f t="shared" si="71"/>
        <v>8.1353438243897611E-3</v>
      </c>
      <c r="K101" s="2"/>
      <c r="L101" s="7">
        <f t="shared" si="72"/>
        <v>-1320.52</v>
      </c>
      <c r="M101" s="2"/>
      <c r="N101" s="6">
        <f t="shared" si="73"/>
        <v>-0.5741391304347826</v>
      </c>
      <c r="O101" s="11"/>
      <c r="P101" s="7">
        <v>6813.86</v>
      </c>
      <c r="Q101" s="2"/>
      <c r="R101" s="6">
        <f t="shared" si="74"/>
        <v>7.1646523405094215E-3</v>
      </c>
      <c r="S101" s="2"/>
      <c r="T101" s="7">
        <v>15532</v>
      </c>
      <c r="U101" s="2"/>
      <c r="V101" s="6">
        <f t="shared" si="75"/>
        <v>7.0583509125595198E-3</v>
      </c>
      <c r="W101" s="2"/>
      <c r="X101" s="7">
        <f t="shared" si="76"/>
        <v>-8718.14</v>
      </c>
      <c r="Y101" s="2"/>
      <c r="Z101" s="6">
        <f t="shared" si="77"/>
        <v>-0.56130182848313159</v>
      </c>
    </row>
    <row r="102" spans="1:26" s="24" customFormat="1" hidden="1" outlineLevel="2" x14ac:dyDescent="0.35">
      <c r="A102" s="29"/>
      <c r="B102" s="11" t="str">
        <f>CONCATENATE("          ", "6241", " - ", "OFFICE EXPENSE")</f>
        <v xml:space="preserve">          6241 - OFFICE EXPENSE</v>
      </c>
      <c r="C102" s="11"/>
      <c r="D102" s="7">
        <v>1030.8499999999999</v>
      </c>
      <c r="E102" s="2"/>
      <c r="F102" s="6">
        <f t="shared" si="70"/>
        <v>8.5672415642984411E-3</v>
      </c>
      <c r="G102" s="2"/>
      <c r="H102" s="7">
        <v>1025</v>
      </c>
      <c r="I102" s="2"/>
      <c r="J102" s="6">
        <f t="shared" si="71"/>
        <v>3.6255336608693499E-3</v>
      </c>
      <c r="K102" s="2"/>
      <c r="L102" s="7">
        <f t="shared" si="72"/>
        <v>5.8499999999999091</v>
      </c>
      <c r="M102" s="2"/>
      <c r="N102" s="6">
        <f t="shared" si="73"/>
        <v>5.7073170731706431E-3</v>
      </c>
      <c r="O102" s="11"/>
      <c r="P102" s="7">
        <v>-24799.1</v>
      </c>
      <c r="Q102" s="2"/>
      <c r="R102" s="6">
        <f t="shared" si="74"/>
        <v>-2.6075811633571453E-2</v>
      </c>
      <c r="S102" s="2"/>
      <c r="T102" s="7">
        <v>12187</v>
      </c>
      <c r="U102" s="2"/>
      <c r="V102" s="6">
        <f t="shared" si="75"/>
        <v>5.5382515175999786E-3</v>
      </c>
      <c r="W102" s="2"/>
      <c r="X102" s="7">
        <f t="shared" si="76"/>
        <v>-36986.1</v>
      </c>
      <c r="Y102" s="2"/>
      <c r="Z102" s="6">
        <f t="shared" si="77"/>
        <v>-3.0348814310330678</v>
      </c>
    </row>
    <row r="103" spans="1:26" s="24" customFormat="1" hidden="1" outlineLevel="2" x14ac:dyDescent="0.35">
      <c r="A103" s="29"/>
      <c r="B103" s="11" t="str">
        <f>CONCATENATE("          ", "6243", " - ", "PAPER SUPPLIES")</f>
        <v xml:space="preserve">          6243 - PAPER SUPPLIES</v>
      </c>
      <c r="C103" s="11"/>
      <c r="D103" s="7">
        <v>1772.08</v>
      </c>
      <c r="E103" s="2"/>
      <c r="F103" s="6">
        <f t="shared" si="70"/>
        <v>1.4727494234138801E-2</v>
      </c>
      <c r="G103" s="2"/>
      <c r="H103" s="7">
        <v>1342</v>
      </c>
      <c r="I103" s="2"/>
      <c r="J103" s="6">
        <f t="shared" si="71"/>
        <v>4.7467962662308951E-3</v>
      </c>
      <c r="K103" s="2"/>
      <c r="L103" s="7">
        <f t="shared" si="72"/>
        <v>430.07999999999993</v>
      </c>
      <c r="M103" s="2"/>
      <c r="N103" s="6">
        <f t="shared" si="73"/>
        <v>0.32047690014903124</v>
      </c>
      <c r="O103" s="11"/>
      <c r="P103" s="7">
        <v>17118.240000000002</v>
      </c>
      <c r="Q103" s="2"/>
      <c r="R103" s="6">
        <f t="shared" si="74"/>
        <v>1.7999524246374597E-2</v>
      </c>
      <c r="S103" s="2"/>
      <c r="T103" s="7">
        <v>7490</v>
      </c>
      <c r="U103" s="2"/>
      <c r="V103" s="6">
        <f t="shared" si="75"/>
        <v>3.4037502147225601E-3</v>
      </c>
      <c r="W103" s="2"/>
      <c r="X103" s="7">
        <f t="shared" si="76"/>
        <v>9628.2400000000016</v>
      </c>
      <c r="Y103" s="2"/>
      <c r="Z103" s="6">
        <f t="shared" si="77"/>
        <v>1.2854793057409881</v>
      </c>
    </row>
    <row r="104" spans="1:26" s="24" customFormat="1" hidden="1" outlineLevel="2" x14ac:dyDescent="0.35">
      <c r="A104" s="29"/>
      <c r="B104" s="11" t="str">
        <f>CONCATENATE("          ", "6244", " - ", "SAFETY SUPPLY EXPENSE")</f>
        <v xml:space="preserve">          6244 - SAFETY SUPPLY EXPENSE</v>
      </c>
      <c r="C104" s="11"/>
      <c r="D104" s="7"/>
      <c r="E104" s="2"/>
      <c r="F104" s="6">
        <f t="shared" si="70"/>
        <v>0</v>
      </c>
      <c r="G104" s="2"/>
      <c r="H104" s="7">
        <v>180</v>
      </c>
      <c r="I104" s="2"/>
      <c r="J104" s="6">
        <f t="shared" si="71"/>
        <v>6.3667908190876386E-4</v>
      </c>
      <c r="K104" s="2"/>
      <c r="L104" s="7">
        <f t="shared" si="72"/>
        <v>-180</v>
      </c>
      <c r="M104" s="2"/>
      <c r="N104" s="6">
        <f t="shared" si="73"/>
        <v>-1</v>
      </c>
      <c r="O104" s="11"/>
      <c r="P104" s="7"/>
      <c r="Q104" s="2"/>
      <c r="R104" s="6">
        <f t="shared" si="74"/>
        <v>0</v>
      </c>
      <c r="S104" s="2"/>
      <c r="T104" s="7">
        <v>980</v>
      </c>
      <c r="U104" s="2"/>
      <c r="V104" s="6">
        <f t="shared" si="75"/>
        <v>4.4535049538426021E-4</v>
      </c>
      <c r="W104" s="2"/>
      <c r="X104" s="7">
        <f t="shared" si="76"/>
        <v>-980</v>
      </c>
      <c r="Y104" s="2"/>
      <c r="Z104" s="6">
        <f t="shared" si="77"/>
        <v>-1</v>
      </c>
    </row>
    <row r="105" spans="1:26" s="24" customFormat="1" hidden="1" outlineLevel="2" x14ac:dyDescent="0.35">
      <c r="A105" s="29"/>
      <c r="B105" s="11" t="str">
        <f>CONCATENATE("          ", "6245", " - ", "PRINTING")</f>
        <v xml:space="preserve">          6245 - PRINTING</v>
      </c>
      <c r="C105" s="11"/>
      <c r="D105" s="7"/>
      <c r="E105" s="2"/>
      <c r="F105" s="6">
        <f t="shared" si="70"/>
        <v>0</v>
      </c>
      <c r="G105" s="2"/>
      <c r="H105" s="7">
        <v>150</v>
      </c>
      <c r="I105" s="2"/>
      <c r="J105" s="6">
        <f t="shared" si="71"/>
        <v>5.3056590159063655E-4</v>
      </c>
      <c r="K105" s="2"/>
      <c r="L105" s="7">
        <f t="shared" si="72"/>
        <v>-150</v>
      </c>
      <c r="M105" s="2"/>
      <c r="N105" s="6">
        <f t="shared" si="73"/>
        <v>-1</v>
      </c>
      <c r="O105" s="11"/>
      <c r="P105" s="7"/>
      <c r="Q105" s="2"/>
      <c r="R105" s="6">
        <f t="shared" si="74"/>
        <v>0</v>
      </c>
      <c r="S105" s="2"/>
      <c r="T105" s="7">
        <v>2050</v>
      </c>
      <c r="U105" s="2"/>
      <c r="V105" s="6">
        <f t="shared" si="75"/>
        <v>9.3160052605891169E-4</v>
      </c>
      <c r="W105" s="2"/>
      <c r="X105" s="7">
        <f t="shared" si="76"/>
        <v>-2050</v>
      </c>
      <c r="Y105" s="2"/>
      <c r="Z105" s="6">
        <f t="shared" si="77"/>
        <v>-1</v>
      </c>
    </row>
    <row r="106" spans="1:26" s="24" customFormat="1" hidden="1" outlineLevel="2" x14ac:dyDescent="0.35">
      <c r="A106" s="29"/>
      <c r="B106" s="11" t="str">
        <f>CONCATENATE("          ", "6246", " - ", "REPLACEMENTS")</f>
        <v xml:space="preserve">          6246 - REPLACEMENTS</v>
      </c>
      <c r="C106" s="11"/>
      <c r="D106" s="7"/>
      <c r="E106" s="2"/>
      <c r="F106" s="6">
        <f t="shared" si="70"/>
        <v>0</v>
      </c>
      <c r="G106" s="2"/>
      <c r="H106" s="7">
        <v>0</v>
      </c>
      <c r="I106" s="2"/>
      <c r="J106" s="6">
        <f t="shared" si="71"/>
        <v>0</v>
      </c>
      <c r="K106" s="2"/>
      <c r="L106" s="7">
        <f t="shared" si="72"/>
        <v>0</v>
      </c>
      <c r="M106" s="2"/>
      <c r="N106" s="6">
        <f t="shared" si="73"/>
        <v>0</v>
      </c>
      <c r="O106" s="11"/>
      <c r="P106" s="7"/>
      <c r="Q106" s="2"/>
      <c r="R106" s="6">
        <f t="shared" si="74"/>
        <v>0</v>
      </c>
      <c r="S106" s="2"/>
      <c r="T106" s="7">
        <v>0</v>
      </c>
      <c r="U106" s="2"/>
      <c r="V106" s="6">
        <f t="shared" si="75"/>
        <v>0</v>
      </c>
      <c r="W106" s="2"/>
      <c r="X106" s="7">
        <f t="shared" si="76"/>
        <v>0</v>
      </c>
      <c r="Y106" s="2"/>
      <c r="Z106" s="6">
        <f t="shared" si="77"/>
        <v>0</v>
      </c>
    </row>
    <row r="107" spans="1:26" s="24" customFormat="1" hidden="1" outlineLevel="2" x14ac:dyDescent="0.35">
      <c r="A107" s="29"/>
      <c r="B107" s="11" t="str">
        <f>CONCATENATE("          ", "6247", " - ", "STORE SUPPLIES")</f>
        <v xml:space="preserve">          6247 - STORE SUPPLIES</v>
      </c>
      <c r="C107" s="11"/>
      <c r="D107" s="7"/>
      <c r="E107" s="2"/>
      <c r="F107" s="6">
        <f t="shared" si="70"/>
        <v>0</v>
      </c>
      <c r="G107" s="2"/>
      <c r="H107" s="7">
        <v>18</v>
      </c>
      <c r="I107" s="2"/>
      <c r="J107" s="6">
        <f t="shared" si="71"/>
        <v>6.3667908190876384E-5</v>
      </c>
      <c r="K107" s="2"/>
      <c r="L107" s="7">
        <f t="shared" si="72"/>
        <v>-18</v>
      </c>
      <c r="M107" s="2"/>
      <c r="N107" s="6">
        <f t="shared" si="73"/>
        <v>-1</v>
      </c>
      <c r="O107" s="11"/>
      <c r="P107" s="7"/>
      <c r="Q107" s="2"/>
      <c r="R107" s="6">
        <f t="shared" si="74"/>
        <v>0</v>
      </c>
      <c r="S107" s="2"/>
      <c r="T107" s="7">
        <v>519</v>
      </c>
      <c r="U107" s="2"/>
      <c r="V107" s="6">
        <f t="shared" si="75"/>
        <v>2.3585398684125618E-4</v>
      </c>
      <c r="W107" s="2"/>
      <c r="X107" s="7">
        <f t="shared" si="76"/>
        <v>-519</v>
      </c>
      <c r="Y107" s="2"/>
      <c r="Z107" s="6">
        <f t="shared" si="77"/>
        <v>-1</v>
      </c>
    </row>
    <row r="108" spans="1:26" s="24" customFormat="1" hidden="1" outlineLevel="2" x14ac:dyDescent="0.35">
      <c r="A108" s="29"/>
      <c r="B108" s="11" t="str">
        <f>CONCATENATE("          ", "6248", " - ", "UNIFORMS")</f>
        <v xml:space="preserve">          6248 - UNIFORMS</v>
      </c>
      <c r="C108" s="11"/>
      <c r="D108" s="7"/>
      <c r="E108" s="2"/>
      <c r="F108" s="6">
        <f t="shared" si="70"/>
        <v>0</v>
      </c>
      <c r="G108" s="2"/>
      <c r="H108" s="7">
        <v>2015</v>
      </c>
      <c r="I108" s="2"/>
      <c r="J108" s="6">
        <f t="shared" si="71"/>
        <v>7.1272686113675512E-3</v>
      </c>
      <c r="K108" s="2"/>
      <c r="L108" s="7">
        <f t="shared" si="72"/>
        <v>-2015</v>
      </c>
      <c r="M108" s="2"/>
      <c r="N108" s="6">
        <f t="shared" si="73"/>
        <v>-1</v>
      </c>
      <c r="O108" s="11"/>
      <c r="P108" s="7">
        <v>4500.59</v>
      </c>
      <c r="Q108" s="2"/>
      <c r="R108" s="6">
        <f t="shared" si="74"/>
        <v>4.7322901669792595E-3</v>
      </c>
      <c r="S108" s="2"/>
      <c r="T108" s="7">
        <v>9365</v>
      </c>
      <c r="U108" s="2"/>
      <c r="V108" s="6">
        <f t="shared" si="75"/>
        <v>4.2558238666057114E-3</v>
      </c>
      <c r="W108" s="2"/>
      <c r="X108" s="7">
        <f t="shared" si="76"/>
        <v>-4864.41</v>
      </c>
      <c r="Y108" s="2"/>
      <c r="Z108" s="6">
        <f t="shared" si="77"/>
        <v>-0.51942445274959959</v>
      </c>
    </row>
    <row r="109" spans="1:26" s="28" customFormat="1" outlineLevel="1" collapsed="1" x14ac:dyDescent="0.35">
      <c r="A109" s="27"/>
      <c r="B109" s="14" t="str">
        <f>CONCATENATE("     ","Telephone/Data Lines                              ")</f>
        <v xml:space="preserve">     Telephone/Data Lines                              </v>
      </c>
      <c r="C109" s="14"/>
      <c r="D109" s="1">
        <f>SUM(OSRRefD22_20x_0)</f>
        <v>496</v>
      </c>
      <c r="E109" s="1"/>
      <c r="F109" s="5">
        <f t="shared" ref="F109:F111" si="78">IF(D$12=0,0,D109/D$12)</f>
        <v>4.1221824861929742E-3</v>
      </c>
      <c r="G109" s="1"/>
      <c r="H109" s="1">
        <f>SUM(OSRRefH22_20x_0)</f>
        <v>1110</v>
      </c>
      <c r="I109" s="1"/>
      <c r="J109" s="5">
        <f t="shared" ref="J109:J111" si="79">IF(H$12=0,0,H109/H$12)</f>
        <v>3.9261876717707105E-3</v>
      </c>
      <c r="K109" s="1"/>
      <c r="L109" s="1">
        <f t="shared" ref="L109:L111" si="80">+D109-H109</f>
        <v>-614</v>
      </c>
      <c r="M109" s="1"/>
      <c r="N109" s="5">
        <f t="shared" ref="N109:N111" si="81">IF(H109=0,0,L109/H109)</f>
        <v>-0.55315315315315317</v>
      </c>
      <c r="O109" s="14"/>
      <c r="P109" s="1">
        <f>SUM(OSRRefP22_20x_0)</f>
        <v>8930.59</v>
      </c>
      <c r="Q109" s="1"/>
      <c r="R109" s="5">
        <f t="shared" ref="R109:R111" si="82">IF(P$12=0,0,P109/P$12)</f>
        <v>9.3903562071469097E-3</v>
      </c>
      <c r="S109" s="1"/>
      <c r="T109" s="1">
        <f>SUM(OSRRefT22_20x_0)</f>
        <v>7512</v>
      </c>
      <c r="U109" s="1"/>
      <c r="V109" s="5">
        <f t="shared" ref="V109:V111" si="83">IF(T$12=0,0,T109/T$12)</f>
        <v>3.413747878904656E-3</v>
      </c>
      <c r="W109" s="1"/>
      <c r="X109" s="1">
        <f t="shared" ref="X109:X111" si="84">+P109-T109</f>
        <v>1418.5900000000001</v>
      </c>
      <c r="Y109" s="1"/>
      <c r="Z109" s="5">
        <f t="shared" ref="Z109:Z111" si="85">IF(T109=0,0,X109/T109)</f>
        <v>0.18884318423855168</v>
      </c>
    </row>
    <row r="110" spans="1:26" s="24" customFormat="1" hidden="1" outlineLevel="2" x14ac:dyDescent="0.35">
      <c r="A110" s="29"/>
      <c r="B110" s="11" t="str">
        <f>CONCATENATE("          ", "6303", " - ", "DATA PHONE LINES")</f>
        <v xml:space="preserve">          6303 - DATA PHONE LINES</v>
      </c>
      <c r="C110" s="11"/>
      <c r="D110" s="7"/>
      <c r="E110" s="2"/>
      <c r="F110" s="6">
        <f t="shared" si="78"/>
        <v>0</v>
      </c>
      <c r="G110" s="2"/>
      <c r="H110" s="7">
        <v>635</v>
      </c>
      <c r="I110" s="2"/>
      <c r="J110" s="6">
        <f t="shared" si="79"/>
        <v>2.2460623167336949E-3</v>
      </c>
      <c r="K110" s="2"/>
      <c r="L110" s="7">
        <f t="shared" si="80"/>
        <v>-635</v>
      </c>
      <c r="M110" s="2"/>
      <c r="N110" s="6">
        <f t="shared" si="81"/>
        <v>-1</v>
      </c>
      <c r="O110" s="11"/>
      <c r="P110" s="7"/>
      <c r="Q110" s="2"/>
      <c r="R110" s="6">
        <f t="shared" si="82"/>
        <v>0</v>
      </c>
      <c r="S110" s="2"/>
      <c r="T110" s="7">
        <v>4487</v>
      </c>
      <c r="U110" s="2"/>
      <c r="V110" s="6">
        <f t="shared" si="83"/>
        <v>2.0390690538665056E-3</v>
      </c>
      <c r="W110" s="2"/>
      <c r="X110" s="7">
        <f t="shared" si="84"/>
        <v>-4487</v>
      </c>
      <c r="Y110" s="2"/>
      <c r="Z110" s="6">
        <f t="shared" si="85"/>
        <v>-1</v>
      </c>
    </row>
    <row r="111" spans="1:26" s="24" customFormat="1" hidden="1" outlineLevel="2" x14ac:dyDescent="0.35">
      <c r="A111" s="29"/>
      <c r="B111" s="11" t="str">
        <f>CONCATENATE("          ", "6309", " - ", "TELEPHONE")</f>
        <v xml:space="preserve">          6309 - TELEPHONE</v>
      </c>
      <c r="C111" s="11"/>
      <c r="D111" s="7">
        <v>496</v>
      </c>
      <c r="E111" s="2"/>
      <c r="F111" s="6">
        <f t="shared" si="78"/>
        <v>4.1221824861929742E-3</v>
      </c>
      <c r="G111" s="2"/>
      <c r="H111" s="7">
        <v>475</v>
      </c>
      <c r="I111" s="2"/>
      <c r="J111" s="6">
        <f t="shared" si="79"/>
        <v>1.6801253550370158E-3</v>
      </c>
      <c r="K111" s="2"/>
      <c r="L111" s="7">
        <f t="shared" si="80"/>
        <v>21</v>
      </c>
      <c r="M111" s="2"/>
      <c r="N111" s="6">
        <f t="shared" si="81"/>
        <v>4.4210526315789471E-2</v>
      </c>
      <c r="O111" s="11"/>
      <c r="P111" s="7">
        <v>8930.59</v>
      </c>
      <c r="Q111" s="2"/>
      <c r="R111" s="6">
        <f t="shared" si="82"/>
        <v>9.3903562071469097E-3</v>
      </c>
      <c r="S111" s="2"/>
      <c r="T111" s="7">
        <v>3025</v>
      </c>
      <c r="U111" s="2"/>
      <c r="V111" s="6">
        <f t="shared" si="83"/>
        <v>1.3746788250381503E-3</v>
      </c>
      <c r="W111" s="2"/>
      <c r="X111" s="7">
        <f t="shared" si="84"/>
        <v>5905.59</v>
      </c>
      <c r="Y111" s="2"/>
      <c r="Z111" s="6">
        <f t="shared" si="85"/>
        <v>1.9522611570247934</v>
      </c>
    </row>
    <row r="112" spans="1:26" s="28" customFormat="1" outlineLevel="1" collapsed="1" x14ac:dyDescent="0.35">
      <c r="A112" s="27"/>
      <c r="B112" s="14" t="str">
        <f>CONCATENATE("     ","Training                                          ")</f>
        <v xml:space="preserve">     Training                                          </v>
      </c>
      <c r="C112" s="14"/>
      <c r="D112" s="1">
        <f>SUM(OSRRefD22_21x_0)</f>
        <v>0</v>
      </c>
      <c r="E112" s="1"/>
      <c r="F112" s="5">
        <f t="shared" ref="F112:F117" si="86">IF(D$12=0,0,D112/D$12)</f>
        <v>0</v>
      </c>
      <c r="G112" s="1"/>
      <c r="H112" s="1">
        <f>SUM(OSRRefH22_21x_0)</f>
        <v>2250</v>
      </c>
      <c r="I112" s="1"/>
      <c r="J112" s="5">
        <f t="shared" ref="J112:J117" si="87">IF(H$12=0,0,H112/H$12)</f>
        <v>7.9584885238595492E-3</v>
      </c>
      <c r="K112" s="1"/>
      <c r="L112" s="1">
        <f t="shared" ref="L112:L117" si="88">+D112-H112</f>
        <v>-2250</v>
      </c>
      <c r="M112" s="1"/>
      <c r="N112" s="5">
        <f t="shared" ref="N112:N117" si="89">IF(H112=0,0,L112/H112)</f>
        <v>-1</v>
      </c>
      <c r="O112" s="14"/>
      <c r="P112" s="1">
        <f>SUM(OSRRefP22_21x_0)</f>
        <v>1135</v>
      </c>
      <c r="Q112" s="1"/>
      <c r="R112" s="5">
        <f t="shared" ref="R112:R117" si="90">IF(P$12=0,0,P112/P$12)</f>
        <v>1.1934322698849394E-3</v>
      </c>
      <c r="S112" s="1"/>
      <c r="T112" s="1">
        <f>SUM(OSRRefT22_21x_0)</f>
        <v>6400</v>
      </c>
      <c r="U112" s="1"/>
      <c r="V112" s="5">
        <f t="shared" ref="V112:V117" si="91">IF(T$12=0,0,T112/T$12)</f>
        <v>2.9084113984278221E-3</v>
      </c>
      <c r="W112" s="1"/>
      <c r="X112" s="1">
        <f t="shared" ref="X112:X117" si="92">+P112-T112</f>
        <v>-5265</v>
      </c>
      <c r="Y112" s="1"/>
      <c r="Z112" s="5">
        <f t="shared" ref="Z112:Z117" si="93">IF(T112=0,0,X112/T112)</f>
        <v>-0.82265624999999998</v>
      </c>
    </row>
    <row r="113" spans="1:26" s="24" customFormat="1" hidden="1" outlineLevel="2" x14ac:dyDescent="0.35">
      <c r="A113" s="29"/>
      <c r="B113" s="11" t="str">
        <f>CONCATENATE("          ", "6376", " - ", "TRAINING")</f>
        <v xml:space="preserve">          6376 - TRAINING</v>
      </c>
      <c r="C113" s="11"/>
      <c r="D113" s="7"/>
      <c r="E113" s="2"/>
      <c r="F113" s="6">
        <f t="shared" si="86"/>
        <v>0</v>
      </c>
      <c r="G113" s="2"/>
      <c r="H113" s="7">
        <v>2250</v>
      </c>
      <c r="I113" s="2"/>
      <c r="J113" s="6">
        <f t="shared" si="87"/>
        <v>7.9584885238595492E-3</v>
      </c>
      <c r="K113" s="2"/>
      <c r="L113" s="7">
        <f t="shared" si="88"/>
        <v>-2250</v>
      </c>
      <c r="M113" s="2"/>
      <c r="N113" s="6">
        <f t="shared" si="89"/>
        <v>-1</v>
      </c>
      <c r="O113" s="11"/>
      <c r="P113" s="7">
        <v>1135</v>
      </c>
      <c r="Q113" s="2"/>
      <c r="R113" s="6">
        <f t="shared" si="90"/>
        <v>1.1934322698849394E-3</v>
      </c>
      <c r="S113" s="2"/>
      <c r="T113" s="7">
        <v>6400</v>
      </c>
      <c r="U113" s="2"/>
      <c r="V113" s="6">
        <f t="shared" si="91"/>
        <v>2.9084113984278221E-3</v>
      </c>
      <c r="W113" s="2"/>
      <c r="X113" s="7">
        <f t="shared" si="92"/>
        <v>-5265</v>
      </c>
      <c r="Y113" s="2"/>
      <c r="Z113" s="6">
        <f t="shared" si="93"/>
        <v>-0.82265624999999998</v>
      </c>
    </row>
    <row r="114" spans="1:26" s="28" customFormat="1" outlineLevel="1" collapsed="1" x14ac:dyDescent="0.35">
      <c r="A114" s="27"/>
      <c r="B114" s="14" t="str">
        <f>CONCATENATE("     ","Travel                                            ")</f>
        <v xml:space="preserve">     Travel                                            </v>
      </c>
      <c r="C114" s="14"/>
      <c r="D114" s="1">
        <f>SUM(OSRRefD22_22x_0)</f>
        <v>0</v>
      </c>
      <c r="E114" s="1"/>
      <c r="F114" s="5">
        <f t="shared" si="86"/>
        <v>0</v>
      </c>
      <c r="G114" s="1"/>
      <c r="H114" s="1">
        <f>SUM(OSRRefH22_22x_0)</f>
        <v>300</v>
      </c>
      <c r="I114" s="1"/>
      <c r="J114" s="5">
        <f t="shared" si="87"/>
        <v>1.0611318031812731E-3</v>
      </c>
      <c r="K114" s="1"/>
      <c r="L114" s="1">
        <f t="shared" si="88"/>
        <v>-300</v>
      </c>
      <c r="M114" s="1"/>
      <c r="N114" s="5">
        <f t="shared" si="89"/>
        <v>-1</v>
      </c>
      <c r="O114" s="14"/>
      <c r="P114" s="1">
        <f>SUM(OSRRefP22_22x_0)</f>
        <v>332.21</v>
      </c>
      <c r="Q114" s="1"/>
      <c r="R114" s="5">
        <f t="shared" si="90"/>
        <v>3.4931289372552924E-4</v>
      </c>
      <c r="S114" s="1"/>
      <c r="T114" s="1">
        <f>SUM(OSRRefT22_22x_0)</f>
        <v>2100</v>
      </c>
      <c r="U114" s="1"/>
      <c r="V114" s="5">
        <f t="shared" si="91"/>
        <v>9.5432249010912902E-4</v>
      </c>
      <c r="W114" s="1"/>
      <c r="X114" s="1">
        <f t="shared" si="92"/>
        <v>-1767.79</v>
      </c>
      <c r="Y114" s="1"/>
      <c r="Z114" s="5">
        <f t="shared" si="93"/>
        <v>-0.84180476190476183</v>
      </c>
    </row>
    <row r="115" spans="1:26" s="24" customFormat="1" hidden="1" outlineLevel="2" x14ac:dyDescent="0.35">
      <c r="A115" s="29"/>
      <c r="B115" s="11" t="str">
        <f>CONCATENATE("          ", "6292", " - ", "TRAVEL/CONFERENCE")</f>
        <v xml:space="preserve">          6292 - TRAVEL/CONFERENCE</v>
      </c>
      <c r="C115" s="11"/>
      <c r="D115" s="7"/>
      <c r="E115" s="2"/>
      <c r="F115" s="6">
        <f t="shared" si="86"/>
        <v>0</v>
      </c>
      <c r="G115" s="2"/>
      <c r="H115" s="7">
        <v>300</v>
      </c>
      <c r="I115" s="2"/>
      <c r="J115" s="6">
        <f t="shared" si="87"/>
        <v>1.0611318031812731E-3</v>
      </c>
      <c r="K115" s="2"/>
      <c r="L115" s="7">
        <f t="shared" si="88"/>
        <v>-300</v>
      </c>
      <c r="M115" s="2"/>
      <c r="N115" s="6">
        <f t="shared" si="89"/>
        <v>-1</v>
      </c>
      <c r="O115" s="11"/>
      <c r="P115" s="7"/>
      <c r="Q115" s="2"/>
      <c r="R115" s="6">
        <f t="shared" si="90"/>
        <v>0</v>
      </c>
      <c r="S115" s="2"/>
      <c r="T115" s="7">
        <v>2100</v>
      </c>
      <c r="U115" s="2"/>
      <c r="V115" s="6">
        <f t="shared" si="91"/>
        <v>9.5432249010912902E-4</v>
      </c>
      <c r="W115" s="2"/>
      <c r="X115" s="7">
        <f t="shared" si="92"/>
        <v>-2100</v>
      </c>
      <c r="Y115" s="2"/>
      <c r="Z115" s="6">
        <f t="shared" si="93"/>
        <v>-1</v>
      </c>
    </row>
    <row r="116" spans="1:26" s="24" customFormat="1" hidden="1" outlineLevel="2" x14ac:dyDescent="0.35">
      <c r="A116" s="29"/>
      <c r="B116" s="11" t="str">
        <f>CONCATENATE("          ", "6294", " - ", "TRAVEL OPERATIONAL")</f>
        <v xml:space="preserve">          6294 - TRAVEL OPERATIONAL</v>
      </c>
      <c r="C116" s="11"/>
      <c r="D116" s="7"/>
      <c r="E116" s="2"/>
      <c r="F116" s="6">
        <f t="shared" si="86"/>
        <v>0</v>
      </c>
      <c r="G116" s="2"/>
      <c r="H116" s="7"/>
      <c r="I116" s="2"/>
      <c r="J116" s="6">
        <f t="shared" si="87"/>
        <v>0</v>
      </c>
      <c r="K116" s="2"/>
      <c r="L116" s="7">
        <f t="shared" si="88"/>
        <v>0</v>
      </c>
      <c r="M116" s="2"/>
      <c r="N116" s="6">
        <f t="shared" si="89"/>
        <v>0</v>
      </c>
      <c r="O116" s="11"/>
      <c r="P116" s="7"/>
      <c r="Q116" s="2"/>
      <c r="R116" s="6">
        <f t="shared" si="90"/>
        <v>0</v>
      </c>
      <c r="S116" s="2"/>
      <c r="T116" s="7">
        <v>0</v>
      </c>
      <c r="U116" s="2"/>
      <c r="V116" s="6">
        <f t="shared" si="91"/>
        <v>0</v>
      </c>
      <c r="W116" s="2"/>
      <c r="X116" s="7">
        <f t="shared" si="92"/>
        <v>0</v>
      </c>
      <c r="Y116" s="2"/>
      <c r="Z116" s="6">
        <f t="shared" si="93"/>
        <v>0</v>
      </c>
    </row>
    <row r="117" spans="1:26" s="24" customFormat="1" hidden="1" outlineLevel="2" x14ac:dyDescent="0.35">
      <c r="A117" s="29"/>
      <c r="B117" s="11" t="str">
        <f>CONCATENATE("          ", "6298", " - ", "VEHICLE MILEAGE")</f>
        <v xml:space="preserve">          6298 - VEHICLE MILEAGE</v>
      </c>
      <c r="C117" s="11"/>
      <c r="D117" s="7"/>
      <c r="E117" s="2"/>
      <c r="F117" s="6">
        <f t="shared" si="86"/>
        <v>0</v>
      </c>
      <c r="G117" s="2"/>
      <c r="H117" s="7"/>
      <c r="I117" s="2"/>
      <c r="J117" s="6">
        <f t="shared" si="87"/>
        <v>0</v>
      </c>
      <c r="K117" s="2"/>
      <c r="L117" s="7">
        <f t="shared" si="88"/>
        <v>0</v>
      </c>
      <c r="M117" s="2"/>
      <c r="N117" s="6">
        <f t="shared" si="89"/>
        <v>0</v>
      </c>
      <c r="O117" s="11"/>
      <c r="P117" s="7">
        <v>332.21</v>
      </c>
      <c r="Q117" s="2"/>
      <c r="R117" s="6">
        <f t="shared" si="90"/>
        <v>3.4931289372552924E-4</v>
      </c>
      <c r="S117" s="2"/>
      <c r="T117" s="7"/>
      <c r="U117" s="2"/>
      <c r="V117" s="6">
        <f t="shared" si="91"/>
        <v>0</v>
      </c>
      <c r="W117" s="2"/>
      <c r="X117" s="7">
        <f t="shared" si="92"/>
        <v>332.21</v>
      </c>
      <c r="Y117" s="2"/>
      <c r="Z117" s="6">
        <f t="shared" si="93"/>
        <v>0</v>
      </c>
    </row>
    <row r="118" spans="1:26" s="28" customFormat="1" outlineLevel="1" collapsed="1" x14ac:dyDescent="0.35">
      <c r="A118" s="27"/>
      <c r="B118" s="14" t="str">
        <f>CONCATENATE("     ","Utilities                                         ")</f>
        <v xml:space="preserve">     Utilities                                         </v>
      </c>
      <c r="C118" s="14"/>
      <c r="D118" s="1">
        <f>SUM(OSRRefD22_23x_0)</f>
        <v>3660</v>
      </c>
      <c r="E118" s="1"/>
      <c r="F118" s="5">
        <f t="shared" ref="F118:F119" si="94">IF(D$12=0,0,D118/D$12)</f>
        <v>3.0417717539246544E-2</v>
      </c>
      <c r="G118" s="1"/>
      <c r="H118" s="1">
        <f>SUM(OSRRefH22_23x_0)</f>
        <v>3300</v>
      </c>
      <c r="I118" s="1"/>
      <c r="J118" s="5">
        <f t="shared" ref="J118:J119" si="95">IF(H$12=0,0,H118/H$12)</f>
        <v>1.1672449834994004E-2</v>
      </c>
      <c r="K118" s="1"/>
      <c r="L118" s="1">
        <f t="shared" ref="L118:L119" si="96">+D118-H118</f>
        <v>360</v>
      </c>
      <c r="M118" s="1"/>
      <c r="N118" s="5">
        <f t="shared" ref="N118:N119" si="97">IF(H118=0,0,L118/H118)</f>
        <v>0.10909090909090909</v>
      </c>
      <c r="O118" s="14"/>
      <c r="P118" s="1">
        <f>SUM(OSRRefP22_23x_0)</f>
        <v>4652</v>
      </c>
      <c r="Q118" s="1"/>
      <c r="R118" s="5">
        <f t="shared" ref="R118:R119" si="98">IF(P$12=0,0,P118/P$12)</f>
        <v>4.8914950832640866E-3</v>
      </c>
      <c r="S118" s="1"/>
      <c r="T118" s="1">
        <f>SUM(OSRRefT22_23x_0)</f>
        <v>23100</v>
      </c>
      <c r="U118" s="1"/>
      <c r="V118" s="5">
        <f t="shared" ref="V118:V119" si="99">IF(T$12=0,0,T118/T$12)</f>
        <v>1.0497547391200419E-2</v>
      </c>
      <c r="W118" s="1"/>
      <c r="X118" s="1">
        <f t="shared" ref="X118:X119" si="100">+P118-T118</f>
        <v>-18448</v>
      </c>
      <c r="Y118" s="1"/>
      <c r="Z118" s="5">
        <f t="shared" ref="Z118:Z119" si="101">IF(T118=0,0,X118/T118)</f>
        <v>-0.79861471861471867</v>
      </c>
    </row>
    <row r="119" spans="1:26" s="24" customFormat="1" hidden="1" outlineLevel="2" x14ac:dyDescent="0.35">
      <c r="A119" s="29"/>
      <c r="B119" s="11" t="str">
        <f>CONCATENATE("          ", "6274", " - ", "UTILITIES")</f>
        <v xml:space="preserve">          6274 - UTILITIES</v>
      </c>
      <c r="C119" s="11"/>
      <c r="D119" s="7">
        <v>3660</v>
      </c>
      <c r="E119" s="2"/>
      <c r="F119" s="6">
        <f t="shared" si="94"/>
        <v>3.0417717539246544E-2</v>
      </c>
      <c r="G119" s="2"/>
      <c r="H119" s="7">
        <v>3300</v>
      </c>
      <c r="I119" s="2"/>
      <c r="J119" s="6">
        <f t="shared" si="95"/>
        <v>1.1672449834994004E-2</v>
      </c>
      <c r="K119" s="2"/>
      <c r="L119" s="7">
        <f t="shared" si="96"/>
        <v>360</v>
      </c>
      <c r="M119" s="2"/>
      <c r="N119" s="6">
        <f t="shared" si="97"/>
        <v>0.10909090909090909</v>
      </c>
      <c r="O119" s="11"/>
      <c r="P119" s="7">
        <v>4652</v>
      </c>
      <c r="Q119" s="2"/>
      <c r="R119" s="6">
        <f t="shared" si="98"/>
        <v>4.8914950832640866E-3</v>
      </c>
      <c r="S119" s="2"/>
      <c r="T119" s="7">
        <v>23100</v>
      </c>
      <c r="U119" s="2"/>
      <c r="V119" s="6">
        <f t="shared" si="99"/>
        <v>1.0497547391200419E-2</v>
      </c>
      <c r="W119" s="2"/>
      <c r="X119" s="7">
        <f t="shared" si="100"/>
        <v>-18448</v>
      </c>
      <c r="Y119" s="2"/>
      <c r="Z119" s="6">
        <f t="shared" si="101"/>
        <v>-0.79861471861471867</v>
      </c>
    </row>
    <row r="120" spans="1:26" s="55" customFormat="1" x14ac:dyDescent="0.35">
      <c r="A120" s="36"/>
      <c r="B120" s="36"/>
      <c r="C120" s="36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6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3" customFormat="1" collapsed="1" x14ac:dyDescent="0.35">
      <c r="A121" s="10"/>
      <c r="B121" s="25" t="s">
        <v>0</v>
      </c>
      <c r="C121" s="10"/>
      <c r="D121" s="4">
        <f>SUM(OSRRefD25x_0)</f>
        <v>976.87</v>
      </c>
      <c r="E121" s="4"/>
      <c r="F121" s="12">
        <f t="shared" ref="F121:F125" si="102">IF(D$12=0,0,D121/D$12)</f>
        <v>8.118621784853489E-3</v>
      </c>
      <c r="G121" s="4"/>
      <c r="H121" s="4">
        <f>SUM(OSRRefH25x_0)</f>
        <v>6822</v>
      </c>
      <c r="I121" s="4"/>
      <c r="J121" s="12">
        <f t="shared" ref="J121:J125" si="103">IF(H$12=0,0,H121/H$12)</f>
        <v>2.413013720434215E-2</v>
      </c>
      <c r="K121" s="4"/>
      <c r="L121" s="4">
        <f t="shared" ref="L121:L125" si="104">+D121-H121</f>
        <v>-5845.13</v>
      </c>
      <c r="M121" s="4"/>
      <c r="N121" s="12">
        <f t="shared" ref="N121:N125" si="105">IF(H121=0,0,L121/H121)</f>
        <v>-0.85680592201700378</v>
      </c>
      <c r="O121" s="10"/>
      <c r="P121" s="4">
        <f>SUM(OSRRefP25x_0)</f>
        <v>16348.34</v>
      </c>
      <c r="Q121" s="4"/>
      <c r="R121" s="12">
        <f t="shared" ref="R121:R125" si="106">IF(P$12=0,0,P121/P$12)</f>
        <v>1.7189988118987445E-2</v>
      </c>
      <c r="S121" s="4"/>
      <c r="T121" s="4">
        <f>SUM(OSRRefT25x_0)</f>
        <v>34225</v>
      </c>
      <c r="U121" s="4"/>
      <c r="V121" s="12">
        <f t="shared" ref="V121:V125" si="107">IF(T$12=0,0,T121/T$12)</f>
        <v>1.5553184392373782E-2</v>
      </c>
      <c r="W121" s="4"/>
      <c r="X121" s="4">
        <f t="shared" ref="X121:X125" si="108">+P121-T121</f>
        <v>-17876.66</v>
      </c>
      <c r="Y121" s="4"/>
      <c r="Z121" s="12">
        <f t="shared" ref="Z121:Z125" si="109">IF(T121=0,0,X121/T121)</f>
        <v>-0.52232753834916001</v>
      </c>
    </row>
    <row r="122" spans="1:26" s="24" customFormat="1" hidden="1" outlineLevel="1" x14ac:dyDescent="0.35">
      <c r="A122" s="51"/>
      <c r="B122" s="11" t="str">
        <f>CONCATENATE("          ", "9150", " - ", "MISC. INCOME")</f>
        <v xml:space="preserve">          9150 - MISC. INCOME</v>
      </c>
      <c r="C122" s="11"/>
      <c r="D122" s="2">
        <f t="shared" ref="D122:D123" si="110">0</f>
        <v>0</v>
      </c>
      <c r="E122" s="2"/>
      <c r="F122" s="22">
        <f t="shared" si="102"/>
        <v>0</v>
      </c>
      <c r="G122" s="2"/>
      <c r="H122" s="2">
        <v>2142</v>
      </c>
      <c r="I122" s="2"/>
      <c r="J122" s="22">
        <f t="shared" si="103"/>
        <v>7.5764810747142907E-3</v>
      </c>
      <c r="K122" s="2"/>
      <c r="L122" s="2">
        <f t="shared" si="104"/>
        <v>-2142</v>
      </c>
      <c r="M122" s="2"/>
      <c r="N122" s="22">
        <f t="shared" si="105"/>
        <v>-1</v>
      </c>
      <c r="O122" s="11"/>
      <c r="P122" s="2">
        <f>--1728.05</f>
        <v>1728.05</v>
      </c>
      <c r="Q122" s="2"/>
      <c r="R122" s="22">
        <f t="shared" si="106"/>
        <v>1.8170137744270216E-3</v>
      </c>
      <c r="S122" s="2"/>
      <c r="T122" s="2">
        <v>13492</v>
      </c>
      <c r="U122" s="2"/>
      <c r="V122" s="22">
        <f t="shared" si="107"/>
        <v>6.1312947793106523E-3</v>
      </c>
      <c r="W122" s="2"/>
      <c r="X122" s="2">
        <f t="shared" si="108"/>
        <v>-11763.95</v>
      </c>
      <c r="Y122" s="2"/>
      <c r="Z122" s="22">
        <f t="shared" si="109"/>
        <v>-0.87192039727245785</v>
      </c>
    </row>
    <row r="123" spans="1:26" s="24" customFormat="1" hidden="1" outlineLevel="1" x14ac:dyDescent="0.35">
      <c r="A123" s="51"/>
      <c r="B123" s="11" t="str">
        <f>CONCATENATE("          ", "9151", " - ", "MISC. INCOME")</f>
        <v xml:space="preserve">          9151 - MISC. INCOME</v>
      </c>
      <c r="C123" s="11"/>
      <c r="D123" s="2">
        <f t="shared" si="110"/>
        <v>0</v>
      </c>
      <c r="E123" s="2"/>
      <c r="F123" s="22">
        <f t="shared" si="102"/>
        <v>0</v>
      </c>
      <c r="G123" s="2"/>
      <c r="H123" s="2">
        <v>2657</v>
      </c>
      <c r="I123" s="2"/>
      <c r="J123" s="22">
        <f t="shared" si="103"/>
        <v>9.3980906701754754E-3</v>
      </c>
      <c r="K123" s="2"/>
      <c r="L123" s="2">
        <f t="shared" si="104"/>
        <v>-2657</v>
      </c>
      <c r="M123" s="2"/>
      <c r="N123" s="22">
        <f t="shared" si="105"/>
        <v>-1</v>
      </c>
      <c r="O123" s="11"/>
      <c r="P123" s="2">
        <f>0</f>
        <v>0</v>
      </c>
      <c r="Q123" s="2"/>
      <c r="R123" s="22">
        <f t="shared" si="106"/>
        <v>0</v>
      </c>
      <c r="S123" s="2"/>
      <c r="T123" s="2">
        <v>13787</v>
      </c>
      <c r="U123" s="2"/>
      <c r="V123" s="22">
        <f t="shared" si="107"/>
        <v>6.265354367206934E-3</v>
      </c>
      <c r="W123" s="2"/>
      <c r="X123" s="2">
        <f t="shared" si="108"/>
        <v>-13787</v>
      </c>
      <c r="Y123" s="2"/>
      <c r="Z123" s="22">
        <f t="shared" si="109"/>
        <v>-1</v>
      </c>
    </row>
    <row r="124" spans="1:26" s="24" customFormat="1" hidden="1" outlineLevel="1" x14ac:dyDescent="0.35">
      <c r="A124" s="51"/>
      <c r="B124" s="11" t="str">
        <f>CONCATENATE("          ", "9160", " - ", "MISC. INCOME")</f>
        <v xml:space="preserve">          9160 - MISC. INCOME</v>
      </c>
      <c r="C124" s="11"/>
      <c r="D124" s="2">
        <f>--189.92</f>
        <v>189.92</v>
      </c>
      <c r="E124" s="2"/>
      <c r="F124" s="22">
        <f t="shared" si="102"/>
        <v>1.5783969713261483E-3</v>
      </c>
      <c r="G124" s="2"/>
      <c r="H124" s="2">
        <v>2023</v>
      </c>
      <c r="I124" s="2"/>
      <c r="J124" s="22">
        <f t="shared" si="103"/>
        <v>7.155565459452385E-3</v>
      </c>
      <c r="K124" s="2"/>
      <c r="L124" s="2">
        <f t="shared" si="104"/>
        <v>-1833.08</v>
      </c>
      <c r="M124" s="2"/>
      <c r="N124" s="22">
        <f t="shared" si="105"/>
        <v>-0.90611962432031634</v>
      </c>
      <c r="O124" s="11"/>
      <c r="P124" s="2">
        <f>--12518.17</f>
        <v>12518.17</v>
      </c>
      <c r="Q124" s="2"/>
      <c r="R124" s="22">
        <f t="shared" si="106"/>
        <v>1.3162632632515905E-2</v>
      </c>
      <c r="S124" s="2"/>
      <c r="T124" s="2">
        <v>6946</v>
      </c>
      <c r="U124" s="2"/>
      <c r="V124" s="22">
        <f t="shared" si="107"/>
        <v>3.1565352458561955E-3</v>
      </c>
      <c r="W124" s="2"/>
      <c r="X124" s="2">
        <f t="shared" si="108"/>
        <v>5572.17</v>
      </c>
      <c r="Y124" s="2"/>
      <c r="Z124" s="22">
        <f t="shared" si="109"/>
        <v>0.80221278433630872</v>
      </c>
    </row>
    <row r="125" spans="1:26" s="24" customFormat="1" hidden="1" outlineLevel="1" x14ac:dyDescent="0.35">
      <c r="A125" s="51"/>
      <c r="B125" s="11" t="str">
        <f>CONCATENATE("          ", "9165", " - ", "OTHER INCOME")</f>
        <v xml:space="preserve">          9165 - OTHER INCOME</v>
      </c>
      <c r="C125" s="11"/>
      <c r="D125" s="2">
        <f>--786.95</f>
        <v>786.95</v>
      </c>
      <c r="E125" s="2"/>
      <c r="F125" s="22">
        <f t="shared" si="102"/>
        <v>6.5402248135273408E-3</v>
      </c>
      <c r="G125" s="2"/>
      <c r="H125" s="2"/>
      <c r="I125" s="2"/>
      <c r="J125" s="22">
        <f t="shared" si="103"/>
        <v>0</v>
      </c>
      <c r="K125" s="2"/>
      <c r="L125" s="2">
        <f t="shared" si="104"/>
        <v>786.95</v>
      </c>
      <c r="M125" s="2"/>
      <c r="N125" s="22">
        <f t="shared" si="105"/>
        <v>0</v>
      </c>
      <c r="O125" s="11"/>
      <c r="P125" s="2">
        <f>--2102.12</f>
        <v>2102.12</v>
      </c>
      <c r="Q125" s="2"/>
      <c r="R125" s="22">
        <f t="shared" si="106"/>
        <v>2.2103417120445186E-3</v>
      </c>
      <c r="S125" s="2"/>
      <c r="T125" s="2"/>
      <c r="U125" s="2"/>
      <c r="V125" s="22">
        <f t="shared" si="107"/>
        <v>0</v>
      </c>
      <c r="W125" s="2"/>
      <c r="X125" s="2">
        <f t="shared" si="108"/>
        <v>2102.12</v>
      </c>
      <c r="Y125" s="2"/>
      <c r="Z125" s="22">
        <f t="shared" si="109"/>
        <v>0</v>
      </c>
    </row>
    <row r="126" spans="1:26" x14ac:dyDescent="0.3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35">
      <c r="A127" s="10"/>
      <c r="B127" s="26" t="s">
        <v>3</v>
      </c>
      <c r="C127" s="26"/>
      <c r="D127" s="19">
        <f>+D27-D29+D121</f>
        <v>-205890.20000000013</v>
      </c>
      <c r="E127" s="13"/>
      <c r="F127" s="21">
        <f>IF(D$12=0,0,D127/D$12)</f>
        <v>-1.7111229365297767</v>
      </c>
      <c r="G127" s="13"/>
      <c r="H127" s="19">
        <f>+H27-H29+H121</f>
        <v>-300467.84110547166</v>
      </c>
      <c r="I127" s="13"/>
      <c r="J127" s="21">
        <f>IF(H$12=0,0,H127/H$12)</f>
        <v>-1.0627866067674447</v>
      </c>
      <c r="K127" s="16"/>
      <c r="L127" s="19">
        <f>+D127-H127</f>
        <v>94577.641105471528</v>
      </c>
      <c r="M127" s="16"/>
      <c r="N127" s="21">
        <f>IF(H127=0,0,L127/H127)</f>
        <v>-0.31476793242666001</v>
      </c>
      <c r="O127" s="25"/>
      <c r="P127" s="19">
        <f>+P27-P29+P121</f>
        <v>-1707833.1299999992</v>
      </c>
      <c r="Q127" s="13"/>
      <c r="R127" s="21">
        <f>IF(P$12=0,0,P127/P$12)</f>
        <v>-1.7957560959652863</v>
      </c>
      <c r="S127" s="13"/>
      <c r="T127" s="19">
        <f>+T27-T29+T121</f>
        <v>-1641987.7624031031</v>
      </c>
      <c r="U127" s="13"/>
      <c r="V127" s="21">
        <f>IF(T$12=0,0,T127/T$12)</f>
        <v>-0.74618373816440298</v>
      </c>
      <c r="W127" s="16"/>
      <c r="X127" s="19">
        <f>+P127-T127</f>
        <v>-65845.367596896132</v>
      </c>
      <c r="Y127" s="16"/>
      <c r="Z127" s="21">
        <f>IF(T127=0,0,X127/T127)</f>
        <v>4.0101009949385535E-2</v>
      </c>
    </row>
    <row r="128" spans="1:26" x14ac:dyDescent="0.3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35">
      <c r="A129" s="52"/>
      <c r="B129" s="10" t="s">
        <v>14</v>
      </c>
      <c r="C129" s="10"/>
      <c r="D129" s="4">
        <v>18939.02</v>
      </c>
      <c r="E129" s="4"/>
      <c r="F129" s="12">
        <f>IF(D$12=0,0,D129/D$12)</f>
        <v>0.15739938820495658</v>
      </c>
      <c r="G129" s="4"/>
      <c r="H129" s="4">
        <v>18093</v>
      </c>
      <c r="I129" s="4"/>
      <c r="J129" s="12">
        <f>IF(H$12=0,0,H129/H$12)</f>
        <v>6.3996859049862589E-2</v>
      </c>
      <c r="K129" s="4"/>
      <c r="L129" s="4">
        <f>+D129-H129</f>
        <v>846.02000000000044</v>
      </c>
      <c r="M129" s="4"/>
      <c r="N129" s="12">
        <f>IF(H129=0,0,L129/H129)</f>
        <v>4.6759520256452795E-2</v>
      </c>
      <c r="O129" s="10"/>
      <c r="P129" s="4">
        <v>172638.66</v>
      </c>
      <c r="Q129" s="4"/>
      <c r="R129" s="12">
        <f>IF(P$12=0,0,P129/P$12)</f>
        <v>0.18152647389752802</v>
      </c>
      <c r="S129" s="4"/>
      <c r="T129" s="4">
        <v>381881</v>
      </c>
      <c r="U129" s="4"/>
      <c r="V129" s="12">
        <f>IF(T$12=0,0,T129/T$12)</f>
        <v>0.17354172706922111</v>
      </c>
      <c r="W129" s="4"/>
      <c r="X129" s="4">
        <f>+P129-T129</f>
        <v>-209242.34</v>
      </c>
      <c r="Y129" s="4"/>
      <c r="Z129" s="12">
        <f>IF(T129=0,0,X129/T129)</f>
        <v>-0.54792550558943753</v>
      </c>
    </row>
    <row r="130" spans="1:26" x14ac:dyDescent="0.3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" thickBot="1" x14ac:dyDescent="0.4">
      <c r="A131" s="10"/>
      <c r="B131" s="26" t="s">
        <v>4</v>
      </c>
      <c r="C131" s="26"/>
      <c r="D131" s="33">
        <f>+D127-D129</f>
        <v>-224829.22000000012</v>
      </c>
      <c r="E131" s="13"/>
      <c r="F131" s="31">
        <f>IF(D$12=0,0,D131/D$12)</f>
        <v>-1.8685223247347331</v>
      </c>
      <c r="G131" s="13"/>
      <c r="H131" s="33">
        <f>+H127-H129</f>
        <v>-318560.84110547166</v>
      </c>
      <c r="I131" s="13"/>
      <c r="J131" s="31">
        <f>IF(H$12=0,0,H131/H$12)</f>
        <v>-1.1267834658173073</v>
      </c>
      <c r="K131" s="16"/>
      <c r="L131" s="33">
        <f>D131-H131</f>
        <v>93731.621105471539</v>
      </c>
      <c r="M131" s="16"/>
      <c r="N131" s="31">
        <f>IF(H131=0,0,L131/H131)</f>
        <v>-0.29423459826450588</v>
      </c>
      <c r="O131" s="25"/>
      <c r="P131" s="33">
        <f>+P127-P129</f>
        <v>-1880471.7899999991</v>
      </c>
      <c r="Q131" s="13"/>
      <c r="R131" s="31">
        <f>IF(P$12=0,0,P131/P$12)</f>
        <v>-1.9772825698628143</v>
      </c>
      <c r="S131" s="13"/>
      <c r="T131" s="33">
        <f>+T127-T129</f>
        <v>-2023868.7624031031</v>
      </c>
      <c r="U131" s="13"/>
      <c r="V131" s="31">
        <f>IF(T$12=0,0,T131/T$12)</f>
        <v>-0.91972546523362408</v>
      </c>
      <c r="W131" s="16"/>
      <c r="X131" s="33">
        <f>P131-T131</f>
        <v>143396.97240310395</v>
      </c>
      <c r="Y131" s="16"/>
      <c r="Z131" s="31">
        <f>IF(T131=0,0,X131/T131)</f>
        <v>-7.0852900675653058E-2</v>
      </c>
    </row>
    <row r="132" spans="1:26" ht="15" thickTop="1" x14ac:dyDescent="0.3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3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" thickBot="1" x14ac:dyDescent="0.4">
      <c r="A134" s="10"/>
      <c r="B134" s="26" t="s">
        <v>5</v>
      </c>
      <c r="C134" s="26"/>
      <c r="D134" s="34">
        <f>SUM(D131:D133)</f>
        <v>-224829.22000000012</v>
      </c>
      <c r="E134" s="13"/>
      <c r="F134" s="32">
        <f>IF(D$12=0,0,D134/D$12)</f>
        <v>-1.8685223247347331</v>
      </c>
      <c r="G134" s="13"/>
      <c r="H134" s="34">
        <f>SUM(H131:H133)</f>
        <v>-318560.84110547166</v>
      </c>
      <c r="I134" s="13"/>
      <c r="J134" s="32">
        <f>IF(H$12=0,0,H134/H$12)</f>
        <v>-1.1267834658173073</v>
      </c>
      <c r="K134" s="16"/>
      <c r="L134" s="34">
        <f>+D134-H134</f>
        <v>93731.621105471539</v>
      </c>
      <c r="M134" s="16"/>
      <c r="N134" s="32">
        <f>IF(H134=0,0,L134/H134)</f>
        <v>-0.29423459826450588</v>
      </c>
      <c r="O134" s="25"/>
      <c r="P134" s="34">
        <f>SUM(P131:P133)</f>
        <v>-1880471.7899999991</v>
      </c>
      <c r="Q134" s="13"/>
      <c r="R134" s="32">
        <f>IF(P$12=0,0,P134/P$12)</f>
        <v>-1.9772825698628143</v>
      </c>
      <c r="S134" s="13"/>
      <c r="T134" s="34">
        <f>SUM(T131:T133)</f>
        <v>-2023868.7624031031</v>
      </c>
      <c r="U134" s="13"/>
      <c r="V134" s="32">
        <f>IF(T$12=0,0,T134/T$12)</f>
        <v>-0.91972546523362408</v>
      </c>
      <c r="W134" s="16"/>
      <c r="X134" s="34">
        <f>+P134-T134</f>
        <v>143396.97240310395</v>
      </c>
      <c r="Y134" s="16"/>
      <c r="Z134" s="32">
        <f>IF(T134=0,0,X134/T134)</f>
        <v>-7.0852900675653058E-2</v>
      </c>
    </row>
    <row r="135" spans="1:26" ht="15" thickTop="1" x14ac:dyDescent="0.35">
      <c r="A135" s="9"/>
      <c r="C135" s="9"/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  <row r="136" spans="1:26" x14ac:dyDescent="0.35">
      <c r="A136" s="9"/>
      <c r="B136" s="60">
        <v>44238.490169212964</v>
      </c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  <row r="137" spans="1:26" x14ac:dyDescent="0.35">
      <c r="A137" s="9"/>
      <c r="B137" s="59" t="s">
        <v>314</v>
      </c>
      <c r="D137" s="18"/>
      <c r="E137" s="18"/>
      <c r="G137" s="18"/>
      <c r="H137" s="18"/>
      <c r="I137" s="18"/>
      <c r="J137" s="43"/>
      <c r="K137" s="18"/>
      <c r="L137" s="18"/>
      <c r="M137" s="18"/>
      <c r="P137" s="18"/>
      <c r="Q137" s="18"/>
      <c r="R137" s="43"/>
      <c r="S137" s="18"/>
      <c r="T137" s="18"/>
      <c r="U137" s="18"/>
      <c r="V137" s="43"/>
      <c r="W137" s="18"/>
      <c r="X137" s="18"/>
    </row>
    <row r="138" spans="1:26" x14ac:dyDescent="0.35">
      <c r="A138" s="9"/>
      <c r="B138" s="58"/>
      <c r="D138" s="18"/>
      <c r="E138" s="18"/>
      <c r="G138" s="18"/>
      <c r="H138" s="18"/>
      <c r="I138" s="18"/>
      <c r="J138" s="43"/>
      <c r="K138" s="18"/>
      <c r="L138" s="18"/>
      <c r="M138" s="18"/>
      <c r="P138" s="18"/>
      <c r="Q138" s="18"/>
      <c r="R138" s="43"/>
      <c r="S138" s="18"/>
      <c r="T138" s="18"/>
      <c r="U138" s="18"/>
      <c r="V138" s="43"/>
      <c r="W138" s="18"/>
      <c r="X138" s="18"/>
    </row>
    <row r="139" spans="1:26" x14ac:dyDescent="0.35">
      <c r="D139" s="18"/>
      <c r="E139" s="18"/>
      <c r="G139" s="18"/>
      <c r="H139" s="18"/>
      <c r="I139" s="18"/>
      <c r="J139" s="43"/>
      <c r="K139" s="18"/>
      <c r="L139" s="18"/>
      <c r="M139" s="18"/>
      <c r="P139" s="18"/>
      <c r="Q139" s="18"/>
      <c r="R139" s="43"/>
      <c r="S139" s="18"/>
      <c r="T139" s="18"/>
      <c r="U139" s="18"/>
      <c r="V139" s="43"/>
      <c r="W139" s="18"/>
      <c r="X139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3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313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82073.460000000006</v>
      </c>
      <c r="E12" s="4"/>
      <c r="F12" s="12"/>
      <c r="G12" s="4"/>
      <c r="H12" s="4">
        <f>SUM(OSRRefH13x_0)</f>
        <v>79814</v>
      </c>
      <c r="I12" s="4"/>
      <c r="J12" s="12"/>
      <c r="K12" s="4"/>
      <c r="L12" s="4">
        <f t="shared" ref="L12:L21" si="0">+D12-H12</f>
        <v>2259.4600000000064</v>
      </c>
      <c r="M12" s="4"/>
      <c r="N12" s="12">
        <f t="shared" ref="N12:N21" si="1">IF(H12=0,0,L12/H12)</f>
        <v>2.8309068584458946E-2</v>
      </c>
      <c r="O12" s="10"/>
      <c r="P12" s="4">
        <f>SUM(OSRRefP13x_0)</f>
        <v>278873.93000000005</v>
      </c>
      <c r="Q12" s="4"/>
      <c r="R12" s="12"/>
      <c r="S12" s="4"/>
      <c r="T12" s="4">
        <f>SUM(OSRRefT13x_0)</f>
        <v>355263</v>
      </c>
      <c r="U12" s="4"/>
      <c r="V12" s="12"/>
      <c r="W12" s="4"/>
      <c r="X12" s="4">
        <f t="shared" ref="X12:X21" si="2">+P12-T12</f>
        <v>-76389.069999999949</v>
      </c>
      <c r="Y12" s="4"/>
      <c r="Z12" s="12">
        <f t="shared" ref="Z12:Z21" si="3">IF(T12=0,0,X12/T12)</f>
        <v>-0.21502118149089533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22"/>
      <c r="G13" s="2"/>
      <c r="H13" s="2">
        <v>11723</v>
      </c>
      <c r="I13" s="2"/>
      <c r="J13" s="22"/>
      <c r="K13" s="2"/>
      <c r="L13" s="2">
        <f t="shared" si="0"/>
        <v>-11723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55794</v>
      </c>
      <c r="U13" s="2"/>
      <c r="V13" s="22"/>
      <c r="W13" s="2"/>
      <c r="X13" s="2">
        <f t="shared" si="2"/>
        <v>-55794</v>
      </c>
      <c r="Y13" s="2"/>
      <c r="Z13" s="22">
        <f t="shared" si="3"/>
        <v>-1</v>
      </c>
    </row>
    <row r="14" spans="1:26" s="24" customFormat="1" hidden="1" outlineLevel="1" x14ac:dyDescent="0.35">
      <c r="A14" s="51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--444.59</f>
        <v>444.59</v>
      </c>
      <c r="Q14" s="2"/>
      <c r="R14" s="22"/>
      <c r="S14" s="2"/>
      <c r="T14" s="2"/>
      <c r="U14" s="2"/>
      <c r="V14" s="22"/>
      <c r="W14" s="2"/>
      <c r="X14" s="2">
        <f t="shared" si="2"/>
        <v>444.59</v>
      </c>
      <c r="Y14" s="2"/>
      <c r="Z14" s="22">
        <f t="shared" si="3"/>
        <v>0</v>
      </c>
    </row>
    <row r="15" spans="1:26" s="24" customFormat="1" hidden="1" outlineLevel="1" x14ac:dyDescent="0.35">
      <c r="A15" s="51"/>
      <c r="B15" s="11" t="str">
        <f>CONCATENATE("          ", "4051", " - ", "TAXABLE SALES-FOOD")</f>
        <v xml:space="preserve">          4051 - TAXABLE SALES-FOOD</v>
      </c>
      <c r="C15" s="11"/>
      <c r="D15" s="2">
        <f t="shared" si="4"/>
        <v>0</v>
      </c>
      <c r="E15" s="2"/>
      <c r="F15" s="22"/>
      <c r="G15" s="2"/>
      <c r="H15" s="2"/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--22964.48</f>
        <v>22964.48</v>
      </c>
      <c r="Q15" s="2"/>
      <c r="R15" s="22"/>
      <c r="S15" s="2"/>
      <c r="T15" s="2"/>
      <c r="U15" s="2"/>
      <c r="V15" s="22"/>
      <c r="W15" s="2"/>
      <c r="X15" s="2">
        <f t="shared" si="2"/>
        <v>22964.48</v>
      </c>
      <c r="Y15" s="2"/>
      <c r="Z15" s="22">
        <f t="shared" si="3"/>
        <v>0</v>
      </c>
    </row>
    <row r="16" spans="1:26" s="24" customFormat="1" hidden="1" outlineLevel="1" x14ac:dyDescent="0.35">
      <c r="A16" s="51"/>
      <c r="B16" s="11" t="str">
        <f>CONCATENATE("          ", "4052", " - ", "TAXABLE SALES-FOOD")</f>
        <v xml:space="preserve">          4052 - TAXABLE SALES-FOOD</v>
      </c>
      <c r="C16" s="11"/>
      <c r="D16" s="2">
        <f>--82073.46</f>
        <v>82073.460000000006</v>
      </c>
      <c r="E16" s="2"/>
      <c r="F16" s="22"/>
      <c r="G16" s="2"/>
      <c r="H16" s="2"/>
      <c r="I16" s="2"/>
      <c r="J16" s="22"/>
      <c r="K16" s="2"/>
      <c r="L16" s="2">
        <f t="shared" si="0"/>
        <v>82073.460000000006</v>
      </c>
      <c r="M16" s="2"/>
      <c r="N16" s="22">
        <f t="shared" si="1"/>
        <v>0</v>
      </c>
      <c r="O16" s="11"/>
      <c r="P16" s="2">
        <f>--230176.85</f>
        <v>230176.85</v>
      </c>
      <c r="Q16" s="2"/>
      <c r="R16" s="22"/>
      <c r="S16" s="2"/>
      <c r="T16" s="2"/>
      <c r="U16" s="2"/>
      <c r="V16" s="22"/>
      <c r="W16" s="2"/>
      <c r="X16" s="2">
        <f t="shared" si="2"/>
        <v>230176.85</v>
      </c>
      <c r="Y16" s="2"/>
      <c r="Z16" s="22">
        <f t="shared" si="3"/>
        <v>0</v>
      </c>
    </row>
    <row r="17" spans="1:26" s="24" customFormat="1" hidden="1" outlineLevel="1" x14ac:dyDescent="0.35">
      <c r="A17" s="51"/>
      <c r="B17" s="11" t="str">
        <f>CONCATENATE("          ", "4058", " - ", "TAXABLE SALES-FOOD")</f>
        <v xml:space="preserve">          4058 - TAXABLE SALES-FOOD</v>
      </c>
      <c r="C17" s="11"/>
      <c r="D17" s="2">
        <f t="shared" ref="D17:D21" si="5">0</f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--974.91</f>
        <v>974.91</v>
      </c>
      <c r="Q17" s="2"/>
      <c r="R17" s="22"/>
      <c r="S17" s="2"/>
      <c r="T17" s="2"/>
      <c r="U17" s="2"/>
      <c r="V17" s="22"/>
      <c r="W17" s="2"/>
      <c r="X17" s="2">
        <f t="shared" si="2"/>
        <v>974.91</v>
      </c>
      <c r="Y17" s="2"/>
      <c r="Z17" s="22">
        <f t="shared" si="3"/>
        <v>0</v>
      </c>
    </row>
    <row r="18" spans="1:26" s="24" customFormat="1" hidden="1" outlineLevel="1" x14ac:dyDescent="0.35">
      <c r="A18" s="51"/>
      <c r="B18" s="11" t="str">
        <f>CONCATENATE("          ", "4100", " - ", "NON-TAXABLE SALES")</f>
        <v xml:space="preserve">          4100 - NON-TAXABLE SALES</v>
      </c>
      <c r="C18" s="11"/>
      <c r="D18" s="2">
        <f t="shared" si="5"/>
        <v>0</v>
      </c>
      <c r="E18" s="2"/>
      <c r="F18" s="22"/>
      <c r="G18" s="2"/>
      <c r="H18" s="2">
        <v>68091</v>
      </c>
      <c r="I18" s="2"/>
      <c r="J18" s="22"/>
      <c r="K18" s="2"/>
      <c r="L18" s="2">
        <f t="shared" si="0"/>
        <v>-68091</v>
      </c>
      <c r="M18" s="2"/>
      <c r="N18" s="22">
        <f t="shared" si="1"/>
        <v>-1</v>
      </c>
      <c r="O18" s="11"/>
      <c r="P18" s="2">
        <f>0</f>
        <v>0</v>
      </c>
      <c r="Q18" s="2"/>
      <c r="R18" s="22"/>
      <c r="S18" s="2"/>
      <c r="T18" s="2">
        <v>299469</v>
      </c>
      <c r="U18" s="2"/>
      <c r="V18" s="22"/>
      <c r="W18" s="2"/>
      <c r="X18" s="2">
        <f t="shared" si="2"/>
        <v>-299469</v>
      </c>
      <c r="Y18" s="2"/>
      <c r="Z18" s="22">
        <f t="shared" si="3"/>
        <v>-1</v>
      </c>
    </row>
    <row r="19" spans="1:26" s="24" customFormat="1" hidden="1" outlineLevel="1" x14ac:dyDescent="0.35">
      <c r="A19" s="51"/>
      <c r="B19" s="11" t="str">
        <f>CONCATENATE("          ", "4132", " - ", "NON-TAXABLE SALES-JUICE")</f>
        <v xml:space="preserve">          4132 - NON-TAXABLE SALES-JUICE</v>
      </c>
      <c r="C19" s="11"/>
      <c r="D19" s="2">
        <f t="shared" si="5"/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--2031.88</f>
        <v>2031.88</v>
      </c>
      <c r="Q19" s="2"/>
      <c r="R19" s="22"/>
      <c r="S19" s="2"/>
      <c r="T19" s="2"/>
      <c r="U19" s="2"/>
      <c r="V19" s="22"/>
      <c r="W19" s="2"/>
      <c r="X19" s="2">
        <f t="shared" si="2"/>
        <v>2031.88</v>
      </c>
      <c r="Y19" s="2"/>
      <c r="Z19" s="22">
        <f t="shared" si="3"/>
        <v>0</v>
      </c>
    </row>
    <row r="20" spans="1:26" s="24" customFormat="1" hidden="1" outlineLevel="1" x14ac:dyDescent="0.35">
      <c r="A20" s="51"/>
      <c r="B20" s="11" t="str">
        <f>CONCATENATE("          ", "4151", " - ", "NON-TAXABLE SALES-FOOD")</f>
        <v xml:space="preserve">          4151 - NON-TAXABLE SALES-FOOD</v>
      </c>
      <c r="C20" s="11"/>
      <c r="D20" s="2">
        <f t="shared" si="5"/>
        <v>0</v>
      </c>
      <c r="E20" s="2"/>
      <c r="F20" s="22"/>
      <c r="G20" s="2"/>
      <c r="H20" s="2"/>
      <c r="I20" s="2"/>
      <c r="J20" s="22"/>
      <c r="K20" s="2"/>
      <c r="L20" s="2">
        <f t="shared" si="0"/>
        <v>0</v>
      </c>
      <c r="M20" s="2"/>
      <c r="N20" s="22">
        <f t="shared" si="1"/>
        <v>0</v>
      </c>
      <c r="O20" s="11"/>
      <c r="P20" s="2">
        <f>--22171.22</f>
        <v>22171.22</v>
      </c>
      <c r="Q20" s="2"/>
      <c r="R20" s="22"/>
      <c r="S20" s="2"/>
      <c r="T20" s="2"/>
      <c r="U20" s="2"/>
      <c r="V20" s="22"/>
      <c r="W20" s="2"/>
      <c r="X20" s="2">
        <f t="shared" si="2"/>
        <v>22171.22</v>
      </c>
      <c r="Y20" s="2"/>
      <c r="Z20" s="22">
        <f t="shared" si="3"/>
        <v>0</v>
      </c>
    </row>
    <row r="21" spans="1:26" s="24" customFormat="1" hidden="1" outlineLevel="1" x14ac:dyDescent="0.35">
      <c r="A21" s="51"/>
      <c r="B21" s="11" t="str">
        <f>CONCATENATE("          ", "4153", " - ", "NON-TAXABLE SALES-FOOD")</f>
        <v xml:space="preserve">          4153 - NON-TAXABLE SALES-FOOD</v>
      </c>
      <c r="C21" s="11"/>
      <c r="D21" s="2">
        <f t="shared" si="5"/>
        <v>0</v>
      </c>
      <c r="E21" s="2"/>
      <c r="F21" s="22"/>
      <c r="G21" s="2"/>
      <c r="H21" s="2"/>
      <c r="I21" s="2"/>
      <c r="J21" s="22"/>
      <c r="K21" s="2"/>
      <c r="L21" s="2">
        <f t="shared" si="0"/>
        <v>0</v>
      </c>
      <c r="M21" s="2"/>
      <c r="N21" s="22">
        <f t="shared" si="1"/>
        <v>0</v>
      </c>
      <c r="O21" s="11"/>
      <c r="P21" s="2">
        <f>--110</f>
        <v>110</v>
      </c>
      <c r="Q21" s="2"/>
      <c r="R21" s="22"/>
      <c r="S21" s="2"/>
      <c r="T21" s="2"/>
      <c r="U21" s="2"/>
      <c r="V21" s="22"/>
      <c r="W21" s="2"/>
      <c r="X21" s="2">
        <f t="shared" si="2"/>
        <v>110</v>
      </c>
      <c r="Y21" s="2"/>
      <c r="Z21" s="22">
        <f t="shared" si="3"/>
        <v>0</v>
      </c>
    </row>
    <row r="22" spans="1:26" x14ac:dyDescent="0.3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35">
      <c r="A23" s="10"/>
      <c r="B23" s="25" t="s">
        <v>8</v>
      </c>
      <c r="C23" s="10"/>
      <c r="D23" s="4">
        <f>SUM(OSRRefD16x_0)</f>
        <v>1062.1199999999999</v>
      </c>
      <c r="E23" s="4"/>
      <c r="F23" s="12">
        <f t="shared" ref="F23:F26" si="6">IF(D$12=0,0,D23/D$12)</f>
        <v>1.2941089604361749E-2</v>
      </c>
      <c r="G23" s="4"/>
      <c r="H23" s="4">
        <f>SUM(OSRRefH16x_0)</f>
        <v>34603</v>
      </c>
      <c r="I23" s="4"/>
      <c r="J23" s="12">
        <f t="shared" ref="J23:J26" si="7">IF(H$12=0,0,H23/H$12)</f>
        <v>0.43354549327185704</v>
      </c>
      <c r="K23" s="4"/>
      <c r="L23" s="4">
        <f t="shared" ref="L23:L26" si="8">+D23-H23</f>
        <v>-33540.879999999997</v>
      </c>
      <c r="M23" s="4"/>
      <c r="N23" s="12">
        <f t="shared" ref="N23:N26" si="9">IF(H23=0,0,L23/H23)</f>
        <v>-0.96930555154177378</v>
      </c>
      <c r="O23" s="10"/>
      <c r="P23" s="4">
        <f>SUM(OSRRefP16x_0)</f>
        <v>29048.31</v>
      </c>
      <c r="Q23" s="4"/>
      <c r="R23" s="12">
        <f t="shared" ref="R23:R26" si="10">IF(P$12=0,0,P23/P$12)</f>
        <v>0.10416287388355017</v>
      </c>
      <c r="S23" s="4"/>
      <c r="T23" s="4">
        <f>SUM(OSRRefT16x_0)</f>
        <v>142869</v>
      </c>
      <c r="U23" s="4"/>
      <c r="V23" s="12">
        <f t="shared" ref="V23:V26" si="11">IF(T$12=0,0,T23/T$12)</f>
        <v>0.40214995651109176</v>
      </c>
      <c r="W23" s="4"/>
      <c r="X23" s="4">
        <f t="shared" ref="X23:X26" si="12">+P23-T23</f>
        <v>-113820.69</v>
      </c>
      <c r="Y23" s="4"/>
      <c r="Z23" s="12">
        <f t="shared" ref="Z23:Z26" si="13">IF(T23=0,0,X23/T23)</f>
        <v>-0.7966787056674296</v>
      </c>
    </row>
    <row r="24" spans="1:26" s="24" customFormat="1" hidden="1" outlineLevel="1" x14ac:dyDescent="0.35">
      <c r="A24" s="51"/>
      <c r="B24" s="11" t="str">
        <f>CONCATENATE("          ", "5000", " - ", "PURCHASES @ COST")</f>
        <v xml:space="preserve">          5000 - PURCHASES @ COST</v>
      </c>
      <c r="C24" s="11"/>
      <c r="D24" s="2"/>
      <c r="E24" s="2"/>
      <c r="F24" s="22">
        <f t="shared" si="6"/>
        <v>0</v>
      </c>
      <c r="G24" s="2"/>
      <c r="H24" s="2">
        <v>34603</v>
      </c>
      <c r="I24" s="2"/>
      <c r="J24" s="22">
        <f t="shared" si="7"/>
        <v>0.43354549327185704</v>
      </c>
      <c r="K24" s="2"/>
      <c r="L24" s="2">
        <f t="shared" si="8"/>
        <v>-34603</v>
      </c>
      <c r="M24" s="2"/>
      <c r="N24" s="22">
        <f t="shared" si="9"/>
        <v>-1</v>
      </c>
      <c r="O24" s="11"/>
      <c r="P24" s="2"/>
      <c r="Q24" s="2"/>
      <c r="R24" s="22">
        <f t="shared" si="10"/>
        <v>0</v>
      </c>
      <c r="S24" s="2"/>
      <c r="T24" s="2">
        <v>142869</v>
      </c>
      <c r="U24" s="2"/>
      <c r="V24" s="22">
        <f t="shared" si="11"/>
        <v>0.40214995651109176</v>
      </c>
      <c r="W24" s="2"/>
      <c r="X24" s="2">
        <f t="shared" si="12"/>
        <v>-142869</v>
      </c>
      <c r="Y24" s="2"/>
      <c r="Z24" s="22">
        <f t="shared" si="13"/>
        <v>-1</v>
      </c>
    </row>
    <row r="25" spans="1:26" s="24" customFormat="1" hidden="1" outlineLevel="1" x14ac:dyDescent="0.35">
      <c r="A25" s="51"/>
      <c r="B25" s="11" t="str">
        <f>CONCATENATE("          ", "5053", " - ", "PURCHASES @ COST-FOOD")</f>
        <v xml:space="preserve">          5053 - PURCHASES @ COST-FOOD</v>
      </c>
      <c r="C25" s="11"/>
      <c r="D25" s="2">
        <v>1277.0999999999999</v>
      </c>
      <c r="E25" s="2"/>
      <c r="F25" s="22">
        <f t="shared" si="6"/>
        <v>1.5560450357521174E-2</v>
      </c>
      <c r="G25" s="2"/>
      <c r="H25" s="2"/>
      <c r="I25" s="2"/>
      <c r="J25" s="22">
        <f t="shared" si="7"/>
        <v>0</v>
      </c>
      <c r="K25" s="2"/>
      <c r="L25" s="2">
        <f t="shared" si="8"/>
        <v>1277.0999999999999</v>
      </c>
      <c r="M25" s="2"/>
      <c r="N25" s="22">
        <f t="shared" si="9"/>
        <v>0</v>
      </c>
      <c r="O25" s="11"/>
      <c r="P25" s="2">
        <v>12021.32</v>
      </c>
      <c r="Q25" s="2"/>
      <c r="R25" s="22">
        <f t="shared" si="10"/>
        <v>4.310664679197513E-2</v>
      </c>
      <c r="S25" s="2"/>
      <c r="T25" s="2"/>
      <c r="U25" s="2"/>
      <c r="V25" s="22">
        <f t="shared" si="11"/>
        <v>0</v>
      </c>
      <c r="W25" s="2"/>
      <c r="X25" s="2">
        <f t="shared" si="12"/>
        <v>12021.32</v>
      </c>
      <c r="Y25" s="2"/>
      <c r="Z25" s="22">
        <f t="shared" si="13"/>
        <v>0</v>
      </c>
    </row>
    <row r="26" spans="1:26" s="24" customFormat="1" hidden="1" outlineLevel="1" x14ac:dyDescent="0.35">
      <c r="A26" s="51"/>
      <c r="B26" s="11" t="str">
        <f>CONCATENATE("          ", "5059", " - ", "PURCHASES @ COST-FOOD")</f>
        <v xml:space="preserve">          5059 - PURCHASES @ COST-FOOD</v>
      </c>
      <c r="C26" s="11"/>
      <c r="D26" s="2">
        <v>-214.98</v>
      </c>
      <c r="E26" s="2"/>
      <c r="F26" s="22">
        <f t="shared" si="6"/>
        <v>-2.6193607531594253E-3</v>
      </c>
      <c r="G26" s="2"/>
      <c r="H26" s="2"/>
      <c r="I26" s="2"/>
      <c r="J26" s="22">
        <f t="shared" si="7"/>
        <v>0</v>
      </c>
      <c r="K26" s="2"/>
      <c r="L26" s="2">
        <f t="shared" si="8"/>
        <v>-214.98</v>
      </c>
      <c r="M26" s="2"/>
      <c r="N26" s="22">
        <f t="shared" si="9"/>
        <v>0</v>
      </c>
      <c r="O26" s="11"/>
      <c r="P26" s="2">
        <v>17026.990000000002</v>
      </c>
      <c r="Q26" s="2"/>
      <c r="R26" s="22">
        <f t="shared" si="10"/>
        <v>6.105622709157503E-2</v>
      </c>
      <c r="S26" s="2"/>
      <c r="T26" s="2"/>
      <c r="U26" s="2"/>
      <c r="V26" s="22">
        <f t="shared" si="11"/>
        <v>0</v>
      </c>
      <c r="W26" s="2"/>
      <c r="X26" s="2">
        <f t="shared" si="12"/>
        <v>17026.990000000002</v>
      </c>
      <c r="Y26" s="2"/>
      <c r="Z26" s="22">
        <f t="shared" si="13"/>
        <v>0</v>
      </c>
    </row>
    <row r="27" spans="1:26" x14ac:dyDescent="0.3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5">
      <c r="A28" s="10"/>
      <c r="B28" s="26" t="s">
        <v>6</v>
      </c>
      <c r="C28" s="26"/>
      <c r="D28" s="19">
        <f>D12-D23</f>
        <v>81011.340000000011</v>
      </c>
      <c r="E28" s="13"/>
      <c r="F28" s="21">
        <f>IF(D$12=0,0,D28/D$12)</f>
        <v>0.98705891039563831</v>
      </c>
      <c r="G28" s="13"/>
      <c r="H28" s="19">
        <f>H12-H23</f>
        <v>45211</v>
      </c>
      <c r="I28" s="13"/>
      <c r="J28" s="21">
        <f>IF(H$12=0,0,H28/H$12)</f>
        <v>0.5664545067281429</v>
      </c>
      <c r="K28" s="16"/>
      <c r="L28" s="19">
        <f>+D28-H28</f>
        <v>35800.340000000011</v>
      </c>
      <c r="M28" s="16"/>
      <c r="N28" s="21">
        <f>IF(H28=0,0,L28/H28)</f>
        <v>0.79185021344363127</v>
      </c>
      <c r="O28" s="25"/>
      <c r="P28" s="19">
        <f>P12-P23</f>
        <v>249825.62000000005</v>
      </c>
      <c r="Q28" s="13"/>
      <c r="R28" s="21">
        <f>IF(P$12=0,0,P28/P$12)</f>
        <v>0.89583712611644983</v>
      </c>
      <c r="S28" s="13"/>
      <c r="T28" s="19">
        <f>T12-T23</f>
        <v>212394</v>
      </c>
      <c r="U28" s="13"/>
      <c r="V28" s="21">
        <f>IF(T$12=0,0,T28/T$12)</f>
        <v>0.59785004348890824</v>
      </c>
      <c r="W28" s="16"/>
      <c r="X28" s="19">
        <f>+P28-T28</f>
        <v>37431.620000000054</v>
      </c>
      <c r="Y28" s="16"/>
      <c r="Z28" s="21">
        <f>IF(T28=0,0,X28/T28)</f>
        <v>0.17623671101820226</v>
      </c>
    </row>
    <row r="29" spans="1:26" x14ac:dyDescent="0.3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35">
      <c r="A30" s="10"/>
      <c r="B30" s="25" t="s">
        <v>9</v>
      </c>
      <c r="C30" s="10"/>
      <c r="D30" s="20">
        <f>SUM(OSRRefD22x_0)</f>
        <v>127859.67000000001</v>
      </c>
      <c r="E30" s="20"/>
      <c r="F30" s="30">
        <f t="shared" ref="F30:F40" si="14">IF(D$12=0,0,D30/D$12)</f>
        <v>1.5578686459666742</v>
      </c>
      <c r="G30" s="20"/>
      <c r="H30" s="20">
        <f>SUM(OSRRefH22x_0)</f>
        <v>175958.59645611409</v>
      </c>
      <c r="I30" s="20"/>
      <c r="J30" s="30">
        <f t="shared" ref="J30:J40" si="15">IF(H$12=0,0,H30/H$12)</f>
        <v>2.2046081696959692</v>
      </c>
      <c r="K30" s="4"/>
      <c r="L30" s="20">
        <f t="shared" ref="L30:L40" si="16">+D30-H30</f>
        <v>-48098.926456114074</v>
      </c>
      <c r="M30" s="4"/>
      <c r="N30" s="30">
        <f t="shared" ref="N30:N40" si="17">IF(H30=0,0,L30/H30)</f>
        <v>-0.27335366060453004</v>
      </c>
      <c r="O30" s="10"/>
      <c r="P30" s="20">
        <f>SUM(OSRRefP22x_0)</f>
        <v>974713.04</v>
      </c>
      <c r="Q30" s="20"/>
      <c r="R30" s="30">
        <f t="shared" ref="R30:R40" si="18">IF(P$12=0,0,P30/P$12)</f>
        <v>3.4951744682624146</v>
      </c>
      <c r="S30" s="20"/>
      <c r="T30" s="20">
        <f>SUM(OSRRefT22x_0)</f>
        <v>1133790.0648975756</v>
      </c>
      <c r="U30" s="20"/>
      <c r="V30" s="30">
        <f t="shared" ref="V30:V40" si="19">IF(T$12=0,0,T30/T$12)</f>
        <v>3.1914104899682085</v>
      </c>
      <c r="W30" s="4"/>
      <c r="X30" s="20">
        <f t="shared" ref="X30:X40" si="20">+P30-T30</f>
        <v>-159077.02489757561</v>
      </c>
      <c r="Y30" s="4"/>
      <c r="Z30" s="30">
        <f t="shared" ref="Z30:Z40" si="21">IF(T30=0,0,X30/T30)</f>
        <v>-0.14030553787922487</v>
      </c>
    </row>
    <row r="31" spans="1:26" s="28" customFormat="1" outlineLevel="1" collapsed="1" x14ac:dyDescent="0.35">
      <c r="A31" s="27"/>
      <c r="B31" s="14" t="str">
        <f>CONCATENATE("     ","*Benefits                                         ")</f>
        <v xml:space="preserve">     *Benefits                                         </v>
      </c>
      <c r="C31" s="14"/>
      <c r="D31" s="1">
        <f>SUM(OSRRefD22_0x_0)</f>
        <v>18824.990000000002</v>
      </c>
      <c r="E31" s="1"/>
      <c r="F31" s="5">
        <f t="shared" si="14"/>
        <v>0.22936756900464536</v>
      </c>
      <c r="G31" s="1"/>
      <c r="H31" s="1">
        <f>SUM(OSRRefH22_0x_0)</f>
        <v>23378.205007396158</v>
      </c>
      <c r="I31" s="1"/>
      <c r="J31" s="5">
        <f t="shared" si="15"/>
        <v>0.29290857502939532</v>
      </c>
      <c r="K31" s="1"/>
      <c r="L31" s="1">
        <f t="shared" si="16"/>
        <v>-4553.2150073961566</v>
      </c>
      <c r="M31" s="1"/>
      <c r="N31" s="5">
        <f t="shared" si="17"/>
        <v>-0.1947632423428427</v>
      </c>
      <c r="O31" s="14"/>
      <c r="P31" s="1">
        <f>SUM(OSRRefP22_0x_0)</f>
        <v>185019.32</v>
      </c>
      <c r="Q31" s="1"/>
      <c r="R31" s="5">
        <f t="shared" si="18"/>
        <v>0.66345147429162699</v>
      </c>
      <c r="S31" s="1"/>
      <c r="T31" s="1">
        <f>SUM(OSRRefT22_0x_0)</f>
        <v>150075.38244885771</v>
      </c>
      <c r="U31" s="1"/>
      <c r="V31" s="5">
        <f t="shared" si="19"/>
        <v>0.42243459760475399</v>
      </c>
      <c r="W31" s="1"/>
      <c r="X31" s="1">
        <f t="shared" si="20"/>
        <v>34943.937551142299</v>
      </c>
      <c r="Y31" s="1"/>
      <c r="Z31" s="5">
        <f t="shared" si="21"/>
        <v>0.23284256872075873</v>
      </c>
    </row>
    <row r="32" spans="1:26" s="24" customFormat="1" hidden="1" outlineLevel="2" x14ac:dyDescent="0.35">
      <c r="A32" s="29"/>
      <c r="B32" s="11" t="str">
        <f>CONCATENATE("          ", "6111", " - ", "F.I.C.A.")</f>
        <v xml:space="preserve">          6111 - F.I.C.A.</v>
      </c>
      <c r="C32" s="11"/>
      <c r="D32" s="7">
        <v>2030.81</v>
      </c>
      <c r="E32" s="2"/>
      <c r="F32" s="6">
        <f t="shared" si="14"/>
        <v>2.4743808778136072E-2</v>
      </c>
      <c r="G32" s="2"/>
      <c r="H32" s="7">
        <v>3215.7694365115399</v>
      </c>
      <c r="I32" s="2"/>
      <c r="J32" s="6">
        <f t="shared" si="15"/>
        <v>4.0290794052566463E-2</v>
      </c>
      <c r="K32" s="2"/>
      <c r="L32" s="7">
        <f t="shared" si="16"/>
        <v>-1184.9594365115399</v>
      </c>
      <c r="M32" s="2"/>
      <c r="N32" s="6">
        <f t="shared" si="17"/>
        <v>-0.36848395381137194</v>
      </c>
      <c r="O32" s="11"/>
      <c r="P32" s="7">
        <v>21585.27</v>
      </c>
      <c r="Q32" s="2"/>
      <c r="R32" s="6">
        <f t="shared" si="18"/>
        <v>7.7401534091049662E-2</v>
      </c>
      <c r="S32" s="2"/>
      <c r="T32" s="7">
        <v>19087.440931511544</v>
      </c>
      <c r="U32" s="2"/>
      <c r="V32" s="6">
        <f t="shared" si="19"/>
        <v>5.3727635389870444E-2</v>
      </c>
      <c r="W32" s="2"/>
      <c r="X32" s="7">
        <f t="shared" si="20"/>
        <v>2497.829068488456</v>
      </c>
      <c r="Y32" s="2"/>
      <c r="Z32" s="6">
        <f t="shared" si="21"/>
        <v>0.13086243868159289</v>
      </c>
    </row>
    <row r="33" spans="1:26" s="24" customFormat="1" hidden="1" outlineLevel="2" x14ac:dyDescent="0.35">
      <c r="A33" s="29"/>
      <c r="B33" s="11" t="str">
        <f>CONCATENATE("          ", "6112", " - ", "COMPENSATION INSURANCE")</f>
        <v xml:space="preserve">          6112 - COMPENSATION INSURANCE</v>
      </c>
      <c r="C33" s="11"/>
      <c r="D33" s="7">
        <v>205.8</v>
      </c>
      <c r="E33" s="2"/>
      <c r="F33" s="6">
        <f t="shared" si="14"/>
        <v>2.5075097357903516E-3</v>
      </c>
      <c r="G33" s="2"/>
      <c r="H33" s="7">
        <v>1243.5823894230771</v>
      </c>
      <c r="I33" s="2"/>
      <c r="J33" s="6">
        <f t="shared" si="15"/>
        <v>1.5581005706055041E-2</v>
      </c>
      <c r="K33" s="2"/>
      <c r="L33" s="7">
        <f t="shared" si="16"/>
        <v>-1037.7823894230771</v>
      </c>
      <c r="M33" s="2"/>
      <c r="N33" s="6">
        <f t="shared" si="17"/>
        <v>-0.8345103615567645</v>
      </c>
      <c r="O33" s="11"/>
      <c r="P33" s="7">
        <v>5993.17</v>
      </c>
      <c r="Q33" s="2"/>
      <c r="R33" s="6">
        <f t="shared" si="18"/>
        <v>2.1490606884623453E-2</v>
      </c>
      <c r="S33" s="2"/>
      <c r="T33" s="7">
        <v>6949.7234374230766</v>
      </c>
      <c r="U33" s="2"/>
      <c r="V33" s="6">
        <f t="shared" si="19"/>
        <v>1.9562193184832297E-2</v>
      </c>
      <c r="W33" s="2"/>
      <c r="X33" s="7">
        <f t="shared" si="20"/>
        <v>-956.5534374230765</v>
      </c>
      <c r="Y33" s="2"/>
      <c r="Z33" s="6">
        <f t="shared" si="21"/>
        <v>-0.13763906521404856</v>
      </c>
    </row>
    <row r="34" spans="1:26" s="24" customFormat="1" hidden="1" outlineLevel="2" x14ac:dyDescent="0.35">
      <c r="A34" s="29"/>
      <c r="B34" s="11" t="str">
        <f>CONCATENATE("          ", "6113", " - ", "GROUP INSURANCE")</f>
        <v xml:space="preserve">          6113 - GROUP INSURANCE</v>
      </c>
      <c r="C34" s="11"/>
      <c r="D34" s="7">
        <v>8554.93</v>
      </c>
      <c r="E34" s="2"/>
      <c r="F34" s="6">
        <f t="shared" si="14"/>
        <v>0.10423503529642834</v>
      </c>
      <c r="G34" s="2"/>
      <c r="H34" s="7">
        <v>11712.115384615381</v>
      </c>
      <c r="I34" s="2"/>
      <c r="J34" s="6">
        <f t="shared" si="15"/>
        <v>0.14674261889662693</v>
      </c>
      <c r="K34" s="2"/>
      <c r="L34" s="7">
        <f t="shared" si="16"/>
        <v>-3157.1853846153808</v>
      </c>
      <c r="M34" s="2"/>
      <c r="N34" s="6">
        <f t="shared" si="17"/>
        <v>-0.26956576851714997</v>
      </c>
      <c r="O34" s="11"/>
      <c r="P34" s="7">
        <v>87554.5</v>
      </c>
      <c r="Q34" s="2"/>
      <c r="R34" s="6">
        <f t="shared" si="18"/>
        <v>0.31395727811488144</v>
      </c>
      <c r="S34" s="2"/>
      <c r="T34" s="7">
        <v>79632.576923076907</v>
      </c>
      <c r="U34" s="2"/>
      <c r="V34" s="6">
        <f t="shared" si="19"/>
        <v>0.22415105688764916</v>
      </c>
      <c r="W34" s="2"/>
      <c r="X34" s="7">
        <f t="shared" si="20"/>
        <v>7921.9230769230926</v>
      </c>
      <c r="Y34" s="2"/>
      <c r="Z34" s="6">
        <f t="shared" si="21"/>
        <v>9.9480933344345671E-2</v>
      </c>
    </row>
    <row r="35" spans="1:26" s="24" customFormat="1" hidden="1" outlineLevel="2" x14ac:dyDescent="0.35">
      <c r="A35" s="29"/>
      <c r="B35" s="11" t="str">
        <f>CONCATENATE("          ", "6114", " - ", "STATE UNEMPLOYMENT INSURANCE")</f>
        <v xml:space="preserve">          6114 - STATE UNEMPLOYMENT INSURANCE</v>
      </c>
      <c r="C35" s="11"/>
      <c r="D35" s="7">
        <v>164.95</v>
      </c>
      <c r="E35" s="2"/>
      <c r="F35" s="6">
        <f t="shared" si="14"/>
        <v>2.0097848927046573E-3</v>
      </c>
      <c r="G35" s="2"/>
      <c r="H35" s="7">
        <v>155.24299300000001</v>
      </c>
      <c r="I35" s="2"/>
      <c r="J35" s="6">
        <f t="shared" si="15"/>
        <v>1.945059676247275E-3</v>
      </c>
      <c r="K35" s="2"/>
      <c r="L35" s="7">
        <f t="shared" si="16"/>
        <v>9.707006999999976</v>
      </c>
      <c r="M35" s="2"/>
      <c r="N35" s="6">
        <f t="shared" si="17"/>
        <v>6.2527826940311407E-2</v>
      </c>
      <c r="O35" s="11"/>
      <c r="P35" s="7">
        <v>805.37</v>
      </c>
      <c r="Q35" s="2"/>
      <c r="R35" s="6">
        <f t="shared" si="18"/>
        <v>2.8879357780054946E-3</v>
      </c>
      <c r="S35" s="2"/>
      <c r="T35" s="7">
        <v>854.29823299999998</v>
      </c>
      <c r="U35" s="2"/>
      <c r="V35" s="6">
        <f t="shared" si="19"/>
        <v>2.4046923912706924E-3</v>
      </c>
      <c r="W35" s="2"/>
      <c r="X35" s="7">
        <f t="shared" si="20"/>
        <v>-48.928232999999977</v>
      </c>
      <c r="Y35" s="2"/>
      <c r="Z35" s="6">
        <f t="shared" si="21"/>
        <v>-5.7273012058307718E-2</v>
      </c>
    </row>
    <row r="36" spans="1:26" s="24" customFormat="1" hidden="1" outlineLevel="2" x14ac:dyDescent="0.35">
      <c r="A36" s="29"/>
      <c r="B36" s="11" t="str">
        <f>CONCATENATE("          ", "6115", " - ", "P.E.R.S.")</f>
        <v xml:space="preserve">          6115 - P.E.R.S.</v>
      </c>
      <c r="C36" s="11"/>
      <c r="D36" s="7">
        <v>3958.83</v>
      </c>
      <c r="E36" s="2"/>
      <c r="F36" s="6">
        <f t="shared" si="14"/>
        <v>4.8235202951112326E-2</v>
      </c>
      <c r="G36" s="2"/>
      <c r="H36" s="7">
        <v>2813.9856576923098</v>
      </c>
      <c r="I36" s="2"/>
      <c r="J36" s="6">
        <f t="shared" si="15"/>
        <v>3.5256792764330941E-2</v>
      </c>
      <c r="K36" s="2"/>
      <c r="L36" s="7">
        <f t="shared" si="16"/>
        <v>1144.8443423076901</v>
      </c>
      <c r="M36" s="2"/>
      <c r="N36" s="6">
        <f t="shared" si="17"/>
        <v>0.40684085904210071</v>
      </c>
      <c r="O36" s="11"/>
      <c r="P36" s="7">
        <v>29748.6</v>
      </c>
      <c r="Q36" s="2"/>
      <c r="R36" s="6">
        <f t="shared" si="18"/>
        <v>0.10667400857441207</v>
      </c>
      <c r="S36" s="2"/>
      <c r="T36" s="7">
        <v>17260.675877692312</v>
      </c>
      <c r="U36" s="2"/>
      <c r="V36" s="6">
        <f t="shared" si="19"/>
        <v>4.8585627767857367E-2</v>
      </c>
      <c r="W36" s="2"/>
      <c r="X36" s="7">
        <f t="shared" si="20"/>
        <v>12487.924122307686</v>
      </c>
      <c r="Y36" s="2"/>
      <c r="Z36" s="6">
        <f t="shared" si="21"/>
        <v>0.72348986857734066</v>
      </c>
    </row>
    <row r="37" spans="1:26" s="24" customFormat="1" hidden="1" outlineLevel="2" x14ac:dyDescent="0.35">
      <c r="A37" s="29"/>
      <c r="B37" s="11" t="str">
        <f>CONCATENATE("          ", "6116", " - ", "EDUCATIONAL BENEFITS")</f>
        <v xml:space="preserve">          6116 - EDUCATIONAL BENEFITS</v>
      </c>
      <c r="C37" s="11"/>
      <c r="D37" s="7"/>
      <c r="E37" s="2"/>
      <c r="F37" s="6">
        <f t="shared" si="14"/>
        <v>0</v>
      </c>
      <c r="G37" s="2"/>
      <c r="H37" s="7">
        <v>0</v>
      </c>
      <c r="I37" s="2"/>
      <c r="J37" s="6">
        <f t="shared" si="15"/>
        <v>0</v>
      </c>
      <c r="K37" s="2"/>
      <c r="L37" s="7">
        <f t="shared" si="16"/>
        <v>0</v>
      </c>
      <c r="M37" s="2"/>
      <c r="N37" s="6">
        <f t="shared" si="17"/>
        <v>0</v>
      </c>
      <c r="O37" s="11"/>
      <c r="P37" s="7"/>
      <c r="Q37" s="2"/>
      <c r="R37" s="6">
        <f t="shared" si="18"/>
        <v>0</v>
      </c>
      <c r="S37" s="2"/>
      <c r="T37" s="7">
        <v>0</v>
      </c>
      <c r="U37" s="2"/>
      <c r="V37" s="6">
        <f t="shared" si="19"/>
        <v>0</v>
      </c>
      <c r="W37" s="2"/>
      <c r="X37" s="7">
        <f t="shared" si="20"/>
        <v>0</v>
      </c>
      <c r="Y37" s="2"/>
      <c r="Z37" s="6">
        <f t="shared" si="21"/>
        <v>0</v>
      </c>
    </row>
    <row r="38" spans="1:26" s="24" customFormat="1" hidden="1" outlineLevel="2" x14ac:dyDescent="0.35">
      <c r="A38" s="29"/>
      <c r="B38" s="11" t="str">
        <f>CONCATENATE("          ", "6118", " - ", "VACATION")</f>
        <v xml:space="preserve">          6118 - VACATION</v>
      </c>
      <c r="C38" s="11"/>
      <c r="D38" s="7">
        <v>2423.7800000000002</v>
      </c>
      <c r="E38" s="2"/>
      <c r="F38" s="6">
        <f t="shared" si="14"/>
        <v>2.9531836479173658E-2</v>
      </c>
      <c r="G38" s="2"/>
      <c r="H38" s="7">
        <v>2368.96509615385</v>
      </c>
      <c r="I38" s="2"/>
      <c r="J38" s="6">
        <f t="shared" si="15"/>
        <v>2.9681072194775979E-2</v>
      </c>
      <c r="K38" s="2"/>
      <c r="L38" s="7">
        <f t="shared" si="16"/>
        <v>54.814903846150173</v>
      </c>
      <c r="M38" s="2"/>
      <c r="N38" s="6">
        <f t="shared" si="17"/>
        <v>2.3138755372607768E-2</v>
      </c>
      <c r="O38" s="11"/>
      <c r="P38" s="7">
        <v>21895.08</v>
      </c>
      <c r="Q38" s="2"/>
      <c r="R38" s="6">
        <f t="shared" si="18"/>
        <v>7.8512466188574881E-2</v>
      </c>
      <c r="S38" s="2"/>
      <c r="T38" s="7">
        <v>14626.80359615387</v>
      </c>
      <c r="U38" s="2"/>
      <c r="V38" s="6">
        <f t="shared" si="19"/>
        <v>4.11717617544013E-2</v>
      </c>
      <c r="W38" s="2"/>
      <c r="X38" s="7">
        <f t="shared" si="20"/>
        <v>7268.2764038461319</v>
      </c>
      <c r="Y38" s="2"/>
      <c r="Z38" s="6">
        <f t="shared" si="21"/>
        <v>0.49691488342383505</v>
      </c>
    </row>
    <row r="39" spans="1:26" s="24" customFormat="1" hidden="1" outlineLevel="2" x14ac:dyDescent="0.35">
      <c r="A39" s="29"/>
      <c r="B39" s="11" t="str">
        <f>CONCATENATE("          ", "6119", " - ", "SICK LEAVE")</f>
        <v xml:space="preserve">          6119 - SICK LEAVE</v>
      </c>
      <c r="C39" s="11"/>
      <c r="D39" s="7">
        <v>1382.86</v>
      </c>
      <c r="E39" s="2"/>
      <c r="F39" s="6">
        <f t="shared" si="14"/>
        <v>1.6849052056535693E-2</v>
      </c>
      <c r="G39" s="2"/>
      <c r="H39" s="7">
        <v>1343.54405</v>
      </c>
      <c r="I39" s="2"/>
      <c r="J39" s="6">
        <f t="shared" si="15"/>
        <v>1.683343836920841E-2</v>
      </c>
      <c r="K39" s="2"/>
      <c r="L39" s="7">
        <f t="shared" si="16"/>
        <v>39.31594999999993</v>
      </c>
      <c r="M39" s="2"/>
      <c r="N39" s="6">
        <f t="shared" si="17"/>
        <v>2.9262866371965943E-2</v>
      </c>
      <c r="O39" s="11"/>
      <c r="P39" s="7">
        <v>13189.6</v>
      </c>
      <c r="Q39" s="2"/>
      <c r="R39" s="6">
        <f t="shared" si="18"/>
        <v>4.7295923286913184E-2</v>
      </c>
      <c r="S39" s="2"/>
      <c r="T39" s="7">
        <v>7988.8634500000007</v>
      </c>
      <c r="U39" s="2"/>
      <c r="V39" s="6">
        <f t="shared" si="19"/>
        <v>2.2487181186895345E-2</v>
      </c>
      <c r="W39" s="2"/>
      <c r="X39" s="7">
        <f t="shared" si="20"/>
        <v>5200.7365499999996</v>
      </c>
      <c r="Y39" s="2"/>
      <c r="Z39" s="6">
        <f t="shared" si="21"/>
        <v>0.65099830314410978</v>
      </c>
    </row>
    <row r="40" spans="1:26" s="24" customFormat="1" hidden="1" outlineLevel="2" x14ac:dyDescent="0.35">
      <c r="A40" s="29"/>
      <c r="B40" s="11" t="str">
        <f>CONCATENATE("          ", "6156", " - ", "EMPLOYEE MEALS")</f>
        <v xml:space="preserve">          6156 - EMPLOYEE MEALS</v>
      </c>
      <c r="C40" s="11"/>
      <c r="D40" s="7">
        <v>103.03</v>
      </c>
      <c r="E40" s="2"/>
      <c r="F40" s="6">
        <f t="shared" si="14"/>
        <v>1.2553388147642367E-3</v>
      </c>
      <c r="G40" s="2"/>
      <c r="H40" s="7">
        <v>525</v>
      </c>
      <c r="I40" s="2"/>
      <c r="J40" s="6">
        <f t="shared" si="15"/>
        <v>6.5777933695842835E-3</v>
      </c>
      <c r="K40" s="2"/>
      <c r="L40" s="7">
        <f t="shared" si="16"/>
        <v>-421.97</v>
      </c>
      <c r="M40" s="2"/>
      <c r="N40" s="6">
        <f t="shared" si="17"/>
        <v>-0.803752380952381</v>
      </c>
      <c r="O40" s="11"/>
      <c r="P40" s="7">
        <v>4247.7299999999996</v>
      </c>
      <c r="Q40" s="2"/>
      <c r="R40" s="6">
        <f t="shared" si="18"/>
        <v>1.5231721373166716E-2</v>
      </c>
      <c r="S40" s="2"/>
      <c r="T40" s="7">
        <v>3675</v>
      </c>
      <c r="U40" s="2"/>
      <c r="V40" s="6">
        <f t="shared" si="19"/>
        <v>1.0344449041977353E-2</v>
      </c>
      <c r="W40" s="2"/>
      <c r="X40" s="7">
        <f t="shared" si="20"/>
        <v>572.72999999999956</v>
      </c>
      <c r="Y40" s="2"/>
      <c r="Z40" s="6">
        <f t="shared" si="21"/>
        <v>0.15584489795918355</v>
      </c>
    </row>
    <row r="41" spans="1:26" s="28" customFormat="1" outlineLevel="1" collapsed="1" x14ac:dyDescent="0.35">
      <c r="A41" s="27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29206.010000000002</v>
      </c>
      <c r="E41" s="1"/>
      <c r="F41" s="5">
        <f t="shared" ref="F41:F51" si="22">IF(D$12=0,0,D41/D$12)</f>
        <v>0.35585206228663929</v>
      </c>
      <c r="G41" s="1"/>
      <c r="H41" s="1">
        <f>SUM(OSRRefH22_1x_0)</f>
        <v>56184.0581153846</v>
      </c>
      <c r="I41" s="1"/>
      <c r="J41" s="5">
        <f t="shared" ref="J41:J51" si="23">IF(H$12=0,0,H41/H$12)</f>
        <v>0.70393738085279023</v>
      </c>
      <c r="K41" s="1"/>
      <c r="L41" s="1">
        <f t="shared" ref="L41:L51" si="24">+D41-H41</f>
        <v>-26978.048115384598</v>
      </c>
      <c r="M41" s="1"/>
      <c r="N41" s="5">
        <f t="shared" ref="N41:N51" si="25">IF(H41=0,0,L41/H41)</f>
        <v>-0.4801726507540639</v>
      </c>
      <c r="O41" s="14"/>
      <c r="P41" s="1">
        <f>SUM(OSRRefP22_1x_0)</f>
        <v>250098.05</v>
      </c>
      <c r="Q41" s="1"/>
      <c r="R41" s="5">
        <f t="shared" ref="R41:R51" si="26">IF(P$12=0,0,P41/P$12)</f>
        <v>0.89681401915195136</v>
      </c>
      <c r="S41" s="1"/>
      <c r="T41" s="1">
        <f>SUM(OSRRefT22_1x_0)</f>
        <v>306778.34911538457</v>
      </c>
      <c r="U41" s="1"/>
      <c r="V41" s="5">
        <f t="shared" ref="V41:V51" si="27">IF(T$12=0,0,T41/T$12)</f>
        <v>0.86352462574313837</v>
      </c>
      <c r="W41" s="1"/>
      <c r="X41" s="1">
        <f t="shared" ref="X41:X51" si="28">+P41-T41</f>
        <v>-56680.29911538458</v>
      </c>
      <c r="Y41" s="1"/>
      <c r="Z41" s="5">
        <f t="shared" ref="Z41:Z51" si="29">IF(T41=0,0,X41/T41)</f>
        <v>-0.18475977616681857</v>
      </c>
    </row>
    <row r="42" spans="1:26" s="24" customFormat="1" hidden="1" outlineLevel="2" x14ac:dyDescent="0.35">
      <c r="A42" s="29"/>
      <c r="B42" s="11" t="str">
        <f>CONCATENATE("          ", "6001", " - ", "ADMINISTRATIVE SALARIES")</f>
        <v xml:space="preserve">          6001 - ADMINISTRATIVE SALARIES</v>
      </c>
      <c r="C42" s="11"/>
      <c r="D42" s="7">
        <v>13911.28</v>
      </c>
      <c r="E42" s="2"/>
      <c r="F42" s="6">
        <f t="shared" si="22"/>
        <v>0.16949791077407969</v>
      </c>
      <c r="G42" s="2"/>
      <c r="H42" s="7">
        <v>19062.509615384599</v>
      </c>
      <c r="I42" s="2"/>
      <c r="J42" s="6">
        <f t="shared" si="23"/>
        <v>0.23883666543945423</v>
      </c>
      <c r="K42" s="2"/>
      <c r="L42" s="7">
        <f t="shared" si="24"/>
        <v>-5151.2296153845982</v>
      </c>
      <c r="M42" s="2"/>
      <c r="N42" s="6">
        <f t="shared" si="25"/>
        <v>-0.27022830253301194</v>
      </c>
      <c r="O42" s="11"/>
      <c r="P42" s="7">
        <v>76591.079999999987</v>
      </c>
      <c r="Q42" s="2"/>
      <c r="R42" s="6">
        <f t="shared" si="26"/>
        <v>0.27464410172725712</v>
      </c>
      <c r="S42" s="2"/>
      <c r="T42" s="7">
        <v>118187.55961538457</v>
      </c>
      <c r="U42" s="2"/>
      <c r="V42" s="6">
        <f t="shared" si="27"/>
        <v>0.33267624158830095</v>
      </c>
      <c r="W42" s="2"/>
      <c r="X42" s="7">
        <f t="shared" si="28"/>
        <v>-41596.479615384582</v>
      </c>
      <c r="Y42" s="2"/>
      <c r="Z42" s="6">
        <f t="shared" si="29"/>
        <v>-0.35195311376892102</v>
      </c>
    </row>
    <row r="43" spans="1:26" s="24" customFormat="1" hidden="1" outlineLevel="2" x14ac:dyDescent="0.35">
      <c r="A43" s="29"/>
      <c r="B43" s="11" t="str">
        <f>CONCATENATE("          ", "6002", " - ", "STAFF SALARIES")</f>
        <v xml:space="preserve">          6002 - STAFF SALARIES</v>
      </c>
      <c r="C43" s="11"/>
      <c r="D43" s="7">
        <v>14173.28</v>
      </c>
      <c r="E43" s="2"/>
      <c r="F43" s="6">
        <f t="shared" si="22"/>
        <v>0.17269017292557179</v>
      </c>
      <c r="G43" s="2"/>
      <c r="H43" s="7">
        <v>10734.0525</v>
      </c>
      <c r="I43" s="2"/>
      <c r="J43" s="6">
        <f t="shared" si="23"/>
        <v>0.13448834164432305</v>
      </c>
      <c r="K43" s="2"/>
      <c r="L43" s="7">
        <f t="shared" si="24"/>
        <v>3439.2275000000009</v>
      </c>
      <c r="M43" s="2"/>
      <c r="N43" s="6">
        <f t="shared" si="25"/>
        <v>0.32040345433376638</v>
      </c>
      <c r="O43" s="11"/>
      <c r="P43" s="7">
        <v>146922.51</v>
      </c>
      <c r="Q43" s="2"/>
      <c r="R43" s="6">
        <f t="shared" si="26"/>
        <v>0.52684203934014195</v>
      </c>
      <c r="S43" s="2"/>
      <c r="T43" s="7">
        <v>64604.245499999997</v>
      </c>
      <c r="U43" s="2"/>
      <c r="V43" s="6">
        <f t="shared" si="27"/>
        <v>0.1818490681551414</v>
      </c>
      <c r="W43" s="2"/>
      <c r="X43" s="7">
        <f t="shared" si="28"/>
        <v>82318.264500000019</v>
      </c>
      <c r="Y43" s="2"/>
      <c r="Z43" s="6">
        <f t="shared" si="29"/>
        <v>1.2741928005335195</v>
      </c>
    </row>
    <row r="44" spans="1:26" s="24" customFormat="1" hidden="1" outlineLevel="2" x14ac:dyDescent="0.35">
      <c r="A44" s="29"/>
      <c r="B44" s="11" t="str">
        <f>CONCATENATE("          ", "6003", " - ", "STAFF HOURLY-9 MONTH")</f>
        <v xml:space="preserve">          6003 - STAFF HOURLY-9 MONTH</v>
      </c>
      <c r="C44" s="11"/>
      <c r="D44" s="7"/>
      <c r="E44" s="2"/>
      <c r="F44" s="6">
        <f t="shared" si="22"/>
        <v>0</v>
      </c>
      <c r="G44" s="2"/>
      <c r="H44" s="7">
        <v>0</v>
      </c>
      <c r="I44" s="2"/>
      <c r="J44" s="6">
        <f t="shared" si="23"/>
        <v>0</v>
      </c>
      <c r="K44" s="2"/>
      <c r="L44" s="7">
        <f t="shared" si="24"/>
        <v>0</v>
      </c>
      <c r="M44" s="2"/>
      <c r="N44" s="6">
        <f t="shared" si="25"/>
        <v>0</v>
      </c>
      <c r="O44" s="11"/>
      <c r="P44" s="7"/>
      <c r="Q44" s="2"/>
      <c r="R44" s="6">
        <f t="shared" si="26"/>
        <v>0</v>
      </c>
      <c r="S44" s="2"/>
      <c r="T44" s="7">
        <v>0</v>
      </c>
      <c r="U44" s="2"/>
      <c r="V44" s="6">
        <f t="shared" si="27"/>
        <v>0</v>
      </c>
      <c r="W44" s="2"/>
      <c r="X44" s="7">
        <f t="shared" si="28"/>
        <v>0</v>
      </c>
      <c r="Y44" s="2"/>
      <c r="Z44" s="6">
        <f t="shared" si="29"/>
        <v>0</v>
      </c>
    </row>
    <row r="45" spans="1:26" s="24" customFormat="1" hidden="1" outlineLevel="2" x14ac:dyDescent="0.35">
      <c r="A45" s="29"/>
      <c r="B45" s="11" t="str">
        <f>CONCATENATE("          ", "6004", " - ", "STAFF HOURLY")</f>
        <v xml:space="preserve">          6004 - STAFF HOURLY</v>
      </c>
      <c r="C45" s="11"/>
      <c r="D45" s="7">
        <v>960.45</v>
      </c>
      <c r="E45" s="2"/>
      <c r="F45" s="6">
        <f t="shared" si="22"/>
        <v>1.1702321310689228E-2</v>
      </c>
      <c r="G45" s="2"/>
      <c r="H45" s="7">
        <v>8938.4599999999991</v>
      </c>
      <c r="I45" s="2"/>
      <c r="J45" s="6">
        <f t="shared" si="23"/>
        <v>0.11199112937579872</v>
      </c>
      <c r="K45" s="2"/>
      <c r="L45" s="7">
        <f t="shared" si="24"/>
        <v>-7978.0099999999993</v>
      </c>
      <c r="M45" s="2"/>
      <c r="N45" s="6">
        <f t="shared" si="25"/>
        <v>-0.89254860456946727</v>
      </c>
      <c r="O45" s="11"/>
      <c r="P45" s="7">
        <v>21485.08</v>
      </c>
      <c r="Q45" s="2"/>
      <c r="R45" s="6">
        <f t="shared" si="26"/>
        <v>7.7042267808970166E-2</v>
      </c>
      <c r="S45" s="2"/>
      <c r="T45" s="7">
        <v>43073.83</v>
      </c>
      <c r="U45" s="2"/>
      <c r="V45" s="6">
        <f t="shared" si="27"/>
        <v>0.1212449087014409</v>
      </c>
      <c r="W45" s="2"/>
      <c r="X45" s="7">
        <f t="shared" si="28"/>
        <v>-21588.75</v>
      </c>
      <c r="Y45" s="2"/>
      <c r="Z45" s="6">
        <f t="shared" si="29"/>
        <v>-0.50120339890833943</v>
      </c>
    </row>
    <row r="46" spans="1:26" s="24" customFormat="1" hidden="1" outlineLevel="2" x14ac:dyDescent="0.35">
      <c r="A46" s="29"/>
      <c r="B46" s="11" t="str">
        <f>CONCATENATE("          ", "6005", " - ", "TEMPORARY WAGES-HOURLY")</f>
        <v xml:space="preserve">          6005 - TEMPORARY WAGES-HOURLY</v>
      </c>
      <c r="C46" s="11"/>
      <c r="D46" s="7"/>
      <c r="E46" s="2"/>
      <c r="F46" s="6">
        <f t="shared" si="22"/>
        <v>0</v>
      </c>
      <c r="G46" s="2"/>
      <c r="H46" s="7">
        <v>7308.62</v>
      </c>
      <c r="I46" s="2"/>
      <c r="J46" s="6">
        <f t="shared" si="23"/>
        <v>9.1570651765354449E-2</v>
      </c>
      <c r="K46" s="2"/>
      <c r="L46" s="7">
        <f t="shared" si="24"/>
        <v>-7308.62</v>
      </c>
      <c r="M46" s="2"/>
      <c r="N46" s="6">
        <f t="shared" si="25"/>
        <v>-1</v>
      </c>
      <c r="O46" s="11"/>
      <c r="P46" s="7">
        <v>4868.67</v>
      </c>
      <c r="Q46" s="2"/>
      <c r="R46" s="6">
        <f t="shared" si="26"/>
        <v>1.7458318889829533E-2</v>
      </c>
      <c r="S46" s="2"/>
      <c r="T46" s="7">
        <v>35608.137999999999</v>
      </c>
      <c r="U46" s="2"/>
      <c r="V46" s="6">
        <f t="shared" si="27"/>
        <v>0.10023035891719655</v>
      </c>
      <c r="W46" s="2"/>
      <c r="X46" s="7">
        <f t="shared" si="28"/>
        <v>-30739.468000000001</v>
      </c>
      <c r="Y46" s="2"/>
      <c r="Z46" s="6">
        <f t="shared" si="29"/>
        <v>-0.86327086240791362</v>
      </c>
    </row>
    <row r="47" spans="1:26" s="24" customFormat="1" hidden="1" outlineLevel="2" x14ac:dyDescent="0.35">
      <c r="A47" s="29"/>
      <c r="B47" s="11" t="str">
        <f>CONCATENATE("          ", "6006", " - ", "TEMPORARY PART TIME")</f>
        <v xml:space="preserve">          6006 - TEMPORARY PART TIME</v>
      </c>
      <c r="C47" s="11"/>
      <c r="D47" s="7"/>
      <c r="E47" s="2"/>
      <c r="F47" s="6">
        <f t="shared" si="22"/>
        <v>0</v>
      </c>
      <c r="G47" s="2"/>
      <c r="H47" s="7">
        <v>0</v>
      </c>
      <c r="I47" s="2"/>
      <c r="J47" s="6">
        <f t="shared" si="23"/>
        <v>0</v>
      </c>
      <c r="K47" s="2"/>
      <c r="L47" s="7">
        <f t="shared" si="24"/>
        <v>0</v>
      </c>
      <c r="M47" s="2"/>
      <c r="N47" s="6">
        <f t="shared" si="25"/>
        <v>0</v>
      </c>
      <c r="O47" s="11"/>
      <c r="P47" s="7"/>
      <c r="Q47" s="2"/>
      <c r="R47" s="6">
        <f t="shared" si="26"/>
        <v>0</v>
      </c>
      <c r="S47" s="2"/>
      <c r="T47" s="7">
        <v>0</v>
      </c>
      <c r="U47" s="2"/>
      <c r="V47" s="6">
        <f t="shared" si="27"/>
        <v>0</v>
      </c>
      <c r="W47" s="2"/>
      <c r="X47" s="7">
        <f t="shared" si="28"/>
        <v>0</v>
      </c>
      <c r="Y47" s="2"/>
      <c r="Z47" s="6">
        <f t="shared" si="29"/>
        <v>0</v>
      </c>
    </row>
    <row r="48" spans="1:26" s="24" customFormat="1" hidden="1" outlineLevel="2" x14ac:dyDescent="0.35">
      <c r="A48" s="29"/>
      <c r="B48" s="11" t="str">
        <f>CONCATENATE("          ", "6007", " - ", "STUDENT HOURLY")</f>
        <v xml:space="preserve">          6007 - STUDENT HOURLY</v>
      </c>
      <c r="C48" s="11"/>
      <c r="D48" s="7">
        <v>161</v>
      </c>
      <c r="E48" s="2"/>
      <c r="F48" s="6">
        <f t="shared" si="22"/>
        <v>1.9616572762985742E-3</v>
      </c>
      <c r="G48" s="2"/>
      <c r="H48" s="7">
        <v>0</v>
      </c>
      <c r="I48" s="2"/>
      <c r="J48" s="6">
        <f t="shared" si="23"/>
        <v>0</v>
      </c>
      <c r="K48" s="2"/>
      <c r="L48" s="7">
        <f t="shared" si="24"/>
        <v>161</v>
      </c>
      <c r="M48" s="2"/>
      <c r="N48" s="6">
        <f t="shared" si="25"/>
        <v>0</v>
      </c>
      <c r="O48" s="11"/>
      <c r="P48" s="7">
        <v>230.71</v>
      </c>
      <c r="Q48" s="2"/>
      <c r="R48" s="6">
        <f t="shared" si="26"/>
        <v>8.2729138575269462E-4</v>
      </c>
      <c r="S48" s="2"/>
      <c r="T48" s="7">
        <v>3202.94</v>
      </c>
      <c r="U48" s="2"/>
      <c r="V48" s="6">
        <f t="shared" si="27"/>
        <v>9.0156869699349503E-3</v>
      </c>
      <c r="W48" s="2"/>
      <c r="X48" s="7">
        <f t="shared" si="28"/>
        <v>-2972.23</v>
      </c>
      <c r="Y48" s="2"/>
      <c r="Z48" s="6">
        <f t="shared" si="29"/>
        <v>-0.92796930320268256</v>
      </c>
    </row>
    <row r="49" spans="1:26" s="24" customFormat="1" hidden="1" outlineLevel="2" x14ac:dyDescent="0.35">
      <c r="A49" s="29"/>
      <c r="B49" s="11" t="str">
        <f>CONCATENATE("          ", "6008", " - ", "STUDENT HOURLY-FICA EXEMPT")</f>
        <v xml:space="preserve">          6008 - STUDENT HOURLY-FICA EXEMPT</v>
      </c>
      <c r="C49" s="11"/>
      <c r="D49" s="7"/>
      <c r="E49" s="2"/>
      <c r="F49" s="6">
        <f t="shared" si="22"/>
        <v>0</v>
      </c>
      <c r="G49" s="2"/>
      <c r="H49" s="7">
        <v>10140.415999999999</v>
      </c>
      <c r="I49" s="2"/>
      <c r="J49" s="6">
        <f t="shared" si="23"/>
        <v>0.12705059262785975</v>
      </c>
      <c r="K49" s="2"/>
      <c r="L49" s="7">
        <f t="shared" si="24"/>
        <v>-10140.415999999999</v>
      </c>
      <c r="M49" s="2"/>
      <c r="N49" s="6">
        <f t="shared" si="25"/>
        <v>-1</v>
      </c>
      <c r="O49" s="11"/>
      <c r="P49" s="7"/>
      <c r="Q49" s="2"/>
      <c r="R49" s="6">
        <f t="shared" si="26"/>
        <v>0</v>
      </c>
      <c r="S49" s="2"/>
      <c r="T49" s="7">
        <v>42101.635999999999</v>
      </c>
      <c r="U49" s="2"/>
      <c r="V49" s="6">
        <f t="shared" si="27"/>
        <v>0.11850836141112359</v>
      </c>
      <c r="W49" s="2"/>
      <c r="X49" s="7">
        <f t="shared" si="28"/>
        <v>-42101.635999999999</v>
      </c>
      <c r="Y49" s="2"/>
      <c r="Z49" s="6">
        <f t="shared" si="29"/>
        <v>-1</v>
      </c>
    </row>
    <row r="50" spans="1:26" s="24" customFormat="1" hidden="1" outlineLevel="2" x14ac:dyDescent="0.35">
      <c r="A50" s="29"/>
      <c r="B50" s="11" t="str">
        <f>CONCATENATE("          ", "6009", " - ", "TEMPORARY-SEASONAL")</f>
        <v xml:space="preserve">          6009 - TEMPORARY-SEASONAL</v>
      </c>
      <c r="C50" s="11"/>
      <c r="D50" s="7"/>
      <c r="E50" s="2"/>
      <c r="F50" s="6">
        <f t="shared" si="22"/>
        <v>0</v>
      </c>
      <c r="G50" s="2"/>
      <c r="H50" s="7">
        <v>0</v>
      </c>
      <c r="I50" s="2"/>
      <c r="J50" s="6">
        <f t="shared" si="23"/>
        <v>0</v>
      </c>
      <c r="K50" s="2"/>
      <c r="L50" s="7">
        <f t="shared" si="24"/>
        <v>0</v>
      </c>
      <c r="M50" s="2"/>
      <c r="N50" s="6">
        <f t="shared" si="25"/>
        <v>0</v>
      </c>
      <c r="O50" s="11"/>
      <c r="P50" s="7"/>
      <c r="Q50" s="2"/>
      <c r="R50" s="6">
        <f t="shared" si="26"/>
        <v>0</v>
      </c>
      <c r="S50" s="2"/>
      <c r="T50" s="7">
        <v>0</v>
      </c>
      <c r="U50" s="2"/>
      <c r="V50" s="6">
        <f t="shared" si="27"/>
        <v>0</v>
      </c>
      <c r="W50" s="2"/>
      <c r="X50" s="7">
        <f t="shared" si="28"/>
        <v>0</v>
      </c>
      <c r="Y50" s="2"/>
      <c r="Z50" s="6">
        <f t="shared" si="29"/>
        <v>0</v>
      </c>
    </row>
    <row r="51" spans="1:26" s="24" customFormat="1" hidden="1" outlineLevel="2" x14ac:dyDescent="0.35">
      <c r="A51" s="29"/>
      <c r="B51" s="11" t="str">
        <f>CONCATENATE("          ", "6010", " - ", "GRATUITY")</f>
        <v xml:space="preserve">          6010 - GRATUITY</v>
      </c>
      <c r="C51" s="11"/>
      <c r="D51" s="7"/>
      <c r="E51" s="2"/>
      <c r="F51" s="6">
        <f t="shared" si="22"/>
        <v>0</v>
      </c>
      <c r="G51" s="2"/>
      <c r="H51" s="7">
        <v>0</v>
      </c>
      <c r="I51" s="2"/>
      <c r="J51" s="6">
        <f t="shared" si="23"/>
        <v>0</v>
      </c>
      <c r="K51" s="2"/>
      <c r="L51" s="7">
        <f t="shared" si="24"/>
        <v>0</v>
      </c>
      <c r="M51" s="2"/>
      <c r="N51" s="6">
        <f t="shared" si="25"/>
        <v>0</v>
      </c>
      <c r="O51" s="11"/>
      <c r="P51" s="7"/>
      <c r="Q51" s="2"/>
      <c r="R51" s="6">
        <f t="shared" si="26"/>
        <v>0</v>
      </c>
      <c r="S51" s="2"/>
      <c r="T51" s="7">
        <v>0</v>
      </c>
      <c r="U51" s="2"/>
      <c r="V51" s="6">
        <f t="shared" si="27"/>
        <v>0</v>
      </c>
      <c r="W51" s="2"/>
      <c r="X51" s="7">
        <f t="shared" si="28"/>
        <v>0</v>
      </c>
      <c r="Y51" s="2"/>
      <c r="Z51" s="6">
        <f t="shared" si="29"/>
        <v>0</v>
      </c>
    </row>
    <row r="52" spans="1:26" s="28" customFormat="1" outlineLevel="1" collapsed="1" x14ac:dyDescent="0.35">
      <c r="A52" s="27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SUM(OSRRefD22_2x_0)</f>
        <v>5.4</v>
      </c>
      <c r="E52" s="1"/>
      <c r="F52" s="5">
        <f t="shared" ref="F52:F61" si="30">IF(D$12=0,0,D52/D$12)</f>
        <v>6.5794716099455287E-5</v>
      </c>
      <c r="G52" s="1"/>
      <c r="H52" s="1">
        <f>SUM(OSRRefH22_2x_0)</f>
        <v>701</v>
      </c>
      <c r="I52" s="1"/>
      <c r="J52" s="5">
        <f t="shared" ref="J52:J61" si="31">IF(H$12=0,0,H52/H$12)</f>
        <v>8.7829202896734914E-3</v>
      </c>
      <c r="K52" s="1"/>
      <c r="L52" s="1">
        <f t="shared" ref="L52:L61" si="32">+D52-H52</f>
        <v>-695.6</v>
      </c>
      <c r="M52" s="1"/>
      <c r="N52" s="5">
        <f t="shared" ref="N52:N61" si="33">IF(H52=0,0,L52/H52)</f>
        <v>-0.99229671897289584</v>
      </c>
      <c r="O52" s="14"/>
      <c r="P52" s="1">
        <f>SUM(OSRRefP22_2x_0)</f>
        <v>139.35</v>
      </c>
      <c r="Q52" s="1"/>
      <c r="R52" s="5">
        <f t="shared" ref="R52:R61" si="34">IF(P$12=0,0,P52/P$12)</f>
        <v>4.9968815658028691E-4</v>
      </c>
      <c r="S52" s="1"/>
      <c r="T52" s="1">
        <f>SUM(OSRRefT22_2x_0)</f>
        <v>6213</v>
      </c>
      <c r="U52" s="1"/>
      <c r="V52" s="5">
        <f t="shared" ref="V52:V61" si="35">IF(T$12=0,0,T52/T$12)</f>
        <v>1.7488452217089875E-2</v>
      </c>
      <c r="W52" s="1"/>
      <c r="X52" s="1">
        <f t="shared" ref="X52:X61" si="36">+P52-T52</f>
        <v>-6073.65</v>
      </c>
      <c r="Y52" s="1"/>
      <c r="Z52" s="5">
        <f t="shared" ref="Z52:Z61" si="37">IF(T52=0,0,X52/T52)</f>
        <v>-0.97757122163206178</v>
      </c>
    </row>
    <row r="53" spans="1:26" s="24" customFormat="1" hidden="1" outlineLevel="2" x14ac:dyDescent="0.35">
      <c r="A53" s="29"/>
      <c r="B53" s="11" t="str">
        <f>CONCATENATE("          ", "6362", " - ", "ADVERTISING EXPENSE")</f>
        <v xml:space="preserve">          6362 - ADVERTISING EXPENSE</v>
      </c>
      <c r="C53" s="11"/>
      <c r="D53" s="7">
        <v>5.4</v>
      </c>
      <c r="E53" s="2"/>
      <c r="F53" s="6">
        <f t="shared" si="30"/>
        <v>6.5794716099455287E-5</v>
      </c>
      <c r="G53" s="2"/>
      <c r="H53" s="7">
        <v>701</v>
      </c>
      <c r="I53" s="2"/>
      <c r="J53" s="6">
        <f t="shared" si="31"/>
        <v>8.7829202896734914E-3</v>
      </c>
      <c r="K53" s="2"/>
      <c r="L53" s="7">
        <f t="shared" si="32"/>
        <v>-695.6</v>
      </c>
      <c r="M53" s="2"/>
      <c r="N53" s="6">
        <f t="shared" si="33"/>
        <v>-0.99229671897289584</v>
      </c>
      <c r="O53" s="11"/>
      <c r="P53" s="7">
        <v>139.35</v>
      </c>
      <c r="Q53" s="2"/>
      <c r="R53" s="6">
        <f t="shared" si="34"/>
        <v>4.9968815658028691E-4</v>
      </c>
      <c r="S53" s="2"/>
      <c r="T53" s="7">
        <v>6213</v>
      </c>
      <c r="U53" s="2"/>
      <c r="V53" s="6">
        <f t="shared" si="35"/>
        <v>1.7488452217089875E-2</v>
      </c>
      <c r="W53" s="2"/>
      <c r="X53" s="7">
        <f t="shared" si="36"/>
        <v>-6073.65</v>
      </c>
      <c r="Y53" s="2"/>
      <c r="Z53" s="6">
        <f t="shared" si="37"/>
        <v>-0.97757122163206178</v>
      </c>
    </row>
    <row r="54" spans="1:26" s="28" customFormat="1" outlineLevel="1" collapsed="1" x14ac:dyDescent="0.35">
      <c r="A54" s="27"/>
      <c r="B54" s="14" t="str">
        <f>CONCATENATE("     ","Bad Debts/Over/Short                              ")</f>
        <v xml:space="preserve">     Bad Debts/Over/Short                              </v>
      </c>
      <c r="C54" s="14"/>
      <c r="D54" s="1">
        <f>SUM(OSRRefD22_3x_0)</f>
        <v>0</v>
      </c>
      <c r="E54" s="1"/>
      <c r="F54" s="5">
        <f t="shared" si="30"/>
        <v>0</v>
      </c>
      <c r="G54" s="1"/>
      <c r="H54" s="1">
        <f>SUM(OSRRefH22_3x_0)</f>
        <v>10</v>
      </c>
      <c r="I54" s="1"/>
      <c r="J54" s="5">
        <f t="shared" si="31"/>
        <v>1.2529130227779587E-4</v>
      </c>
      <c r="K54" s="1"/>
      <c r="L54" s="1">
        <f t="shared" si="32"/>
        <v>-10</v>
      </c>
      <c r="M54" s="1"/>
      <c r="N54" s="5">
        <f t="shared" si="33"/>
        <v>-1</v>
      </c>
      <c r="O54" s="14"/>
      <c r="P54" s="1">
        <f>SUM(OSRRefP22_3x_0)</f>
        <v>12.1</v>
      </c>
      <c r="Q54" s="1"/>
      <c r="R54" s="5">
        <f t="shared" si="34"/>
        <v>4.3388781446870983E-5</v>
      </c>
      <c r="S54" s="1"/>
      <c r="T54" s="1">
        <f>SUM(OSRRefT22_3x_0)</f>
        <v>124</v>
      </c>
      <c r="U54" s="1"/>
      <c r="V54" s="5">
        <f t="shared" si="35"/>
        <v>3.4903719216467801E-4</v>
      </c>
      <c r="W54" s="1"/>
      <c r="X54" s="1">
        <f t="shared" si="36"/>
        <v>-111.9</v>
      </c>
      <c r="Y54" s="1"/>
      <c r="Z54" s="5">
        <f t="shared" si="37"/>
        <v>-0.90241935483870972</v>
      </c>
    </row>
    <row r="55" spans="1:26" s="24" customFormat="1" hidden="1" outlineLevel="2" x14ac:dyDescent="0.35">
      <c r="A55" s="29"/>
      <c r="B55" s="11" t="str">
        <f>CONCATENATE("          ", "6272", " - ", "CASH (OVER/SHORT)")</f>
        <v xml:space="preserve">          6272 - CASH (OVER/SHORT)</v>
      </c>
      <c r="C55" s="11"/>
      <c r="D55" s="7"/>
      <c r="E55" s="2"/>
      <c r="F55" s="6">
        <f t="shared" si="30"/>
        <v>0</v>
      </c>
      <c r="G55" s="2"/>
      <c r="H55" s="7">
        <v>10</v>
      </c>
      <c r="I55" s="2"/>
      <c r="J55" s="6">
        <f t="shared" si="31"/>
        <v>1.2529130227779587E-4</v>
      </c>
      <c r="K55" s="2"/>
      <c r="L55" s="7">
        <f t="shared" si="32"/>
        <v>-10</v>
      </c>
      <c r="M55" s="2"/>
      <c r="N55" s="6">
        <f t="shared" si="33"/>
        <v>-1</v>
      </c>
      <c r="O55" s="11"/>
      <c r="P55" s="7">
        <v>12.1</v>
      </c>
      <c r="Q55" s="2"/>
      <c r="R55" s="6">
        <f t="shared" si="34"/>
        <v>4.3388781446870983E-5</v>
      </c>
      <c r="S55" s="2"/>
      <c r="T55" s="7">
        <v>124</v>
      </c>
      <c r="U55" s="2"/>
      <c r="V55" s="6">
        <f t="shared" si="35"/>
        <v>3.4903719216467801E-4</v>
      </c>
      <c r="W55" s="2"/>
      <c r="X55" s="7">
        <f t="shared" si="36"/>
        <v>-111.9</v>
      </c>
      <c r="Y55" s="2"/>
      <c r="Z55" s="6">
        <f t="shared" si="37"/>
        <v>-0.90241935483870972</v>
      </c>
    </row>
    <row r="56" spans="1:26" s="28" customFormat="1" outlineLevel="1" collapsed="1" x14ac:dyDescent="0.35">
      <c r="A56" s="27"/>
      <c r="B56" s="14" t="str">
        <f>CONCATENATE("     ","Bank/card Fees                                    ")</f>
        <v xml:space="preserve">     Bank/card Fees                                    </v>
      </c>
      <c r="C56" s="14"/>
      <c r="D56" s="1">
        <f>SUM(OSRRefD22_4x_0)</f>
        <v>896.72</v>
      </c>
      <c r="E56" s="1"/>
      <c r="F56" s="5">
        <f t="shared" si="30"/>
        <v>1.0925821818648805E-2</v>
      </c>
      <c r="G56" s="1"/>
      <c r="H56" s="1">
        <f>SUM(OSRRefH22_4x_0)</f>
        <v>5864</v>
      </c>
      <c r="I56" s="1"/>
      <c r="J56" s="5">
        <f t="shared" si="31"/>
        <v>7.3470819655699501E-2</v>
      </c>
      <c r="K56" s="1"/>
      <c r="L56" s="1">
        <f t="shared" si="32"/>
        <v>-4967.28</v>
      </c>
      <c r="M56" s="1"/>
      <c r="N56" s="5">
        <f t="shared" si="33"/>
        <v>-0.84708049113233286</v>
      </c>
      <c r="O56" s="14"/>
      <c r="P56" s="1">
        <f>SUM(OSRRefP22_4x_0)</f>
        <v>5064.8100000000004</v>
      </c>
      <c r="Q56" s="1"/>
      <c r="R56" s="5">
        <f t="shared" si="34"/>
        <v>1.8161647451233609E-2</v>
      </c>
      <c r="S56" s="1"/>
      <c r="T56" s="1">
        <f>SUM(OSRRefT22_4x_0)</f>
        <v>45509</v>
      </c>
      <c r="U56" s="1"/>
      <c r="V56" s="5">
        <f t="shared" si="35"/>
        <v>0.12809946434050268</v>
      </c>
      <c r="W56" s="1"/>
      <c r="X56" s="1">
        <f t="shared" si="36"/>
        <v>-40444.19</v>
      </c>
      <c r="Y56" s="1"/>
      <c r="Z56" s="5">
        <f t="shared" si="37"/>
        <v>-0.88870750840493096</v>
      </c>
    </row>
    <row r="57" spans="1:26" s="24" customFormat="1" hidden="1" outlineLevel="2" x14ac:dyDescent="0.35">
      <c r="A57" s="29"/>
      <c r="B57" s="11" t="str">
        <f>CONCATENATE("          ", "6381", " - ", "BANK/CREDIT CARD FEES")</f>
        <v xml:space="preserve">          6381 - BANK/CREDIT CARD FEES</v>
      </c>
      <c r="C57" s="11"/>
      <c r="D57" s="7">
        <v>896.72</v>
      </c>
      <c r="E57" s="2"/>
      <c r="F57" s="6">
        <f t="shared" si="30"/>
        <v>1.0925821818648805E-2</v>
      </c>
      <c r="G57" s="2"/>
      <c r="H57" s="7">
        <v>5864</v>
      </c>
      <c r="I57" s="2"/>
      <c r="J57" s="6">
        <f t="shared" si="31"/>
        <v>7.3470819655699501E-2</v>
      </c>
      <c r="K57" s="2"/>
      <c r="L57" s="7">
        <f t="shared" si="32"/>
        <v>-4967.28</v>
      </c>
      <c r="M57" s="2"/>
      <c r="N57" s="6">
        <f t="shared" si="33"/>
        <v>-0.84708049113233286</v>
      </c>
      <c r="O57" s="11"/>
      <c r="P57" s="7">
        <v>5064.8100000000004</v>
      </c>
      <c r="Q57" s="2"/>
      <c r="R57" s="6">
        <f t="shared" si="34"/>
        <v>1.8161647451233609E-2</v>
      </c>
      <c r="S57" s="2"/>
      <c r="T57" s="7">
        <v>45509</v>
      </c>
      <c r="U57" s="2"/>
      <c r="V57" s="6">
        <f t="shared" si="35"/>
        <v>0.12809946434050268</v>
      </c>
      <c r="W57" s="2"/>
      <c r="X57" s="7">
        <f t="shared" si="36"/>
        <v>-40444.19</v>
      </c>
      <c r="Y57" s="2"/>
      <c r="Z57" s="6">
        <f t="shared" si="37"/>
        <v>-0.88870750840493096</v>
      </c>
    </row>
    <row r="58" spans="1:26" s="28" customFormat="1" outlineLevel="1" collapsed="1" x14ac:dyDescent="0.35">
      <c r="A58" s="27"/>
      <c r="B58" s="14" t="str">
        <f>CONCATENATE("     ","Depreciation                                      ")</f>
        <v xml:space="preserve">     Depreciation                                      </v>
      </c>
      <c r="C58" s="14"/>
      <c r="D58" s="1">
        <f>SUM(OSRRefD22_5x_0)</f>
        <v>45872.85</v>
      </c>
      <c r="E58" s="1"/>
      <c r="F58" s="5">
        <f t="shared" si="30"/>
        <v>0.55892428563386987</v>
      </c>
      <c r="G58" s="1"/>
      <c r="H58" s="1">
        <f>SUM(OSRRefH22_5x_0)</f>
        <v>46280</v>
      </c>
      <c r="I58" s="1"/>
      <c r="J58" s="5">
        <f t="shared" si="31"/>
        <v>0.57984814694163933</v>
      </c>
      <c r="K58" s="1"/>
      <c r="L58" s="1">
        <f t="shared" si="32"/>
        <v>-407.15000000000146</v>
      </c>
      <c r="M58" s="1"/>
      <c r="N58" s="5">
        <f t="shared" si="33"/>
        <v>-8.7975367329300221E-3</v>
      </c>
      <c r="O58" s="14"/>
      <c r="P58" s="1">
        <f>SUM(OSRRefP22_5x_0)</f>
        <v>324114.75</v>
      </c>
      <c r="Q58" s="1"/>
      <c r="R58" s="5">
        <f t="shared" si="34"/>
        <v>1.1622267811121676</v>
      </c>
      <c r="S58" s="1"/>
      <c r="T58" s="1">
        <f>SUM(OSRRefT22_5x_0)</f>
        <v>327012</v>
      </c>
      <c r="U58" s="1"/>
      <c r="V58" s="5">
        <f t="shared" si="35"/>
        <v>0.92047863132383612</v>
      </c>
      <c r="W58" s="1"/>
      <c r="X58" s="1">
        <f t="shared" si="36"/>
        <v>-2897.25</v>
      </c>
      <c r="Y58" s="1"/>
      <c r="Z58" s="5">
        <f t="shared" si="37"/>
        <v>-8.8597666140692085E-3</v>
      </c>
    </row>
    <row r="59" spans="1:26" s="24" customFormat="1" hidden="1" outlineLevel="2" x14ac:dyDescent="0.35">
      <c r="A59" s="29"/>
      <c r="B59" s="11" t="str">
        <f>CONCATENATE("          ", "6321", " - ", "BUILDING DEPRECIATION")</f>
        <v xml:space="preserve">          6321 - BUILDING DEPRECIATION</v>
      </c>
      <c r="C59" s="11"/>
      <c r="D59" s="7">
        <v>28664</v>
      </c>
      <c r="E59" s="2"/>
      <c r="F59" s="6">
        <f t="shared" si="30"/>
        <v>0.34924810042125676</v>
      </c>
      <c r="G59" s="2"/>
      <c r="H59" s="7"/>
      <c r="I59" s="2"/>
      <c r="J59" s="6">
        <f t="shared" si="31"/>
        <v>0</v>
      </c>
      <c r="K59" s="2"/>
      <c r="L59" s="7">
        <f t="shared" si="32"/>
        <v>28664</v>
      </c>
      <c r="M59" s="2"/>
      <c r="N59" s="6">
        <f t="shared" si="33"/>
        <v>0</v>
      </c>
      <c r="O59" s="11"/>
      <c r="P59" s="7">
        <v>201432.19</v>
      </c>
      <c r="Q59" s="2"/>
      <c r="R59" s="6">
        <f t="shared" si="34"/>
        <v>0.72230555936153651</v>
      </c>
      <c r="S59" s="2"/>
      <c r="T59" s="7"/>
      <c r="U59" s="2"/>
      <c r="V59" s="6">
        <f t="shared" si="35"/>
        <v>0</v>
      </c>
      <c r="W59" s="2"/>
      <c r="X59" s="7">
        <f t="shared" si="36"/>
        <v>201432.19</v>
      </c>
      <c r="Y59" s="2"/>
      <c r="Z59" s="6">
        <f t="shared" si="37"/>
        <v>0</v>
      </c>
    </row>
    <row r="60" spans="1:26" s="24" customFormat="1" hidden="1" outlineLevel="2" x14ac:dyDescent="0.35">
      <c r="A60" s="29"/>
      <c r="B60" s="11" t="str">
        <f>CONCATENATE("          ", "6322", " - ", "EQUIPMENT DEPRECIATION EXPENSE")</f>
        <v xml:space="preserve">          6322 - EQUIPMENT DEPRECIATION EXPENSE</v>
      </c>
      <c r="C60" s="11"/>
      <c r="D60" s="7">
        <v>17208.849999999999</v>
      </c>
      <c r="E60" s="2"/>
      <c r="F60" s="6">
        <f t="shared" si="30"/>
        <v>0.20967618521261316</v>
      </c>
      <c r="G60" s="2"/>
      <c r="H60" s="7">
        <v>45730</v>
      </c>
      <c r="I60" s="2"/>
      <c r="J60" s="6">
        <f t="shared" si="31"/>
        <v>0.57295712531636056</v>
      </c>
      <c r="K60" s="2"/>
      <c r="L60" s="7">
        <f t="shared" si="32"/>
        <v>-28521.15</v>
      </c>
      <c r="M60" s="2"/>
      <c r="N60" s="6">
        <f t="shared" si="33"/>
        <v>-0.62368576426853273</v>
      </c>
      <c r="O60" s="11"/>
      <c r="P60" s="7">
        <v>122682.56</v>
      </c>
      <c r="Q60" s="2"/>
      <c r="R60" s="6">
        <f t="shared" si="34"/>
        <v>0.43992122175063109</v>
      </c>
      <c r="S60" s="2"/>
      <c r="T60" s="7">
        <v>323162</v>
      </c>
      <c r="U60" s="2"/>
      <c r="V60" s="6">
        <f t="shared" si="35"/>
        <v>0.90964158947033602</v>
      </c>
      <c r="W60" s="2"/>
      <c r="X60" s="7">
        <f t="shared" si="36"/>
        <v>-200479.44</v>
      </c>
      <c r="Y60" s="2"/>
      <c r="Z60" s="6">
        <f t="shared" si="37"/>
        <v>-0.62036823636442406</v>
      </c>
    </row>
    <row r="61" spans="1:26" s="24" customFormat="1" hidden="1" outlineLevel="2" x14ac:dyDescent="0.35">
      <c r="A61" s="29"/>
      <c r="B61" s="11" t="str">
        <f>CONCATENATE("          ", "6326", " - ", "VEHICLES DEPRECIATION EXPENSE")</f>
        <v xml:space="preserve">          6326 - VEHICLES DEPRECIATION EXPENSE</v>
      </c>
      <c r="C61" s="11"/>
      <c r="D61" s="7"/>
      <c r="E61" s="2"/>
      <c r="F61" s="6">
        <f t="shared" si="30"/>
        <v>0</v>
      </c>
      <c r="G61" s="2"/>
      <c r="H61" s="7">
        <v>550</v>
      </c>
      <c r="I61" s="2"/>
      <c r="J61" s="6">
        <f t="shared" si="31"/>
        <v>6.891021625278773E-3</v>
      </c>
      <c r="K61" s="2"/>
      <c r="L61" s="7">
        <f t="shared" si="32"/>
        <v>-550</v>
      </c>
      <c r="M61" s="2"/>
      <c r="N61" s="6">
        <f t="shared" si="33"/>
        <v>-1</v>
      </c>
      <c r="O61" s="11"/>
      <c r="P61" s="7"/>
      <c r="Q61" s="2"/>
      <c r="R61" s="6">
        <f t="shared" si="34"/>
        <v>0</v>
      </c>
      <c r="S61" s="2"/>
      <c r="T61" s="7">
        <v>3850</v>
      </c>
      <c r="U61" s="2"/>
      <c r="V61" s="6">
        <f t="shared" si="35"/>
        <v>1.0837041853500083E-2</v>
      </c>
      <c r="W61" s="2"/>
      <c r="X61" s="7">
        <f t="shared" si="36"/>
        <v>-3850</v>
      </c>
      <c r="Y61" s="2"/>
      <c r="Z61" s="6">
        <f t="shared" si="37"/>
        <v>-1</v>
      </c>
    </row>
    <row r="62" spans="1:26" s="28" customFormat="1" outlineLevel="1" collapsed="1" x14ac:dyDescent="0.35">
      <c r="A62" s="27"/>
      <c r="B62" s="14" t="str">
        <f>CONCATENATE("     ","Employees' Appreciation                           ")</f>
        <v xml:space="preserve">     Employees' Appreciation                           </v>
      </c>
      <c r="C62" s="14"/>
      <c r="D62" s="1">
        <f>SUM(OSRRefD22_6x_0)</f>
        <v>0</v>
      </c>
      <c r="E62" s="1"/>
      <c r="F62" s="5">
        <f t="shared" ref="F62:F68" si="38">IF(D$12=0,0,D62/D$12)</f>
        <v>0</v>
      </c>
      <c r="G62" s="1"/>
      <c r="H62" s="1">
        <f>SUM(OSRRefH22_6x_0)</f>
        <v>0</v>
      </c>
      <c r="I62" s="1"/>
      <c r="J62" s="5">
        <f t="shared" ref="J62:J68" si="39">IF(H$12=0,0,H62/H$12)</f>
        <v>0</v>
      </c>
      <c r="K62" s="1"/>
      <c r="L62" s="1">
        <f t="shared" ref="L62:L68" si="40">+D62-H62</f>
        <v>0</v>
      </c>
      <c r="M62" s="1"/>
      <c r="N62" s="5">
        <f t="shared" ref="N62:N68" si="41">IF(H62=0,0,L62/H62)</f>
        <v>0</v>
      </c>
      <c r="O62" s="14"/>
      <c r="P62" s="1">
        <f>SUM(OSRRefP22_6x_0)</f>
        <v>10</v>
      </c>
      <c r="Q62" s="1"/>
      <c r="R62" s="5">
        <f t="shared" ref="R62:R68" si="42">IF(P$12=0,0,P62/P$12)</f>
        <v>3.5858497063529742E-5</v>
      </c>
      <c r="S62" s="1"/>
      <c r="T62" s="1">
        <f>SUM(OSRRefT22_6x_0)</f>
        <v>150</v>
      </c>
      <c r="U62" s="1"/>
      <c r="V62" s="5">
        <f t="shared" ref="V62:V68" si="43">IF(T$12=0,0,T62/T$12)</f>
        <v>4.222224098766266E-4</v>
      </c>
      <c r="W62" s="1"/>
      <c r="X62" s="1">
        <f t="shared" ref="X62:X68" si="44">+P62-T62</f>
        <v>-140</v>
      </c>
      <c r="Y62" s="1"/>
      <c r="Z62" s="5">
        <f t="shared" ref="Z62:Z68" si="45">IF(T62=0,0,X62/T62)</f>
        <v>-0.93333333333333335</v>
      </c>
    </row>
    <row r="63" spans="1:26" s="24" customFormat="1" hidden="1" outlineLevel="2" x14ac:dyDescent="0.35">
      <c r="A63" s="29"/>
      <c r="B63" s="11" t="str">
        <f>CONCATENATE("          ", "6277", " - ", "EMPLOYEE APPRECIATION")</f>
        <v xml:space="preserve">          6277 - EMPLOYEE APPRECIATION</v>
      </c>
      <c r="C63" s="11"/>
      <c r="D63" s="7"/>
      <c r="E63" s="2"/>
      <c r="F63" s="6">
        <f t="shared" si="38"/>
        <v>0</v>
      </c>
      <c r="G63" s="2"/>
      <c r="H63" s="7">
        <v>0</v>
      </c>
      <c r="I63" s="2"/>
      <c r="J63" s="6">
        <f t="shared" si="39"/>
        <v>0</v>
      </c>
      <c r="K63" s="2"/>
      <c r="L63" s="7">
        <f t="shared" si="40"/>
        <v>0</v>
      </c>
      <c r="M63" s="2"/>
      <c r="N63" s="6">
        <f t="shared" si="41"/>
        <v>0</v>
      </c>
      <c r="O63" s="11"/>
      <c r="P63" s="7">
        <v>10</v>
      </c>
      <c r="Q63" s="2"/>
      <c r="R63" s="6">
        <f t="shared" si="42"/>
        <v>3.5858497063529742E-5</v>
      </c>
      <c r="S63" s="2"/>
      <c r="T63" s="7">
        <v>150</v>
      </c>
      <c r="U63" s="2"/>
      <c r="V63" s="6">
        <f t="shared" si="43"/>
        <v>4.222224098766266E-4</v>
      </c>
      <c r="W63" s="2"/>
      <c r="X63" s="7">
        <f t="shared" si="44"/>
        <v>-140</v>
      </c>
      <c r="Y63" s="2"/>
      <c r="Z63" s="6">
        <f t="shared" si="45"/>
        <v>-0.93333333333333335</v>
      </c>
    </row>
    <row r="64" spans="1:26" s="28" customFormat="1" outlineLevel="1" collapsed="1" x14ac:dyDescent="0.35">
      <c r="A64" s="27"/>
      <c r="B64" s="14" t="str">
        <f>CONCATENATE("     ","Equipment Rental                                  ")</f>
        <v xml:space="preserve">     Equipment Rental                                  </v>
      </c>
      <c r="C64" s="14"/>
      <c r="D64" s="1">
        <f>SUM(OSRRefD22_7x_0)</f>
        <v>267.66000000000003</v>
      </c>
      <c r="E64" s="1"/>
      <c r="F64" s="5">
        <f t="shared" si="38"/>
        <v>3.2612247613296673E-3</v>
      </c>
      <c r="G64" s="1"/>
      <c r="H64" s="1">
        <f>SUM(OSRRefH22_7x_0)</f>
        <v>520.33333333333303</v>
      </c>
      <c r="I64" s="1"/>
      <c r="J64" s="5">
        <f t="shared" si="39"/>
        <v>6.5193240951879746E-3</v>
      </c>
      <c r="K64" s="1"/>
      <c r="L64" s="1">
        <f t="shared" si="40"/>
        <v>-252.67333333333301</v>
      </c>
      <c r="M64" s="1"/>
      <c r="N64" s="5">
        <f t="shared" si="41"/>
        <v>-0.48559897501601501</v>
      </c>
      <c r="O64" s="14"/>
      <c r="P64" s="1">
        <f>SUM(OSRRefP22_7x_0)</f>
        <v>4729.43</v>
      </c>
      <c r="Q64" s="1"/>
      <c r="R64" s="5">
        <f t="shared" si="42"/>
        <v>1.6959025176716946E-2</v>
      </c>
      <c r="S64" s="1"/>
      <c r="T64" s="1">
        <f>SUM(OSRRefT22_7x_0)</f>
        <v>2877.3333333333312</v>
      </c>
      <c r="U64" s="1"/>
      <c r="V64" s="5">
        <f t="shared" si="43"/>
        <v>8.0991640934556398E-3</v>
      </c>
      <c r="W64" s="1"/>
      <c r="X64" s="1">
        <f t="shared" si="44"/>
        <v>1852.0966666666691</v>
      </c>
      <c r="Y64" s="1"/>
      <c r="Z64" s="5">
        <f t="shared" si="45"/>
        <v>0.6436851251158493</v>
      </c>
    </row>
    <row r="65" spans="1:26" s="24" customFormat="1" hidden="1" outlineLevel="2" x14ac:dyDescent="0.35">
      <c r="A65" s="29"/>
      <c r="B65" s="11" t="str">
        <f>CONCATENATE("          ", "6351", " - ", "EQUIPMENT RENTAL")</f>
        <v xml:space="preserve">          6351 - EQUIPMENT RENTAL</v>
      </c>
      <c r="C65" s="11"/>
      <c r="D65" s="7">
        <v>267.66000000000003</v>
      </c>
      <c r="E65" s="2"/>
      <c r="F65" s="6">
        <f t="shared" si="38"/>
        <v>3.2612247613296673E-3</v>
      </c>
      <c r="G65" s="2"/>
      <c r="H65" s="7">
        <v>520.33333333333303</v>
      </c>
      <c r="I65" s="2"/>
      <c r="J65" s="6">
        <f t="shared" si="39"/>
        <v>6.5193240951879746E-3</v>
      </c>
      <c r="K65" s="2"/>
      <c r="L65" s="7">
        <f t="shared" si="40"/>
        <v>-252.67333333333301</v>
      </c>
      <c r="M65" s="2"/>
      <c r="N65" s="6">
        <f t="shared" si="41"/>
        <v>-0.48559897501601501</v>
      </c>
      <c r="O65" s="11"/>
      <c r="P65" s="7">
        <v>4729.43</v>
      </c>
      <c r="Q65" s="2"/>
      <c r="R65" s="6">
        <f t="shared" si="42"/>
        <v>1.6959025176716946E-2</v>
      </c>
      <c r="S65" s="2"/>
      <c r="T65" s="7">
        <v>2877.3333333333312</v>
      </c>
      <c r="U65" s="2"/>
      <c r="V65" s="6">
        <f t="shared" si="43"/>
        <v>8.0991640934556398E-3</v>
      </c>
      <c r="W65" s="2"/>
      <c r="X65" s="7">
        <f t="shared" si="44"/>
        <v>1852.0966666666691</v>
      </c>
      <c r="Y65" s="2"/>
      <c r="Z65" s="6">
        <f t="shared" si="45"/>
        <v>0.6436851251158493</v>
      </c>
    </row>
    <row r="66" spans="1:26" s="28" customFormat="1" outlineLevel="1" collapsed="1" x14ac:dyDescent="0.35">
      <c r="A66" s="27"/>
      <c r="B66" s="14" t="str">
        <f>CONCATENATE("     ","Freight out/Postage                               ")</f>
        <v xml:space="preserve">     Freight out/Postage                               </v>
      </c>
      <c r="C66" s="14"/>
      <c r="D66" s="1">
        <f>SUM(OSRRefD22_8x_0)</f>
        <v>8.17</v>
      </c>
      <c r="E66" s="1"/>
      <c r="F66" s="5">
        <f t="shared" si="38"/>
        <v>9.9544968617138829E-5</v>
      </c>
      <c r="G66" s="1"/>
      <c r="H66" s="1">
        <f>SUM(OSRRefH22_8x_0)</f>
        <v>0</v>
      </c>
      <c r="I66" s="1"/>
      <c r="J66" s="5">
        <f t="shared" si="39"/>
        <v>0</v>
      </c>
      <c r="K66" s="1"/>
      <c r="L66" s="1">
        <f t="shared" si="40"/>
        <v>8.17</v>
      </c>
      <c r="M66" s="1"/>
      <c r="N66" s="5">
        <f t="shared" si="41"/>
        <v>0</v>
      </c>
      <c r="O66" s="14"/>
      <c r="P66" s="1">
        <f>SUM(OSRRefP22_8x_0)</f>
        <v>112.02000000000001</v>
      </c>
      <c r="Q66" s="1"/>
      <c r="R66" s="5">
        <f t="shared" si="42"/>
        <v>4.0168688410566016E-4</v>
      </c>
      <c r="S66" s="1"/>
      <c r="T66" s="1">
        <f>SUM(OSRRefT22_8x_0)</f>
        <v>0</v>
      </c>
      <c r="U66" s="1"/>
      <c r="V66" s="5">
        <f t="shared" si="43"/>
        <v>0</v>
      </c>
      <c r="W66" s="1"/>
      <c r="X66" s="1">
        <f t="shared" si="44"/>
        <v>112.02000000000001</v>
      </c>
      <c r="Y66" s="1"/>
      <c r="Z66" s="5">
        <f t="shared" si="45"/>
        <v>0</v>
      </c>
    </row>
    <row r="67" spans="1:26" s="24" customFormat="1" hidden="1" outlineLevel="2" x14ac:dyDescent="0.35">
      <c r="A67" s="29"/>
      <c r="B67" s="11" t="str">
        <f>CONCATENATE("          ", "6305", " - ", "FREIGHT OUT")</f>
        <v xml:space="preserve">          6305 - FREIGHT OUT</v>
      </c>
      <c r="C67" s="11"/>
      <c r="D67" s="7">
        <v>8.17</v>
      </c>
      <c r="E67" s="2"/>
      <c r="F67" s="6">
        <f t="shared" si="38"/>
        <v>9.9544968617138829E-5</v>
      </c>
      <c r="G67" s="2"/>
      <c r="H67" s="7"/>
      <c r="I67" s="2"/>
      <c r="J67" s="6">
        <f t="shared" si="39"/>
        <v>0</v>
      </c>
      <c r="K67" s="2"/>
      <c r="L67" s="7">
        <f t="shared" si="40"/>
        <v>8.17</v>
      </c>
      <c r="M67" s="2"/>
      <c r="N67" s="6">
        <f t="shared" si="41"/>
        <v>0</v>
      </c>
      <c r="O67" s="11"/>
      <c r="P67" s="7">
        <v>117.43</v>
      </c>
      <c r="Q67" s="2"/>
      <c r="R67" s="6">
        <f t="shared" si="42"/>
        <v>4.2108633101702975E-4</v>
      </c>
      <c r="S67" s="2"/>
      <c r="T67" s="7"/>
      <c r="U67" s="2"/>
      <c r="V67" s="6">
        <f t="shared" si="43"/>
        <v>0</v>
      </c>
      <c r="W67" s="2"/>
      <c r="X67" s="7">
        <f t="shared" si="44"/>
        <v>117.43</v>
      </c>
      <c r="Y67" s="2"/>
      <c r="Z67" s="6">
        <f t="shared" si="45"/>
        <v>0</v>
      </c>
    </row>
    <row r="68" spans="1:26" s="24" customFormat="1" hidden="1" outlineLevel="2" x14ac:dyDescent="0.35">
      <c r="A68" s="29"/>
      <c r="B68" s="11" t="str">
        <f>CONCATENATE("          ", "6307", " - ", "POSTAGE")</f>
        <v xml:space="preserve">          6307 - POSTAGE</v>
      </c>
      <c r="C68" s="11"/>
      <c r="D68" s="7"/>
      <c r="E68" s="2"/>
      <c r="F68" s="6">
        <f t="shared" si="38"/>
        <v>0</v>
      </c>
      <c r="G68" s="2"/>
      <c r="H68" s="7"/>
      <c r="I68" s="2"/>
      <c r="J68" s="6">
        <f t="shared" si="39"/>
        <v>0</v>
      </c>
      <c r="K68" s="2"/>
      <c r="L68" s="7">
        <f t="shared" si="40"/>
        <v>0</v>
      </c>
      <c r="M68" s="2"/>
      <c r="N68" s="6">
        <f t="shared" si="41"/>
        <v>0</v>
      </c>
      <c r="O68" s="11"/>
      <c r="P68" s="7">
        <v>-5.41</v>
      </c>
      <c r="Q68" s="2"/>
      <c r="R68" s="6">
        <f t="shared" si="42"/>
        <v>-1.9399446911369591E-5</v>
      </c>
      <c r="S68" s="2"/>
      <c r="T68" s="7"/>
      <c r="U68" s="2"/>
      <c r="V68" s="6">
        <f t="shared" si="43"/>
        <v>0</v>
      </c>
      <c r="W68" s="2"/>
      <c r="X68" s="7">
        <f t="shared" si="44"/>
        <v>-5.41</v>
      </c>
      <c r="Y68" s="2"/>
      <c r="Z68" s="6">
        <f t="shared" si="45"/>
        <v>0</v>
      </c>
    </row>
    <row r="69" spans="1:26" s="28" customFormat="1" outlineLevel="1" collapsed="1" x14ac:dyDescent="0.35">
      <c r="A69" s="27"/>
      <c r="B69" s="14" t="str">
        <f>CONCATENATE("     ","General                                           ")</f>
        <v xml:space="preserve">     General                                           </v>
      </c>
      <c r="C69" s="14"/>
      <c r="D69" s="1">
        <f>SUM(OSRRefD22_9x_0)</f>
        <v>-24.99</v>
      </c>
      <c r="E69" s="1"/>
      <c r="F69" s="5">
        <f t="shared" ref="F69:F81" si="46">IF(D$12=0,0,D69/D$12)</f>
        <v>-3.0448332506025696E-4</v>
      </c>
      <c r="G69" s="1"/>
      <c r="H69" s="1">
        <f>SUM(OSRRefH22_9x_0)</f>
        <v>0</v>
      </c>
      <c r="I69" s="1"/>
      <c r="J69" s="5">
        <f t="shared" ref="J69:J81" si="47">IF(H$12=0,0,H69/H$12)</f>
        <v>0</v>
      </c>
      <c r="K69" s="1"/>
      <c r="L69" s="1">
        <f t="shared" ref="L69:L81" si="48">+D69-H69</f>
        <v>-24.99</v>
      </c>
      <c r="M69" s="1"/>
      <c r="N69" s="5">
        <f t="shared" ref="N69:N81" si="49">IF(H69=0,0,L69/H69)</f>
        <v>0</v>
      </c>
      <c r="O69" s="14"/>
      <c r="P69" s="1">
        <f>SUM(OSRRefP22_9x_0)</f>
        <v>7865.94</v>
      </c>
      <c r="Q69" s="1"/>
      <c r="R69" s="5">
        <f t="shared" ref="R69:R81" si="50">IF(P$12=0,0,P69/P$12)</f>
        <v>2.820607863919011E-2</v>
      </c>
      <c r="S69" s="1"/>
      <c r="T69" s="1">
        <f>SUM(OSRRefT22_9x_0)</f>
        <v>7960</v>
      </c>
      <c r="U69" s="1"/>
      <c r="V69" s="5">
        <f t="shared" ref="V69:V81" si="51">IF(T$12=0,0,T69/T$12)</f>
        <v>2.2405935884119651E-2</v>
      </c>
      <c r="W69" s="1"/>
      <c r="X69" s="1">
        <f t="shared" ref="X69:X81" si="52">+P69-T69</f>
        <v>-94.0600000000004</v>
      </c>
      <c r="Y69" s="1"/>
      <c r="Z69" s="5">
        <f t="shared" ref="Z69:Z81" si="53">IF(T69=0,0,X69/T69)</f>
        <v>-1.1816582914572915E-2</v>
      </c>
    </row>
    <row r="70" spans="1:26" s="24" customFormat="1" hidden="1" outlineLevel="2" x14ac:dyDescent="0.35">
      <c r="A70" s="29"/>
      <c r="B70" s="11" t="str">
        <f>CONCATENATE("          ", "6279", " - ", "GENERAL EXPENSE")</f>
        <v xml:space="preserve">          6279 - GENERAL EXPENSE</v>
      </c>
      <c r="C70" s="11"/>
      <c r="D70" s="7">
        <v>-24.99</v>
      </c>
      <c r="E70" s="2"/>
      <c r="F70" s="6">
        <f t="shared" si="46"/>
        <v>-3.0448332506025696E-4</v>
      </c>
      <c r="G70" s="2"/>
      <c r="H70" s="7">
        <v>0</v>
      </c>
      <c r="I70" s="2"/>
      <c r="J70" s="6">
        <f t="shared" si="47"/>
        <v>0</v>
      </c>
      <c r="K70" s="2"/>
      <c r="L70" s="7">
        <f t="shared" si="48"/>
        <v>-24.99</v>
      </c>
      <c r="M70" s="2"/>
      <c r="N70" s="6">
        <f t="shared" si="49"/>
        <v>0</v>
      </c>
      <c r="O70" s="11"/>
      <c r="P70" s="7">
        <v>7865.94</v>
      </c>
      <c r="Q70" s="2"/>
      <c r="R70" s="6">
        <f t="shared" si="50"/>
        <v>2.820607863919011E-2</v>
      </c>
      <c r="S70" s="2"/>
      <c r="T70" s="7">
        <v>7960</v>
      </c>
      <c r="U70" s="2"/>
      <c r="V70" s="6">
        <f t="shared" si="51"/>
        <v>2.2405935884119651E-2</v>
      </c>
      <c r="W70" s="2"/>
      <c r="X70" s="7">
        <f t="shared" si="52"/>
        <v>-94.0600000000004</v>
      </c>
      <c r="Y70" s="2"/>
      <c r="Z70" s="6">
        <f t="shared" si="53"/>
        <v>-1.1816582914572915E-2</v>
      </c>
    </row>
    <row r="71" spans="1:26" s="28" customFormat="1" outlineLevel="1" collapsed="1" x14ac:dyDescent="0.35">
      <c r="A71" s="27"/>
      <c r="B71" s="14" t="str">
        <f>CONCATENATE("     ","Insurance                                         ")</f>
        <v xml:space="preserve">     Insurance                                         </v>
      </c>
      <c r="C71" s="14"/>
      <c r="D71" s="1">
        <f>SUM(OSRRefD22_10x_0)</f>
        <v>4483.67</v>
      </c>
      <c r="E71" s="1"/>
      <c r="F71" s="5">
        <f t="shared" si="46"/>
        <v>5.4629961987711979E-2</v>
      </c>
      <c r="G71" s="1"/>
      <c r="H71" s="1">
        <f>SUM(OSRRefH22_10x_0)</f>
        <v>4835</v>
      </c>
      <c r="I71" s="1"/>
      <c r="J71" s="5">
        <f t="shared" si="47"/>
        <v>6.0578344651314307E-2</v>
      </c>
      <c r="K71" s="1"/>
      <c r="L71" s="1">
        <f t="shared" si="48"/>
        <v>-351.32999999999993</v>
      </c>
      <c r="M71" s="1"/>
      <c r="N71" s="5">
        <f t="shared" si="49"/>
        <v>-7.2663908996897605E-2</v>
      </c>
      <c r="O71" s="14"/>
      <c r="P71" s="1">
        <f>SUM(OSRRefP22_10x_0)</f>
        <v>37497.689999999995</v>
      </c>
      <c r="Q71" s="1"/>
      <c r="R71" s="5">
        <f t="shared" si="50"/>
        <v>0.13446108067541482</v>
      </c>
      <c r="S71" s="1"/>
      <c r="T71" s="1">
        <f>SUM(OSRRefT22_10x_0)</f>
        <v>33845</v>
      </c>
      <c r="U71" s="1"/>
      <c r="V71" s="5">
        <f t="shared" si="51"/>
        <v>9.5267449748496186E-2</v>
      </c>
      <c r="W71" s="1"/>
      <c r="X71" s="1">
        <f t="shared" si="52"/>
        <v>3652.6899999999951</v>
      </c>
      <c r="Y71" s="1"/>
      <c r="Z71" s="5">
        <f t="shared" si="53"/>
        <v>0.10792406559314507</v>
      </c>
    </row>
    <row r="72" spans="1:26" s="24" customFormat="1" hidden="1" outlineLevel="2" x14ac:dyDescent="0.35">
      <c r="A72" s="29"/>
      <c r="B72" s="11" t="str">
        <f>CONCATENATE("          ", "6314", " - ", "LIABILITY INSURANCE")</f>
        <v xml:space="preserve">          6314 - LIABILITY INSURANCE</v>
      </c>
      <c r="C72" s="11"/>
      <c r="D72" s="7">
        <v>4483.67</v>
      </c>
      <c r="E72" s="2"/>
      <c r="F72" s="6">
        <f t="shared" si="46"/>
        <v>5.4629961987711979E-2</v>
      </c>
      <c r="G72" s="2"/>
      <c r="H72" s="7">
        <v>4835</v>
      </c>
      <c r="I72" s="2"/>
      <c r="J72" s="6">
        <f t="shared" si="47"/>
        <v>6.0578344651314307E-2</v>
      </c>
      <c r="K72" s="2"/>
      <c r="L72" s="7">
        <f t="shared" si="48"/>
        <v>-351.32999999999993</v>
      </c>
      <c r="M72" s="2"/>
      <c r="N72" s="6">
        <f t="shared" si="49"/>
        <v>-7.2663908996897605E-2</v>
      </c>
      <c r="O72" s="11"/>
      <c r="P72" s="7">
        <v>37497.689999999995</v>
      </c>
      <c r="Q72" s="2"/>
      <c r="R72" s="6">
        <f t="shared" si="50"/>
        <v>0.13446108067541482</v>
      </c>
      <c r="S72" s="2"/>
      <c r="T72" s="7">
        <v>33845</v>
      </c>
      <c r="U72" s="2"/>
      <c r="V72" s="6">
        <f t="shared" si="51"/>
        <v>9.5267449748496186E-2</v>
      </c>
      <c r="W72" s="2"/>
      <c r="X72" s="7">
        <f t="shared" si="52"/>
        <v>3652.6899999999951</v>
      </c>
      <c r="Y72" s="2"/>
      <c r="Z72" s="6">
        <f t="shared" si="53"/>
        <v>0.10792406559314507</v>
      </c>
    </row>
    <row r="73" spans="1:26" s="28" customFormat="1" outlineLevel="1" collapsed="1" x14ac:dyDescent="0.35">
      <c r="A73" s="27"/>
      <c r="B73" s="14" t="str">
        <f>CONCATENATE("     ","Interest                                          ")</f>
        <v xml:space="preserve">     Interest                                          </v>
      </c>
      <c r="C73" s="14"/>
      <c r="D73" s="1">
        <f>SUM(OSRRefD22_11x_0)</f>
        <v>11554</v>
      </c>
      <c r="E73" s="1"/>
      <c r="F73" s="5">
        <f t="shared" si="46"/>
        <v>0.14077632403946413</v>
      </c>
      <c r="G73" s="1"/>
      <c r="H73" s="1">
        <f>SUM(OSRRefH22_11x_0)</f>
        <v>11554</v>
      </c>
      <c r="I73" s="1"/>
      <c r="J73" s="5">
        <f t="shared" si="47"/>
        <v>0.14476157065176534</v>
      </c>
      <c r="K73" s="1"/>
      <c r="L73" s="1">
        <f t="shared" si="48"/>
        <v>0</v>
      </c>
      <c r="M73" s="1"/>
      <c r="N73" s="5">
        <f t="shared" si="49"/>
        <v>0</v>
      </c>
      <c r="O73" s="14"/>
      <c r="P73" s="1">
        <f>SUM(OSRRefP22_11x_0)</f>
        <v>80129</v>
      </c>
      <c r="Q73" s="1"/>
      <c r="R73" s="5">
        <f t="shared" si="50"/>
        <v>0.28733055112035744</v>
      </c>
      <c r="S73" s="1"/>
      <c r="T73" s="1">
        <f>SUM(OSRRefT22_11x_0)</f>
        <v>80878</v>
      </c>
      <c r="U73" s="1"/>
      <c r="V73" s="5">
        <f t="shared" si="51"/>
        <v>0.22765669377334538</v>
      </c>
      <c r="W73" s="1"/>
      <c r="X73" s="1">
        <f t="shared" si="52"/>
        <v>-749</v>
      </c>
      <c r="Y73" s="1"/>
      <c r="Z73" s="5">
        <f t="shared" si="53"/>
        <v>-9.2608620391206511E-3</v>
      </c>
    </row>
    <row r="74" spans="1:26" s="24" customFormat="1" hidden="1" outlineLevel="2" x14ac:dyDescent="0.35">
      <c r="A74" s="29"/>
      <c r="B74" s="11" t="str">
        <f>CONCATENATE("          ", "6401", " - ", "INTEREST EXPENSE")</f>
        <v xml:space="preserve">          6401 - INTEREST EXPENSE</v>
      </c>
      <c r="C74" s="11"/>
      <c r="D74" s="7">
        <v>11554</v>
      </c>
      <c r="E74" s="2"/>
      <c r="F74" s="6">
        <f t="shared" si="46"/>
        <v>0.14077632403946413</v>
      </c>
      <c r="G74" s="2"/>
      <c r="H74" s="7">
        <v>11554</v>
      </c>
      <c r="I74" s="2"/>
      <c r="J74" s="6">
        <f t="shared" si="47"/>
        <v>0.14476157065176534</v>
      </c>
      <c r="K74" s="2"/>
      <c r="L74" s="7">
        <f t="shared" si="48"/>
        <v>0</v>
      </c>
      <c r="M74" s="2"/>
      <c r="N74" s="6">
        <f t="shared" si="49"/>
        <v>0</v>
      </c>
      <c r="O74" s="11"/>
      <c r="P74" s="7">
        <v>80129</v>
      </c>
      <c r="Q74" s="2"/>
      <c r="R74" s="6">
        <f t="shared" si="50"/>
        <v>0.28733055112035744</v>
      </c>
      <c r="S74" s="2"/>
      <c r="T74" s="7">
        <v>80878</v>
      </c>
      <c r="U74" s="2"/>
      <c r="V74" s="6">
        <f t="shared" si="51"/>
        <v>0.22765669377334538</v>
      </c>
      <c r="W74" s="2"/>
      <c r="X74" s="7">
        <f t="shared" si="52"/>
        <v>-749</v>
      </c>
      <c r="Y74" s="2"/>
      <c r="Z74" s="6">
        <f t="shared" si="53"/>
        <v>-9.2608620391206511E-3</v>
      </c>
    </row>
    <row r="75" spans="1:26" s="28" customFormat="1" outlineLevel="1" collapsed="1" x14ac:dyDescent="0.35">
      <c r="A75" s="27"/>
      <c r="B75" s="14" t="str">
        <f>CONCATENATE("     ","Rent                                              ")</f>
        <v xml:space="preserve">     Rent                                              </v>
      </c>
      <c r="C75" s="14"/>
      <c r="D75" s="1">
        <f>SUM(OSRRefD22_12x_0)</f>
        <v>0</v>
      </c>
      <c r="E75" s="1"/>
      <c r="F75" s="5">
        <f t="shared" si="46"/>
        <v>0</v>
      </c>
      <c r="G75" s="1"/>
      <c r="H75" s="1">
        <f>SUM(OSRRefH22_12x_0)</f>
        <v>1943</v>
      </c>
      <c r="I75" s="1"/>
      <c r="J75" s="5">
        <f t="shared" si="47"/>
        <v>2.4344100032575738E-2</v>
      </c>
      <c r="K75" s="1"/>
      <c r="L75" s="1">
        <f t="shared" si="48"/>
        <v>-1943</v>
      </c>
      <c r="M75" s="1"/>
      <c r="N75" s="5">
        <f t="shared" si="49"/>
        <v>-1</v>
      </c>
      <c r="O75" s="14"/>
      <c r="P75" s="1">
        <f>SUM(OSRRefP22_12x_0)</f>
        <v>11100</v>
      </c>
      <c r="Q75" s="1"/>
      <c r="R75" s="5">
        <f t="shared" si="50"/>
        <v>3.9802931740518008E-2</v>
      </c>
      <c r="S75" s="1"/>
      <c r="T75" s="1">
        <f>SUM(OSRRefT22_12x_0)</f>
        <v>13601</v>
      </c>
      <c r="U75" s="1"/>
      <c r="V75" s="5">
        <f t="shared" si="51"/>
        <v>3.8284313311546657E-2</v>
      </c>
      <c r="W75" s="1"/>
      <c r="X75" s="1">
        <f t="shared" si="52"/>
        <v>-2501</v>
      </c>
      <c r="Y75" s="1"/>
      <c r="Z75" s="5">
        <f t="shared" si="53"/>
        <v>-0.18388353797514889</v>
      </c>
    </row>
    <row r="76" spans="1:26" s="24" customFormat="1" hidden="1" outlineLevel="2" x14ac:dyDescent="0.35">
      <c r="A76" s="29"/>
      <c r="B76" s="11" t="str">
        <f>CONCATENATE("          ", "6273", " - ", "RENT")</f>
        <v xml:space="preserve">          6273 - RENT</v>
      </c>
      <c r="C76" s="11"/>
      <c r="D76" s="7"/>
      <c r="E76" s="2"/>
      <c r="F76" s="6">
        <f t="shared" si="46"/>
        <v>0</v>
      </c>
      <c r="G76" s="2"/>
      <c r="H76" s="7">
        <v>1943</v>
      </c>
      <c r="I76" s="2"/>
      <c r="J76" s="6">
        <f t="shared" si="47"/>
        <v>2.4344100032575738E-2</v>
      </c>
      <c r="K76" s="2"/>
      <c r="L76" s="7">
        <f t="shared" si="48"/>
        <v>-1943</v>
      </c>
      <c r="M76" s="2"/>
      <c r="N76" s="6">
        <f t="shared" si="49"/>
        <v>-1</v>
      </c>
      <c r="O76" s="11"/>
      <c r="P76" s="7">
        <v>11100</v>
      </c>
      <c r="Q76" s="2"/>
      <c r="R76" s="6">
        <f t="shared" si="50"/>
        <v>3.9802931740518008E-2</v>
      </c>
      <c r="S76" s="2"/>
      <c r="T76" s="7">
        <v>13601</v>
      </c>
      <c r="U76" s="2"/>
      <c r="V76" s="6">
        <f t="shared" si="51"/>
        <v>3.8284313311546657E-2</v>
      </c>
      <c r="W76" s="2"/>
      <c r="X76" s="7">
        <f t="shared" si="52"/>
        <v>-2501</v>
      </c>
      <c r="Y76" s="2"/>
      <c r="Z76" s="6">
        <f t="shared" si="53"/>
        <v>-0.18388353797514889</v>
      </c>
    </row>
    <row r="77" spans="1:26" s="28" customFormat="1" outlineLevel="1" collapsed="1" x14ac:dyDescent="0.35">
      <c r="A77" s="27"/>
      <c r="B77" s="14" t="str">
        <f>CONCATENATE("     ","Repair and Maintenance                            ")</f>
        <v xml:space="preserve">     Repair and Maintenance                            </v>
      </c>
      <c r="C77" s="14"/>
      <c r="D77" s="1">
        <f>SUM(OSRRefD22_13x_0)</f>
        <v>2909.21</v>
      </c>
      <c r="E77" s="1"/>
      <c r="F77" s="5">
        <f t="shared" si="46"/>
        <v>3.5446415930314133E-2</v>
      </c>
      <c r="G77" s="1"/>
      <c r="H77" s="1">
        <f>SUM(OSRRefH22_13x_0)</f>
        <v>3760</v>
      </c>
      <c r="I77" s="1"/>
      <c r="J77" s="5">
        <f t="shared" si="47"/>
        <v>4.7109529656451252E-2</v>
      </c>
      <c r="K77" s="1"/>
      <c r="L77" s="1">
        <f t="shared" si="48"/>
        <v>-850.79</v>
      </c>
      <c r="M77" s="1"/>
      <c r="N77" s="5">
        <f t="shared" si="49"/>
        <v>-0.22627393617021277</v>
      </c>
      <c r="O77" s="14"/>
      <c r="P77" s="1">
        <f>SUM(OSRRefP22_13x_0)</f>
        <v>25060.04</v>
      </c>
      <c r="Q77" s="1"/>
      <c r="R77" s="5">
        <f t="shared" si="50"/>
        <v>8.9861537075193787E-2</v>
      </c>
      <c r="S77" s="1"/>
      <c r="T77" s="1">
        <f>SUM(OSRRefT22_13x_0)</f>
        <v>22679</v>
      </c>
      <c r="U77" s="1"/>
      <c r="V77" s="5">
        <f t="shared" si="51"/>
        <v>6.3837213557280101E-2</v>
      </c>
      <c r="W77" s="1"/>
      <c r="X77" s="1">
        <f t="shared" si="52"/>
        <v>2381.0400000000009</v>
      </c>
      <c r="Y77" s="1"/>
      <c r="Z77" s="5">
        <f t="shared" si="53"/>
        <v>0.10498875611799466</v>
      </c>
    </row>
    <row r="78" spans="1:26" s="24" customFormat="1" hidden="1" outlineLevel="2" x14ac:dyDescent="0.35">
      <c r="A78" s="29"/>
      <c r="B78" s="11" t="str">
        <f>CONCATENATE("          ", "6371", " - ", "COMPUTER SOFTWARE MAINTENANCE")</f>
        <v xml:space="preserve">          6371 - COMPUTER SOFTWARE MAINTENANCE</v>
      </c>
      <c r="C78" s="11"/>
      <c r="D78" s="7"/>
      <c r="E78" s="2"/>
      <c r="F78" s="6">
        <f t="shared" si="46"/>
        <v>0</v>
      </c>
      <c r="G78" s="2"/>
      <c r="H78" s="7"/>
      <c r="I78" s="2"/>
      <c r="J78" s="6">
        <f t="shared" si="47"/>
        <v>0</v>
      </c>
      <c r="K78" s="2"/>
      <c r="L78" s="7">
        <f t="shared" si="48"/>
        <v>0</v>
      </c>
      <c r="M78" s="2"/>
      <c r="N78" s="6">
        <f t="shared" si="49"/>
        <v>0</v>
      </c>
      <c r="O78" s="11"/>
      <c r="P78" s="7"/>
      <c r="Q78" s="2"/>
      <c r="R78" s="6">
        <f t="shared" si="50"/>
        <v>0</v>
      </c>
      <c r="S78" s="2"/>
      <c r="T78" s="7">
        <v>43</v>
      </c>
      <c r="U78" s="2"/>
      <c r="V78" s="6">
        <f t="shared" si="51"/>
        <v>1.2103709083129964E-4</v>
      </c>
      <c r="W78" s="2"/>
      <c r="X78" s="7">
        <f t="shared" si="52"/>
        <v>-43</v>
      </c>
      <c r="Y78" s="2"/>
      <c r="Z78" s="6">
        <f t="shared" si="53"/>
        <v>-1</v>
      </c>
    </row>
    <row r="79" spans="1:26" s="24" customFormat="1" hidden="1" outlineLevel="2" x14ac:dyDescent="0.35">
      <c r="A79" s="29"/>
      <c r="B79" s="11" t="str">
        <f>CONCATENATE("          ", "6372", " - ", "COMPUTER HARDWARE MAINTENANCE")</f>
        <v xml:space="preserve">          6372 - COMPUTER HARDWARE MAINTENANCE</v>
      </c>
      <c r="C79" s="11"/>
      <c r="D79" s="7"/>
      <c r="E79" s="2"/>
      <c r="F79" s="6">
        <f t="shared" si="46"/>
        <v>0</v>
      </c>
      <c r="G79" s="2"/>
      <c r="H79" s="7">
        <v>0</v>
      </c>
      <c r="I79" s="2"/>
      <c r="J79" s="6">
        <f t="shared" si="47"/>
        <v>0</v>
      </c>
      <c r="K79" s="2"/>
      <c r="L79" s="7">
        <f t="shared" si="48"/>
        <v>0</v>
      </c>
      <c r="M79" s="2"/>
      <c r="N79" s="6">
        <f t="shared" si="49"/>
        <v>0</v>
      </c>
      <c r="O79" s="11"/>
      <c r="P79" s="7"/>
      <c r="Q79" s="2"/>
      <c r="R79" s="6">
        <f t="shared" si="50"/>
        <v>0</v>
      </c>
      <c r="S79" s="2"/>
      <c r="T79" s="7">
        <v>437</v>
      </c>
      <c r="U79" s="2"/>
      <c r="V79" s="6">
        <f t="shared" si="51"/>
        <v>1.2300746207739054E-3</v>
      </c>
      <c r="W79" s="2"/>
      <c r="X79" s="7">
        <f t="shared" si="52"/>
        <v>-437</v>
      </c>
      <c r="Y79" s="2"/>
      <c r="Z79" s="6">
        <f t="shared" si="53"/>
        <v>-1</v>
      </c>
    </row>
    <row r="80" spans="1:26" s="24" customFormat="1" hidden="1" outlineLevel="2" x14ac:dyDescent="0.35">
      <c r="A80" s="29"/>
      <c r="B80" s="11" t="str">
        <f>CONCATENATE("          ", "6373", " - ", "MAINTENANCE CONTRACTS")</f>
        <v xml:space="preserve">          6373 - MAINTENANCE CONTRACTS</v>
      </c>
      <c r="C80" s="11"/>
      <c r="D80" s="7"/>
      <c r="E80" s="2"/>
      <c r="F80" s="6">
        <f t="shared" si="46"/>
        <v>0</v>
      </c>
      <c r="G80" s="2"/>
      <c r="H80" s="7">
        <v>21</v>
      </c>
      <c r="I80" s="2"/>
      <c r="J80" s="6">
        <f t="shared" si="47"/>
        <v>2.6311173478337136E-4</v>
      </c>
      <c r="K80" s="2"/>
      <c r="L80" s="7">
        <f t="shared" si="48"/>
        <v>-21</v>
      </c>
      <c r="M80" s="2"/>
      <c r="N80" s="6">
        <f t="shared" si="49"/>
        <v>-1</v>
      </c>
      <c r="O80" s="11"/>
      <c r="P80" s="7">
        <v>11978.04</v>
      </c>
      <c r="Q80" s="2"/>
      <c r="R80" s="6">
        <f t="shared" si="50"/>
        <v>4.2951451216684179E-2</v>
      </c>
      <c r="S80" s="2"/>
      <c r="T80" s="7">
        <v>4000</v>
      </c>
      <c r="U80" s="2"/>
      <c r="V80" s="6">
        <f t="shared" si="51"/>
        <v>1.1259264263376709E-2</v>
      </c>
      <c r="W80" s="2"/>
      <c r="X80" s="7">
        <f t="shared" si="52"/>
        <v>7978.0400000000009</v>
      </c>
      <c r="Y80" s="2"/>
      <c r="Z80" s="6">
        <f t="shared" si="53"/>
        <v>1.9945100000000002</v>
      </c>
    </row>
    <row r="81" spans="1:26" s="24" customFormat="1" hidden="1" outlineLevel="2" x14ac:dyDescent="0.35">
      <c r="A81" s="29"/>
      <c r="B81" s="11" t="str">
        <f>CONCATENATE("          ", "6375", " - ", "OUTSIDE REPAIRS &amp; MAINTENANCE")</f>
        <v xml:space="preserve">          6375 - OUTSIDE REPAIRS &amp; MAINTENANCE</v>
      </c>
      <c r="C81" s="11"/>
      <c r="D81" s="7">
        <v>2909.21</v>
      </c>
      <c r="E81" s="2"/>
      <c r="F81" s="6">
        <f t="shared" si="46"/>
        <v>3.5446415930314133E-2</v>
      </c>
      <c r="G81" s="2"/>
      <c r="H81" s="7">
        <v>3739</v>
      </c>
      <c r="I81" s="2"/>
      <c r="J81" s="6">
        <f t="shared" si="47"/>
        <v>4.6846417921667875E-2</v>
      </c>
      <c r="K81" s="2"/>
      <c r="L81" s="7">
        <f t="shared" si="48"/>
        <v>-829.79</v>
      </c>
      <c r="M81" s="2"/>
      <c r="N81" s="6">
        <f t="shared" si="49"/>
        <v>-0.22192832308103769</v>
      </c>
      <c r="O81" s="11"/>
      <c r="P81" s="7">
        <v>13082</v>
      </c>
      <c r="Q81" s="2"/>
      <c r="R81" s="6">
        <f t="shared" si="50"/>
        <v>4.6910085858509608E-2</v>
      </c>
      <c r="S81" s="2"/>
      <c r="T81" s="7">
        <v>18199</v>
      </c>
      <c r="U81" s="2"/>
      <c r="V81" s="6">
        <f t="shared" si="51"/>
        <v>5.1226837582298186E-2</v>
      </c>
      <c r="W81" s="2"/>
      <c r="X81" s="7">
        <f t="shared" si="52"/>
        <v>-5117</v>
      </c>
      <c r="Y81" s="2"/>
      <c r="Z81" s="6">
        <f t="shared" si="53"/>
        <v>-0.28116929501620969</v>
      </c>
    </row>
    <row r="82" spans="1:26" s="28" customFormat="1" outlineLevel="1" collapsed="1" x14ac:dyDescent="0.35">
      <c r="A82" s="27"/>
      <c r="B82" s="14" t="str">
        <f>CONCATENATE("     ","Royalty &amp; Commissions                             ")</f>
        <v xml:space="preserve">     Royalty &amp; Commissions                             </v>
      </c>
      <c r="C82" s="14"/>
      <c r="D82" s="1">
        <f>SUM(OSRRefD22_14x_0)</f>
        <v>0</v>
      </c>
      <c r="E82" s="1"/>
      <c r="F82" s="5">
        <f t="shared" ref="F82:F84" si="54">IF(D$12=0,0,D82/D$12)</f>
        <v>0</v>
      </c>
      <c r="G82" s="1"/>
      <c r="H82" s="1">
        <f>SUM(OSRRefH22_14x_0)</f>
        <v>928</v>
      </c>
      <c r="I82" s="1"/>
      <c r="J82" s="5">
        <f t="shared" ref="J82:J84" si="55">IF(H$12=0,0,H82/H$12)</f>
        <v>1.1627032851379457E-2</v>
      </c>
      <c r="K82" s="1"/>
      <c r="L82" s="1">
        <f t="shared" ref="L82:L84" si="56">+D82-H82</f>
        <v>-928</v>
      </c>
      <c r="M82" s="1"/>
      <c r="N82" s="5">
        <f t="shared" ref="N82:N84" si="57">IF(H82=0,0,L82/H82)</f>
        <v>-1</v>
      </c>
      <c r="O82" s="14"/>
      <c r="P82" s="1">
        <f>SUM(OSRRefP22_14x_0)</f>
        <v>185.7</v>
      </c>
      <c r="Q82" s="1"/>
      <c r="R82" s="5">
        <f t="shared" ref="R82:R84" si="58">IF(P$12=0,0,P82/P$12)</f>
        <v>6.6589229046974717E-4</v>
      </c>
      <c r="S82" s="1"/>
      <c r="T82" s="1">
        <f>SUM(OSRRefT22_14x_0)</f>
        <v>4086</v>
      </c>
      <c r="U82" s="1"/>
      <c r="V82" s="5">
        <f t="shared" ref="V82:V84" si="59">IF(T$12=0,0,T82/T$12)</f>
        <v>1.1501338445039309E-2</v>
      </c>
      <c r="W82" s="1"/>
      <c r="X82" s="1">
        <f t="shared" ref="X82:X84" si="60">+P82-T82</f>
        <v>-3900.3</v>
      </c>
      <c r="Y82" s="1"/>
      <c r="Z82" s="5">
        <f t="shared" ref="Z82:Z84" si="61">IF(T82=0,0,X82/T82)</f>
        <v>-0.95455212922173283</v>
      </c>
    </row>
    <row r="83" spans="1:26" s="24" customFormat="1" hidden="1" outlineLevel="2" x14ac:dyDescent="0.35">
      <c r="A83" s="29"/>
      <c r="B83" s="11" t="str">
        <f>CONCATENATE("          ", "6254", " - ", "ROYALTY &amp; COMMISSIONS")</f>
        <v xml:space="preserve">          6254 - ROYALTY &amp; COMMISSIONS</v>
      </c>
      <c r="C83" s="11"/>
      <c r="D83" s="7"/>
      <c r="E83" s="2"/>
      <c r="F83" s="6">
        <f t="shared" si="54"/>
        <v>0</v>
      </c>
      <c r="G83" s="2"/>
      <c r="H83" s="7">
        <v>0</v>
      </c>
      <c r="I83" s="2"/>
      <c r="J83" s="6">
        <f t="shared" si="55"/>
        <v>0</v>
      </c>
      <c r="K83" s="2"/>
      <c r="L83" s="7">
        <f t="shared" si="56"/>
        <v>0</v>
      </c>
      <c r="M83" s="2"/>
      <c r="N83" s="6">
        <f t="shared" si="57"/>
        <v>0</v>
      </c>
      <c r="O83" s="11"/>
      <c r="P83" s="7">
        <v>185.7</v>
      </c>
      <c r="Q83" s="2"/>
      <c r="R83" s="6">
        <f t="shared" si="58"/>
        <v>6.6589229046974717E-4</v>
      </c>
      <c r="S83" s="2"/>
      <c r="T83" s="7">
        <v>0</v>
      </c>
      <c r="U83" s="2"/>
      <c r="V83" s="6">
        <f t="shared" si="59"/>
        <v>0</v>
      </c>
      <c r="W83" s="2"/>
      <c r="X83" s="7">
        <f t="shared" si="60"/>
        <v>185.7</v>
      </c>
      <c r="Y83" s="2"/>
      <c r="Z83" s="6">
        <f t="shared" si="61"/>
        <v>0</v>
      </c>
    </row>
    <row r="84" spans="1:26" s="24" customFormat="1" hidden="1" outlineLevel="2" x14ac:dyDescent="0.35">
      <c r="A84" s="29"/>
      <c r="B84" s="11" t="str">
        <f>CONCATENATE("          ", "6259", " - ", "ROYALTY &amp; COMMISSIONS")</f>
        <v xml:space="preserve">          6259 - ROYALTY &amp; COMMISSIONS</v>
      </c>
      <c r="C84" s="11"/>
      <c r="D84" s="7"/>
      <c r="E84" s="2"/>
      <c r="F84" s="6">
        <f t="shared" si="54"/>
        <v>0</v>
      </c>
      <c r="G84" s="2"/>
      <c r="H84" s="7">
        <v>928</v>
      </c>
      <c r="I84" s="2"/>
      <c r="J84" s="6">
        <f t="shared" si="55"/>
        <v>1.1627032851379457E-2</v>
      </c>
      <c r="K84" s="2"/>
      <c r="L84" s="7">
        <f t="shared" si="56"/>
        <v>-928</v>
      </c>
      <c r="M84" s="2"/>
      <c r="N84" s="6">
        <f t="shared" si="57"/>
        <v>-1</v>
      </c>
      <c r="O84" s="11"/>
      <c r="P84" s="7"/>
      <c r="Q84" s="2"/>
      <c r="R84" s="6">
        <f t="shared" si="58"/>
        <v>0</v>
      </c>
      <c r="S84" s="2"/>
      <c r="T84" s="7">
        <v>4086</v>
      </c>
      <c r="U84" s="2"/>
      <c r="V84" s="6">
        <f t="shared" si="59"/>
        <v>1.1501338445039309E-2</v>
      </c>
      <c r="W84" s="2"/>
      <c r="X84" s="7">
        <f t="shared" si="60"/>
        <v>-4086</v>
      </c>
      <c r="Y84" s="2"/>
      <c r="Z84" s="6">
        <f t="shared" si="61"/>
        <v>-1</v>
      </c>
    </row>
    <row r="85" spans="1:26" s="28" customFormat="1" outlineLevel="1" collapsed="1" x14ac:dyDescent="0.35">
      <c r="A85" s="27"/>
      <c r="B85" s="14" t="str">
        <f>CONCATENATE("     ","Services                                          ")</f>
        <v xml:space="preserve">     Services                                          </v>
      </c>
      <c r="C85" s="14"/>
      <c r="D85" s="1">
        <f>SUM(OSRRefD22_15x_0)</f>
        <v>8369.75</v>
      </c>
      <c r="E85" s="1"/>
      <c r="F85" s="5">
        <f t="shared" ref="F85:F90" si="62">IF(D$12=0,0,D85/D$12)</f>
        <v>0.10197876390248442</v>
      </c>
      <c r="G85" s="1"/>
      <c r="H85" s="1">
        <f>SUM(OSRRefH22_15x_0)</f>
        <v>9468</v>
      </c>
      <c r="I85" s="1"/>
      <c r="J85" s="5">
        <f t="shared" ref="J85:J90" si="63">IF(H$12=0,0,H85/H$12)</f>
        <v>0.11862580499661714</v>
      </c>
      <c r="K85" s="1"/>
      <c r="L85" s="1">
        <f t="shared" ref="L85:L90" si="64">+D85-H85</f>
        <v>-1098.25</v>
      </c>
      <c r="M85" s="1"/>
      <c r="N85" s="5">
        <f t="shared" ref="N85:N90" si="65">IF(H85=0,0,L85/H85)</f>
        <v>-0.11599598648077736</v>
      </c>
      <c r="O85" s="14"/>
      <c r="P85" s="1">
        <f>SUM(OSRRefP22_15x_0)</f>
        <v>45412.9</v>
      </c>
      <c r="Q85" s="1"/>
      <c r="R85" s="5">
        <f t="shared" ref="R85:R90" si="66">IF(P$12=0,0,P85/P$12)</f>
        <v>0.16284383412963699</v>
      </c>
      <c r="S85" s="1"/>
      <c r="T85" s="1">
        <f>SUM(OSRRefT22_15x_0)</f>
        <v>57809</v>
      </c>
      <c r="U85" s="1"/>
      <c r="V85" s="5">
        <f t="shared" ref="V85:V90" si="67">IF(T$12=0,0,T85/T$12)</f>
        <v>0.16272170195038604</v>
      </c>
      <c r="W85" s="1"/>
      <c r="X85" s="1">
        <f t="shared" ref="X85:X90" si="68">+P85-T85</f>
        <v>-12396.099999999999</v>
      </c>
      <c r="Y85" s="1"/>
      <c r="Z85" s="5">
        <f t="shared" ref="Z85:Z90" si="69">IF(T85=0,0,X85/T85)</f>
        <v>-0.21443200885675237</v>
      </c>
    </row>
    <row r="86" spans="1:26" s="24" customFormat="1" hidden="1" outlineLevel="2" x14ac:dyDescent="0.35">
      <c r="A86" s="29"/>
      <c r="B86" s="11" t="str">
        <f>CONCATENATE("          ", "6282", " - ", "JANITORIAL/EXTERMINATOR EXPENS")</f>
        <v xml:space="preserve">          6282 - JANITORIAL/EXTERMINATOR EXPENS</v>
      </c>
      <c r="C86" s="11"/>
      <c r="D86" s="7">
        <v>2711.75</v>
      </c>
      <c r="E86" s="2"/>
      <c r="F86" s="6">
        <f t="shared" si="62"/>
        <v>3.3040522478277386E-2</v>
      </c>
      <c r="G86" s="2"/>
      <c r="H86" s="7">
        <v>1283</v>
      </c>
      <c r="I86" s="2"/>
      <c r="J86" s="6">
        <f t="shared" si="63"/>
        <v>1.607487408224121E-2</v>
      </c>
      <c r="K86" s="2"/>
      <c r="L86" s="7">
        <f t="shared" si="64"/>
        <v>1428.75</v>
      </c>
      <c r="M86" s="2"/>
      <c r="N86" s="6">
        <f t="shared" si="65"/>
        <v>1.1136009353078722</v>
      </c>
      <c r="O86" s="11"/>
      <c r="P86" s="7">
        <v>7549.93</v>
      </c>
      <c r="Q86" s="2"/>
      <c r="R86" s="6">
        <f t="shared" si="66"/>
        <v>2.7072914273485509E-2</v>
      </c>
      <c r="S86" s="2"/>
      <c r="T86" s="7">
        <v>8741</v>
      </c>
      <c r="U86" s="2"/>
      <c r="V86" s="6">
        <f t="shared" si="67"/>
        <v>2.4604307231543956E-2</v>
      </c>
      <c r="W86" s="2"/>
      <c r="X86" s="7">
        <f t="shared" si="68"/>
        <v>-1191.0699999999997</v>
      </c>
      <c r="Y86" s="2"/>
      <c r="Z86" s="6">
        <f t="shared" si="69"/>
        <v>-0.13626244136826446</v>
      </c>
    </row>
    <row r="87" spans="1:26" s="24" customFormat="1" hidden="1" outlineLevel="2" x14ac:dyDescent="0.35">
      <c r="A87" s="29"/>
      <c r="B87" s="11" t="str">
        <f>CONCATENATE("          ", "6283", " - ", "PLANT SERVICE")</f>
        <v xml:space="preserve">          6283 - PLANT SERVICE</v>
      </c>
      <c r="C87" s="11"/>
      <c r="D87" s="7"/>
      <c r="E87" s="2"/>
      <c r="F87" s="6">
        <f t="shared" si="62"/>
        <v>0</v>
      </c>
      <c r="G87" s="2"/>
      <c r="H87" s="7">
        <v>0</v>
      </c>
      <c r="I87" s="2"/>
      <c r="J87" s="6">
        <f t="shared" si="63"/>
        <v>0</v>
      </c>
      <c r="K87" s="2"/>
      <c r="L87" s="7">
        <f t="shared" si="64"/>
        <v>0</v>
      </c>
      <c r="M87" s="2"/>
      <c r="N87" s="6">
        <f t="shared" si="65"/>
        <v>0</v>
      </c>
      <c r="O87" s="11"/>
      <c r="P87" s="7"/>
      <c r="Q87" s="2"/>
      <c r="R87" s="6">
        <f t="shared" si="66"/>
        <v>0</v>
      </c>
      <c r="S87" s="2"/>
      <c r="T87" s="7">
        <v>248</v>
      </c>
      <c r="U87" s="2"/>
      <c r="V87" s="6">
        <f t="shared" si="67"/>
        <v>6.9807438432935602E-4</v>
      </c>
      <c r="W87" s="2"/>
      <c r="X87" s="7">
        <f t="shared" si="68"/>
        <v>-248</v>
      </c>
      <c r="Y87" s="2"/>
      <c r="Z87" s="6">
        <f t="shared" si="69"/>
        <v>-1</v>
      </c>
    </row>
    <row r="88" spans="1:26" s="24" customFormat="1" hidden="1" outlineLevel="2" x14ac:dyDescent="0.35">
      <c r="A88" s="29"/>
      <c r="B88" s="11" t="str">
        <f>CONCATENATE("          ", "6284", " - ", "TRASH REMOVAL EXPENSE")</f>
        <v xml:space="preserve">          6284 - TRASH REMOVAL EXPENSE</v>
      </c>
      <c r="C88" s="11"/>
      <c r="D88" s="7">
        <v>5658</v>
      </c>
      <c r="E88" s="2"/>
      <c r="F88" s="6">
        <f t="shared" si="62"/>
        <v>6.8938241424207042E-2</v>
      </c>
      <c r="G88" s="2"/>
      <c r="H88" s="7">
        <v>3550</v>
      </c>
      <c r="I88" s="2"/>
      <c r="J88" s="6">
        <f t="shared" si="63"/>
        <v>4.4478412308617536E-2</v>
      </c>
      <c r="K88" s="2"/>
      <c r="L88" s="7">
        <f t="shared" si="64"/>
        <v>2108</v>
      </c>
      <c r="M88" s="2"/>
      <c r="N88" s="6">
        <f t="shared" si="65"/>
        <v>0.59380281690140846</v>
      </c>
      <c r="O88" s="11"/>
      <c r="P88" s="7">
        <v>25104</v>
      </c>
      <c r="Q88" s="2"/>
      <c r="R88" s="6">
        <f t="shared" si="66"/>
        <v>9.0019171028285064E-2</v>
      </c>
      <c r="S88" s="2"/>
      <c r="T88" s="7">
        <v>22641</v>
      </c>
      <c r="U88" s="2"/>
      <c r="V88" s="6">
        <f t="shared" si="67"/>
        <v>6.3730250546778014E-2</v>
      </c>
      <c r="W88" s="2"/>
      <c r="X88" s="7">
        <f t="shared" si="68"/>
        <v>2463</v>
      </c>
      <c r="Y88" s="2"/>
      <c r="Z88" s="6">
        <f t="shared" si="69"/>
        <v>0.10878494766132238</v>
      </c>
    </row>
    <row r="89" spans="1:26" s="24" customFormat="1" hidden="1" outlineLevel="2" x14ac:dyDescent="0.35">
      <c r="A89" s="29"/>
      <c r="B89" s="11" t="str">
        <f>CONCATENATE("          ", "6285", " - ", "JANITORIAL SERVICES")</f>
        <v xml:space="preserve">          6285 - JANITORIAL SERVICES</v>
      </c>
      <c r="C89" s="11"/>
      <c r="D89" s="7"/>
      <c r="E89" s="2"/>
      <c r="F89" s="6">
        <f t="shared" si="62"/>
        <v>0</v>
      </c>
      <c r="G89" s="2"/>
      <c r="H89" s="7">
        <v>4499</v>
      </c>
      <c r="I89" s="2"/>
      <c r="J89" s="6">
        <f t="shared" si="63"/>
        <v>5.6368556894780361E-2</v>
      </c>
      <c r="K89" s="2"/>
      <c r="L89" s="7">
        <f t="shared" si="64"/>
        <v>-4499</v>
      </c>
      <c r="M89" s="2"/>
      <c r="N89" s="6">
        <f t="shared" si="65"/>
        <v>-1</v>
      </c>
      <c r="O89" s="11"/>
      <c r="P89" s="7">
        <v>11966.21</v>
      </c>
      <c r="Q89" s="2"/>
      <c r="R89" s="6">
        <f t="shared" si="66"/>
        <v>4.290903061465802E-2</v>
      </c>
      <c r="S89" s="2"/>
      <c r="T89" s="7">
        <v>25458</v>
      </c>
      <c r="U89" s="2"/>
      <c r="V89" s="6">
        <f t="shared" si="67"/>
        <v>7.1659587404261066E-2</v>
      </c>
      <c r="W89" s="2"/>
      <c r="X89" s="7">
        <f t="shared" si="68"/>
        <v>-13491.79</v>
      </c>
      <c r="Y89" s="2"/>
      <c r="Z89" s="6">
        <f t="shared" si="69"/>
        <v>-0.52996268363579235</v>
      </c>
    </row>
    <row r="90" spans="1:26" s="24" customFormat="1" hidden="1" outlineLevel="2" x14ac:dyDescent="0.35">
      <c r="A90" s="29"/>
      <c r="B90" s="11" t="str">
        <f>CONCATENATE("          ", "6286", " - ", "LAUNDRY EXPENSE")</f>
        <v xml:space="preserve">          6286 - LAUNDRY EXPENSE</v>
      </c>
      <c r="C90" s="11"/>
      <c r="D90" s="7"/>
      <c r="E90" s="2"/>
      <c r="F90" s="6">
        <f t="shared" si="62"/>
        <v>0</v>
      </c>
      <c r="G90" s="2"/>
      <c r="H90" s="7">
        <v>136</v>
      </c>
      <c r="I90" s="2"/>
      <c r="J90" s="6">
        <f t="shared" si="63"/>
        <v>1.703961710978024E-3</v>
      </c>
      <c r="K90" s="2"/>
      <c r="L90" s="7">
        <f t="shared" si="64"/>
        <v>-136</v>
      </c>
      <c r="M90" s="2"/>
      <c r="N90" s="6">
        <f t="shared" si="65"/>
        <v>-1</v>
      </c>
      <c r="O90" s="11"/>
      <c r="P90" s="7">
        <v>792.76</v>
      </c>
      <c r="Q90" s="2"/>
      <c r="R90" s="6">
        <f t="shared" si="66"/>
        <v>2.8427182132083834E-3</v>
      </c>
      <c r="S90" s="2"/>
      <c r="T90" s="7">
        <v>721</v>
      </c>
      <c r="U90" s="2"/>
      <c r="V90" s="6">
        <f t="shared" si="67"/>
        <v>2.0294823834736521E-3</v>
      </c>
      <c r="W90" s="2"/>
      <c r="X90" s="7">
        <f t="shared" si="68"/>
        <v>71.759999999999991</v>
      </c>
      <c r="Y90" s="2"/>
      <c r="Z90" s="6">
        <f t="shared" si="69"/>
        <v>9.9528432732316222E-2</v>
      </c>
    </row>
    <row r="91" spans="1:26" s="28" customFormat="1" outlineLevel="1" collapsed="1" x14ac:dyDescent="0.35">
      <c r="A91" s="27"/>
      <c r="B91" s="14" t="str">
        <f>CONCATENATE("     ","Subscriptions &amp; Dues                              ")</f>
        <v xml:space="preserve">     Subscriptions &amp; Dues                              </v>
      </c>
      <c r="C91" s="14"/>
      <c r="D91" s="1">
        <f>SUM(OSRRefD22_16x_0)</f>
        <v>0</v>
      </c>
      <c r="E91" s="1"/>
      <c r="F91" s="5">
        <f t="shared" ref="F91:F93" si="70">IF(D$12=0,0,D91/D$12)</f>
        <v>0</v>
      </c>
      <c r="G91" s="1"/>
      <c r="H91" s="1">
        <f>SUM(OSRRefH22_16x_0)</f>
        <v>373</v>
      </c>
      <c r="I91" s="1"/>
      <c r="J91" s="5">
        <f t="shared" ref="J91:J93" si="71">IF(H$12=0,0,H91/H$12)</f>
        <v>4.6733655749617862E-3</v>
      </c>
      <c r="K91" s="1"/>
      <c r="L91" s="1">
        <f t="shared" ref="L91:L93" si="72">+D91-H91</f>
        <v>-373</v>
      </c>
      <c r="M91" s="1"/>
      <c r="N91" s="5">
        <f t="shared" ref="N91:N93" si="73">IF(H91=0,0,L91/H91)</f>
        <v>-1</v>
      </c>
      <c r="O91" s="14"/>
      <c r="P91" s="1">
        <f>SUM(OSRRefP22_16x_0)</f>
        <v>534.16999999999996</v>
      </c>
      <c r="Q91" s="1"/>
      <c r="R91" s="5">
        <f t="shared" ref="R91:R93" si="74">IF(P$12=0,0,P91/P$12)</f>
        <v>1.9154533376425679E-3</v>
      </c>
      <c r="S91" s="1"/>
      <c r="T91" s="1">
        <f>SUM(OSRRefT22_16x_0)</f>
        <v>3511</v>
      </c>
      <c r="U91" s="1"/>
      <c r="V91" s="5">
        <f t="shared" ref="V91:V93" si="75">IF(T$12=0,0,T91/T$12)</f>
        <v>9.882819207178907E-3</v>
      </c>
      <c r="W91" s="1"/>
      <c r="X91" s="1">
        <f t="shared" ref="X91:X93" si="76">+P91-T91</f>
        <v>-2976.83</v>
      </c>
      <c r="Y91" s="1"/>
      <c r="Z91" s="5">
        <f t="shared" ref="Z91:Z93" si="77">IF(T91=0,0,X91/T91)</f>
        <v>-0.84785816006835657</v>
      </c>
    </row>
    <row r="92" spans="1:26" s="24" customFormat="1" hidden="1" outlineLevel="2" x14ac:dyDescent="0.35">
      <c r="A92" s="29"/>
      <c r="B92" s="11" t="str">
        <f>CONCATENATE("          ", "6258", " - ", "MEMBERSHIP DUES")</f>
        <v xml:space="preserve">          6258 - MEMBERSHIP DUES</v>
      </c>
      <c r="C92" s="11"/>
      <c r="D92" s="7"/>
      <c r="E92" s="2"/>
      <c r="F92" s="6">
        <f t="shared" si="70"/>
        <v>0</v>
      </c>
      <c r="G92" s="2"/>
      <c r="H92" s="7"/>
      <c r="I92" s="2"/>
      <c r="J92" s="6">
        <f t="shared" si="71"/>
        <v>0</v>
      </c>
      <c r="K92" s="2"/>
      <c r="L92" s="7">
        <f t="shared" si="72"/>
        <v>0</v>
      </c>
      <c r="M92" s="2"/>
      <c r="N92" s="6">
        <f t="shared" si="73"/>
        <v>0</v>
      </c>
      <c r="O92" s="11"/>
      <c r="P92" s="7"/>
      <c r="Q92" s="2"/>
      <c r="R92" s="6">
        <f t="shared" si="74"/>
        <v>0</v>
      </c>
      <c r="S92" s="2"/>
      <c r="T92" s="7">
        <v>900</v>
      </c>
      <c r="U92" s="2"/>
      <c r="V92" s="6">
        <f t="shared" si="75"/>
        <v>2.5333344592597595E-3</v>
      </c>
      <c r="W92" s="2"/>
      <c r="X92" s="7">
        <f t="shared" si="76"/>
        <v>-900</v>
      </c>
      <c r="Y92" s="2"/>
      <c r="Z92" s="6">
        <f t="shared" si="77"/>
        <v>-1</v>
      </c>
    </row>
    <row r="93" spans="1:26" s="24" customFormat="1" hidden="1" outlineLevel="2" x14ac:dyDescent="0.35">
      <c r="A93" s="29"/>
      <c r="B93" s="11" t="str">
        <f>CONCATENATE("          ", "6275", " - ", "SUBSCRIPTIONS")</f>
        <v xml:space="preserve">          6275 - SUBSCRIPTIONS</v>
      </c>
      <c r="C93" s="11"/>
      <c r="D93" s="7"/>
      <c r="E93" s="2"/>
      <c r="F93" s="6">
        <f t="shared" si="70"/>
        <v>0</v>
      </c>
      <c r="G93" s="2"/>
      <c r="H93" s="7">
        <v>373</v>
      </c>
      <c r="I93" s="2"/>
      <c r="J93" s="6">
        <f t="shared" si="71"/>
        <v>4.6733655749617862E-3</v>
      </c>
      <c r="K93" s="2"/>
      <c r="L93" s="7">
        <f t="shared" si="72"/>
        <v>-373</v>
      </c>
      <c r="M93" s="2"/>
      <c r="N93" s="6">
        <f t="shared" si="73"/>
        <v>-1</v>
      </c>
      <c r="O93" s="11"/>
      <c r="P93" s="7">
        <v>534.16999999999996</v>
      </c>
      <c r="Q93" s="2"/>
      <c r="R93" s="6">
        <f t="shared" si="74"/>
        <v>1.9154533376425679E-3</v>
      </c>
      <c r="S93" s="2"/>
      <c r="T93" s="7">
        <v>2611</v>
      </c>
      <c r="U93" s="2"/>
      <c r="V93" s="6">
        <f t="shared" si="75"/>
        <v>7.3494847479191475E-3</v>
      </c>
      <c r="W93" s="2"/>
      <c r="X93" s="7">
        <f t="shared" si="76"/>
        <v>-2076.83</v>
      </c>
      <c r="Y93" s="2"/>
      <c r="Z93" s="6">
        <f t="shared" si="77"/>
        <v>-0.79541554959785521</v>
      </c>
    </row>
    <row r="94" spans="1:26" s="28" customFormat="1" outlineLevel="1" collapsed="1" x14ac:dyDescent="0.35">
      <c r="A94" s="27"/>
      <c r="B94" s="14" t="str">
        <f>CONCATENATE("     ","Supplies                                          ")</f>
        <v xml:space="preserve">     Supplies                                          </v>
      </c>
      <c r="C94" s="14"/>
      <c r="D94" s="1">
        <f>SUM(OSRRefD22_17x_0)</f>
        <v>116.72999999999999</v>
      </c>
      <c r="E94" s="1"/>
      <c r="F94" s="5">
        <f t="shared" ref="F94:F105" si="78">IF(D$12=0,0,D94/D$12)</f>
        <v>1.4222624463498916E-3</v>
      </c>
      <c r="G94" s="1"/>
      <c r="H94" s="1">
        <f>SUM(OSRRefH22_17x_0)</f>
        <v>5042</v>
      </c>
      <c r="I94" s="1"/>
      <c r="J94" s="5">
        <f t="shared" ref="J94:J105" si="79">IF(H$12=0,0,H94/H$12)</f>
        <v>6.3171874608464684E-2</v>
      </c>
      <c r="K94" s="1"/>
      <c r="L94" s="1">
        <f t="shared" ref="L94:L105" si="80">+D94-H94</f>
        <v>-4925.2700000000004</v>
      </c>
      <c r="M94" s="1"/>
      <c r="N94" s="5">
        <f t="shared" ref="N94:N105" si="81">IF(H94=0,0,L94/H94)</f>
        <v>-0.97684847282824283</v>
      </c>
      <c r="O94" s="14"/>
      <c r="P94" s="1">
        <f>SUM(OSRRefP22_17x_0)</f>
        <v>-20335.499999999996</v>
      </c>
      <c r="Q94" s="1"/>
      <c r="R94" s="5">
        <f t="shared" ref="R94:R105" si="82">IF(P$12=0,0,P94/P$12)</f>
        <v>-7.2920046703540894E-2</v>
      </c>
      <c r="S94" s="1"/>
      <c r="T94" s="1">
        <f>SUM(OSRRefT22_17x_0)</f>
        <v>35071</v>
      </c>
      <c r="U94" s="1"/>
      <c r="V94" s="5">
        <f t="shared" ref="V94:V105" si="83">IF(T$12=0,0,T94/T$12)</f>
        <v>9.8718414245221139E-2</v>
      </c>
      <c r="W94" s="1"/>
      <c r="X94" s="1">
        <f t="shared" ref="X94:X105" si="84">+P94-T94</f>
        <v>-55406.5</v>
      </c>
      <c r="Y94" s="1"/>
      <c r="Z94" s="5">
        <f t="shared" ref="Z94:Z105" si="85">IF(T94=0,0,X94/T94)</f>
        <v>-1.5798380428274073</v>
      </c>
    </row>
    <row r="95" spans="1:26" s="24" customFormat="1" hidden="1" outlineLevel="2" x14ac:dyDescent="0.35">
      <c r="A95" s="29"/>
      <c r="B95" s="11" t="str">
        <f>CONCATENATE("          ", "6234", " - ", "EXPENDABLE SUPPLIES &amp; EQUIPMEN")</f>
        <v xml:space="preserve">          6234 - EXPENDABLE SUPPLIES &amp; EQUIPMEN</v>
      </c>
      <c r="C95" s="11"/>
      <c r="D95" s="7"/>
      <c r="E95" s="2"/>
      <c r="F95" s="6">
        <f t="shared" si="78"/>
        <v>0</v>
      </c>
      <c r="G95" s="2"/>
      <c r="H95" s="7">
        <v>1008</v>
      </c>
      <c r="I95" s="2"/>
      <c r="J95" s="6">
        <f t="shared" si="79"/>
        <v>1.2629363269601825E-2</v>
      </c>
      <c r="K95" s="2"/>
      <c r="L95" s="7">
        <f t="shared" si="80"/>
        <v>-1008</v>
      </c>
      <c r="M95" s="2"/>
      <c r="N95" s="6">
        <f t="shared" si="81"/>
        <v>-1</v>
      </c>
      <c r="O95" s="11"/>
      <c r="P95" s="7">
        <v>627.58000000000004</v>
      </c>
      <c r="Q95" s="2"/>
      <c r="R95" s="6">
        <f t="shared" si="82"/>
        <v>2.2504075587129998E-3</v>
      </c>
      <c r="S95" s="2"/>
      <c r="T95" s="7">
        <v>1104</v>
      </c>
      <c r="U95" s="2"/>
      <c r="V95" s="6">
        <f t="shared" si="83"/>
        <v>3.1075569366919719E-3</v>
      </c>
      <c r="W95" s="2"/>
      <c r="X95" s="7">
        <f t="shared" si="84"/>
        <v>-476.41999999999996</v>
      </c>
      <c r="Y95" s="2"/>
      <c r="Z95" s="6">
        <f t="shared" si="85"/>
        <v>-0.43153985507246373</v>
      </c>
    </row>
    <row r="96" spans="1:26" s="24" customFormat="1" hidden="1" outlineLevel="2" x14ac:dyDescent="0.35">
      <c r="A96" s="29"/>
      <c r="B96" s="11" t="str">
        <f>CONCATENATE("          ", "6235", " - ", "COVID-19 EXPENSES")</f>
        <v xml:space="preserve">          6235 - COVID-19 EXPENSES</v>
      </c>
      <c r="C96" s="11"/>
      <c r="D96" s="7"/>
      <c r="E96" s="2"/>
      <c r="F96" s="6">
        <f t="shared" si="78"/>
        <v>0</v>
      </c>
      <c r="G96" s="2"/>
      <c r="H96" s="7">
        <v>400</v>
      </c>
      <c r="I96" s="2"/>
      <c r="J96" s="6">
        <f t="shared" si="79"/>
        <v>5.0116520911118352E-3</v>
      </c>
      <c r="K96" s="2"/>
      <c r="L96" s="7">
        <f t="shared" si="80"/>
        <v>-400</v>
      </c>
      <c r="M96" s="2"/>
      <c r="N96" s="6">
        <f t="shared" si="81"/>
        <v>-1</v>
      </c>
      <c r="O96" s="11"/>
      <c r="P96" s="7">
        <v>7089.13</v>
      </c>
      <c r="Q96" s="2"/>
      <c r="R96" s="6">
        <f t="shared" si="82"/>
        <v>2.5420554728798058E-2</v>
      </c>
      <c r="S96" s="2"/>
      <c r="T96" s="7">
        <v>3300</v>
      </c>
      <c r="U96" s="2"/>
      <c r="V96" s="6">
        <f t="shared" si="83"/>
        <v>9.2888930172857851E-3</v>
      </c>
      <c r="W96" s="2"/>
      <c r="X96" s="7">
        <f t="shared" si="84"/>
        <v>3789.13</v>
      </c>
      <c r="Y96" s="2"/>
      <c r="Z96" s="6">
        <f t="shared" si="85"/>
        <v>1.1482212121212121</v>
      </c>
    </row>
    <row r="97" spans="1:26" s="24" customFormat="1" hidden="1" outlineLevel="2" x14ac:dyDescent="0.35">
      <c r="A97" s="29"/>
      <c r="B97" s="11" t="str">
        <f>CONCATENATE("          ", "6237", " - ", "JANITORIAL SUPPLIES")</f>
        <v xml:space="preserve">          6237 - JANITORIAL SUPPLIES</v>
      </c>
      <c r="C97" s="11"/>
      <c r="D97" s="7"/>
      <c r="E97" s="2"/>
      <c r="F97" s="6">
        <f t="shared" si="78"/>
        <v>0</v>
      </c>
      <c r="G97" s="2"/>
      <c r="H97" s="7">
        <v>1111</v>
      </c>
      <c r="I97" s="2"/>
      <c r="J97" s="6">
        <f t="shared" si="79"/>
        <v>1.3919863683063121E-2</v>
      </c>
      <c r="K97" s="2"/>
      <c r="L97" s="7">
        <f t="shared" si="80"/>
        <v>-1111</v>
      </c>
      <c r="M97" s="2"/>
      <c r="N97" s="6">
        <f t="shared" si="81"/>
        <v>-1</v>
      </c>
      <c r="O97" s="11"/>
      <c r="P97" s="7">
        <v>676.48</v>
      </c>
      <c r="Q97" s="2"/>
      <c r="R97" s="6">
        <f t="shared" si="82"/>
        <v>2.4257556093536599E-3</v>
      </c>
      <c r="S97" s="2"/>
      <c r="T97" s="7">
        <v>7220</v>
      </c>
      <c r="U97" s="2"/>
      <c r="V97" s="6">
        <f t="shared" si="83"/>
        <v>2.032297199539496E-2</v>
      </c>
      <c r="W97" s="2"/>
      <c r="X97" s="7">
        <f t="shared" si="84"/>
        <v>-6543.52</v>
      </c>
      <c r="Y97" s="2"/>
      <c r="Z97" s="6">
        <f t="shared" si="85"/>
        <v>-0.90630470914127426</v>
      </c>
    </row>
    <row r="98" spans="1:26" s="24" customFormat="1" hidden="1" outlineLevel="2" x14ac:dyDescent="0.35">
      <c r="A98" s="29"/>
      <c r="B98" s="11" t="str">
        <f>CONCATENATE("          ", "6239", " - ", "KITCHEN SUPPLIES")</f>
        <v xml:space="preserve">          6239 - KITCHEN SUPPLIES</v>
      </c>
      <c r="C98" s="11"/>
      <c r="D98" s="7"/>
      <c r="E98" s="2"/>
      <c r="F98" s="6">
        <f t="shared" si="78"/>
        <v>0</v>
      </c>
      <c r="G98" s="2"/>
      <c r="H98" s="7">
        <v>0</v>
      </c>
      <c r="I98" s="2"/>
      <c r="J98" s="6">
        <f t="shared" si="79"/>
        <v>0</v>
      </c>
      <c r="K98" s="2"/>
      <c r="L98" s="7">
        <f t="shared" si="80"/>
        <v>0</v>
      </c>
      <c r="M98" s="2"/>
      <c r="N98" s="6">
        <f t="shared" si="81"/>
        <v>0</v>
      </c>
      <c r="O98" s="11"/>
      <c r="P98" s="7">
        <v>19.829999999999998</v>
      </c>
      <c r="Q98" s="2"/>
      <c r="R98" s="6">
        <f t="shared" si="82"/>
        <v>7.1107399676979469E-5</v>
      </c>
      <c r="S98" s="2"/>
      <c r="T98" s="7">
        <v>232</v>
      </c>
      <c r="U98" s="2"/>
      <c r="V98" s="6">
        <f t="shared" si="83"/>
        <v>6.5303732727584919E-4</v>
      </c>
      <c r="W98" s="2"/>
      <c r="X98" s="7">
        <f t="shared" si="84"/>
        <v>-212.17000000000002</v>
      </c>
      <c r="Y98" s="2"/>
      <c r="Z98" s="6">
        <f t="shared" si="85"/>
        <v>-0.91452586206896558</v>
      </c>
    </row>
    <row r="99" spans="1:26" s="24" customFormat="1" hidden="1" outlineLevel="2" x14ac:dyDescent="0.35">
      <c r="A99" s="29"/>
      <c r="B99" s="11" t="str">
        <f>CONCATENATE("          ", "6241", " - ", "OFFICE EXPENSE")</f>
        <v xml:space="preserve">          6241 - OFFICE EXPENSE</v>
      </c>
      <c r="C99" s="11"/>
      <c r="D99" s="7">
        <v>51.24</v>
      </c>
      <c r="E99" s="2"/>
      <c r="F99" s="6">
        <f t="shared" si="78"/>
        <v>6.2431875054372017E-4</v>
      </c>
      <c r="G99" s="2"/>
      <c r="H99" s="7">
        <v>25</v>
      </c>
      <c r="I99" s="2"/>
      <c r="J99" s="6">
        <f t="shared" si="79"/>
        <v>3.132282556944897E-4</v>
      </c>
      <c r="K99" s="2"/>
      <c r="L99" s="7">
        <f t="shared" si="80"/>
        <v>26.240000000000002</v>
      </c>
      <c r="M99" s="2"/>
      <c r="N99" s="6">
        <f t="shared" si="81"/>
        <v>1.0496000000000001</v>
      </c>
      <c r="O99" s="11"/>
      <c r="P99" s="7">
        <v>-28935.289999999997</v>
      </c>
      <c r="Q99" s="2"/>
      <c r="R99" s="6">
        <f t="shared" si="82"/>
        <v>-0.10375760114973813</v>
      </c>
      <c r="S99" s="2"/>
      <c r="T99" s="7">
        <v>5437</v>
      </c>
      <c r="U99" s="2"/>
      <c r="V99" s="6">
        <f t="shared" si="83"/>
        <v>1.5304154949994793E-2</v>
      </c>
      <c r="W99" s="2"/>
      <c r="X99" s="7">
        <f t="shared" si="84"/>
        <v>-34372.289999999994</v>
      </c>
      <c r="Y99" s="2"/>
      <c r="Z99" s="6">
        <f t="shared" si="85"/>
        <v>-6.3219220158175453</v>
      </c>
    </row>
    <row r="100" spans="1:26" s="24" customFormat="1" hidden="1" outlineLevel="2" x14ac:dyDescent="0.35">
      <c r="A100" s="29"/>
      <c r="B100" s="11" t="str">
        <f>CONCATENATE("          ", "6243", " - ", "PAPER SUPPLIES")</f>
        <v xml:space="preserve">          6243 - PAPER SUPPLIES</v>
      </c>
      <c r="C100" s="11"/>
      <c r="D100" s="7">
        <v>65.489999999999995</v>
      </c>
      <c r="E100" s="2"/>
      <c r="F100" s="6">
        <f t="shared" si="78"/>
        <v>7.9794369580617154E-4</v>
      </c>
      <c r="G100" s="2"/>
      <c r="H100" s="7">
        <v>1296</v>
      </c>
      <c r="I100" s="2"/>
      <c r="J100" s="6">
        <f t="shared" si="79"/>
        <v>1.6237752775202344E-2</v>
      </c>
      <c r="K100" s="2"/>
      <c r="L100" s="7">
        <f t="shared" si="80"/>
        <v>-1230.51</v>
      </c>
      <c r="M100" s="2"/>
      <c r="N100" s="6">
        <f t="shared" si="81"/>
        <v>-0.94946759259259261</v>
      </c>
      <c r="O100" s="11"/>
      <c r="P100" s="7">
        <v>65.489999999999995</v>
      </c>
      <c r="Q100" s="2"/>
      <c r="R100" s="6">
        <f t="shared" si="82"/>
        <v>2.3483729726905624E-4</v>
      </c>
      <c r="S100" s="2"/>
      <c r="T100" s="7">
        <v>5120</v>
      </c>
      <c r="U100" s="2"/>
      <c r="V100" s="6">
        <f t="shared" si="83"/>
        <v>1.4411858257122188E-2</v>
      </c>
      <c r="W100" s="2"/>
      <c r="X100" s="7">
        <f t="shared" si="84"/>
        <v>-5054.51</v>
      </c>
      <c r="Y100" s="2"/>
      <c r="Z100" s="6">
        <f t="shared" si="85"/>
        <v>-0.98720898437500004</v>
      </c>
    </row>
    <row r="101" spans="1:26" s="24" customFormat="1" hidden="1" outlineLevel="2" x14ac:dyDescent="0.35">
      <c r="A101" s="29"/>
      <c r="B101" s="11" t="str">
        <f>CONCATENATE("          ", "6244", " - ", "SAFETY SUPPLY EXPENSE")</f>
        <v xml:space="preserve">          6244 - SAFETY SUPPLY EXPENSE</v>
      </c>
      <c r="C101" s="11"/>
      <c r="D101" s="7"/>
      <c r="E101" s="2"/>
      <c r="F101" s="6">
        <f t="shared" si="78"/>
        <v>0</v>
      </c>
      <c r="G101" s="2"/>
      <c r="H101" s="7">
        <v>0</v>
      </c>
      <c r="I101" s="2"/>
      <c r="J101" s="6">
        <f t="shared" si="79"/>
        <v>0</v>
      </c>
      <c r="K101" s="2"/>
      <c r="L101" s="7">
        <f t="shared" si="80"/>
        <v>0</v>
      </c>
      <c r="M101" s="2"/>
      <c r="N101" s="6">
        <f t="shared" si="81"/>
        <v>0</v>
      </c>
      <c r="O101" s="11"/>
      <c r="P101" s="7"/>
      <c r="Q101" s="2"/>
      <c r="R101" s="6">
        <f t="shared" si="82"/>
        <v>0</v>
      </c>
      <c r="S101" s="2"/>
      <c r="T101" s="7">
        <v>0</v>
      </c>
      <c r="U101" s="2"/>
      <c r="V101" s="6">
        <f t="shared" si="83"/>
        <v>0</v>
      </c>
      <c r="W101" s="2"/>
      <c r="X101" s="7">
        <f t="shared" si="84"/>
        <v>0</v>
      </c>
      <c r="Y101" s="2"/>
      <c r="Z101" s="6">
        <f t="shared" si="85"/>
        <v>0</v>
      </c>
    </row>
    <row r="102" spans="1:26" s="24" customFormat="1" hidden="1" outlineLevel="2" x14ac:dyDescent="0.35">
      <c r="A102" s="29"/>
      <c r="B102" s="11" t="str">
        <f>CONCATENATE("          ", "6245", " - ", "PRINTING")</f>
        <v xml:space="preserve">          6245 - PRINTING</v>
      </c>
      <c r="C102" s="11"/>
      <c r="D102" s="7"/>
      <c r="E102" s="2"/>
      <c r="F102" s="6">
        <f t="shared" si="78"/>
        <v>0</v>
      </c>
      <c r="G102" s="2"/>
      <c r="H102" s="7">
        <v>0</v>
      </c>
      <c r="I102" s="2"/>
      <c r="J102" s="6">
        <f t="shared" si="79"/>
        <v>0</v>
      </c>
      <c r="K102" s="2"/>
      <c r="L102" s="7">
        <f t="shared" si="80"/>
        <v>0</v>
      </c>
      <c r="M102" s="2"/>
      <c r="N102" s="6">
        <f t="shared" si="81"/>
        <v>0</v>
      </c>
      <c r="O102" s="11"/>
      <c r="P102" s="7"/>
      <c r="Q102" s="2"/>
      <c r="R102" s="6">
        <f t="shared" si="82"/>
        <v>0</v>
      </c>
      <c r="S102" s="2"/>
      <c r="T102" s="7">
        <v>0</v>
      </c>
      <c r="U102" s="2"/>
      <c r="V102" s="6">
        <f t="shared" si="83"/>
        <v>0</v>
      </c>
      <c r="W102" s="2"/>
      <c r="X102" s="7">
        <f t="shared" si="84"/>
        <v>0</v>
      </c>
      <c r="Y102" s="2"/>
      <c r="Z102" s="6">
        <f t="shared" si="85"/>
        <v>0</v>
      </c>
    </row>
    <row r="103" spans="1:26" s="24" customFormat="1" hidden="1" outlineLevel="2" x14ac:dyDescent="0.35">
      <c r="A103" s="29"/>
      <c r="B103" s="11" t="str">
        <f>CONCATENATE("          ", "6246", " - ", "REPLACEMENTS")</f>
        <v xml:space="preserve">          6246 - REPLACEMENTS</v>
      </c>
      <c r="C103" s="11"/>
      <c r="D103" s="7"/>
      <c r="E103" s="2"/>
      <c r="F103" s="6">
        <f t="shared" si="78"/>
        <v>0</v>
      </c>
      <c r="G103" s="2"/>
      <c r="H103" s="7">
        <v>0</v>
      </c>
      <c r="I103" s="2"/>
      <c r="J103" s="6">
        <f t="shared" si="79"/>
        <v>0</v>
      </c>
      <c r="K103" s="2"/>
      <c r="L103" s="7">
        <f t="shared" si="80"/>
        <v>0</v>
      </c>
      <c r="M103" s="2"/>
      <c r="N103" s="6">
        <f t="shared" si="81"/>
        <v>0</v>
      </c>
      <c r="O103" s="11"/>
      <c r="P103" s="7"/>
      <c r="Q103" s="2"/>
      <c r="R103" s="6">
        <f t="shared" si="82"/>
        <v>0</v>
      </c>
      <c r="S103" s="2"/>
      <c r="T103" s="7">
        <v>0</v>
      </c>
      <c r="U103" s="2"/>
      <c r="V103" s="6">
        <f t="shared" si="83"/>
        <v>0</v>
      </c>
      <c r="W103" s="2"/>
      <c r="X103" s="7">
        <f t="shared" si="84"/>
        <v>0</v>
      </c>
      <c r="Y103" s="2"/>
      <c r="Z103" s="6">
        <f t="shared" si="85"/>
        <v>0</v>
      </c>
    </row>
    <row r="104" spans="1:26" s="24" customFormat="1" hidden="1" outlineLevel="2" x14ac:dyDescent="0.35">
      <c r="A104" s="29"/>
      <c r="B104" s="11" t="str">
        <f>CONCATENATE("          ", "6247", " - ", "STORE SUPPLIES")</f>
        <v xml:space="preserve">          6247 - STORE SUPPLIES</v>
      </c>
      <c r="C104" s="11"/>
      <c r="D104" s="7"/>
      <c r="E104" s="2"/>
      <c r="F104" s="6">
        <f t="shared" si="78"/>
        <v>0</v>
      </c>
      <c r="G104" s="2"/>
      <c r="H104" s="7">
        <v>1087</v>
      </c>
      <c r="I104" s="2"/>
      <c r="J104" s="6">
        <f t="shared" si="79"/>
        <v>1.3619164557596411E-2</v>
      </c>
      <c r="K104" s="2"/>
      <c r="L104" s="7">
        <f t="shared" si="80"/>
        <v>-1087</v>
      </c>
      <c r="M104" s="2"/>
      <c r="N104" s="6">
        <f t="shared" si="81"/>
        <v>-1</v>
      </c>
      <c r="O104" s="11"/>
      <c r="P104" s="7">
        <v>121.28</v>
      </c>
      <c r="Q104" s="2"/>
      <c r="R104" s="6">
        <f t="shared" si="82"/>
        <v>4.3489185238648867E-4</v>
      </c>
      <c r="S104" s="2"/>
      <c r="T104" s="7">
        <v>12443</v>
      </c>
      <c r="U104" s="2"/>
      <c r="V104" s="6">
        <f t="shared" si="83"/>
        <v>3.50247563072991E-2</v>
      </c>
      <c r="W104" s="2"/>
      <c r="X104" s="7">
        <f t="shared" si="84"/>
        <v>-12321.72</v>
      </c>
      <c r="Y104" s="2"/>
      <c r="Z104" s="6">
        <f t="shared" si="85"/>
        <v>-0.99025315438399097</v>
      </c>
    </row>
    <row r="105" spans="1:26" s="24" customFormat="1" hidden="1" outlineLevel="2" x14ac:dyDescent="0.35">
      <c r="A105" s="29"/>
      <c r="B105" s="11" t="str">
        <f>CONCATENATE("          ", "6248", " - ", "UNIFORMS")</f>
        <v xml:space="preserve">          6248 - UNIFORMS</v>
      </c>
      <c r="C105" s="11"/>
      <c r="D105" s="7"/>
      <c r="E105" s="2"/>
      <c r="F105" s="6">
        <f t="shared" si="78"/>
        <v>0</v>
      </c>
      <c r="G105" s="2"/>
      <c r="H105" s="7">
        <v>115</v>
      </c>
      <c r="I105" s="2"/>
      <c r="J105" s="6">
        <f t="shared" si="79"/>
        <v>1.4408499761946526E-3</v>
      </c>
      <c r="K105" s="2"/>
      <c r="L105" s="7">
        <f t="shared" si="80"/>
        <v>-115</v>
      </c>
      <c r="M105" s="2"/>
      <c r="N105" s="6">
        <f t="shared" si="81"/>
        <v>-1</v>
      </c>
      <c r="O105" s="11"/>
      <c r="P105" s="7"/>
      <c r="Q105" s="2"/>
      <c r="R105" s="6">
        <f t="shared" si="82"/>
        <v>0</v>
      </c>
      <c r="S105" s="2"/>
      <c r="T105" s="7">
        <v>215</v>
      </c>
      <c r="U105" s="2"/>
      <c r="V105" s="6">
        <f t="shared" si="83"/>
        <v>6.0518545415649816E-4</v>
      </c>
      <c r="W105" s="2"/>
      <c r="X105" s="7">
        <f t="shared" si="84"/>
        <v>-215</v>
      </c>
      <c r="Y105" s="2"/>
      <c r="Z105" s="6">
        <f t="shared" si="85"/>
        <v>-1</v>
      </c>
    </row>
    <row r="106" spans="1:26" s="28" customFormat="1" outlineLevel="1" collapsed="1" x14ac:dyDescent="0.35">
      <c r="A106" s="27"/>
      <c r="B106" s="14" t="str">
        <f>CONCATENATE("     ","Telephone/Data Lines                              ")</f>
        <v xml:space="preserve">     Telephone/Data Lines                              </v>
      </c>
      <c r="C106" s="14"/>
      <c r="D106" s="1">
        <f>SUM(OSRRefD22_18x_0)</f>
        <v>573.5</v>
      </c>
      <c r="E106" s="1"/>
      <c r="F106" s="5">
        <f t="shared" ref="F106:F108" si="86">IF(D$12=0,0,D106/D$12)</f>
        <v>6.9876425338958534E-3</v>
      </c>
      <c r="G106" s="1"/>
      <c r="H106" s="1">
        <f>SUM(OSRRefH22_18x_0)</f>
        <v>770</v>
      </c>
      <c r="I106" s="1"/>
      <c r="J106" s="5">
        <f t="shared" ref="J106:J108" si="87">IF(H$12=0,0,H106/H$12)</f>
        <v>9.647430275390282E-3</v>
      </c>
      <c r="K106" s="1"/>
      <c r="L106" s="1">
        <f t="shared" ref="L106:L108" si="88">+D106-H106</f>
        <v>-196.5</v>
      </c>
      <c r="M106" s="1"/>
      <c r="N106" s="5">
        <f t="shared" ref="N106:N108" si="89">IF(H106=0,0,L106/H106)</f>
        <v>-0.2551948051948052</v>
      </c>
      <c r="O106" s="14"/>
      <c r="P106" s="1">
        <f>SUM(OSRRefP22_18x_0)</f>
        <v>7885.06</v>
      </c>
      <c r="Q106" s="1"/>
      <c r="R106" s="5">
        <f t="shared" ref="R106:R108" si="90">IF(P$12=0,0,P106/P$12)</f>
        <v>2.8274640085575582E-2</v>
      </c>
      <c r="S106" s="1"/>
      <c r="T106" s="1">
        <f>SUM(OSRRefT22_18x_0)</f>
        <v>4527</v>
      </c>
      <c r="U106" s="1"/>
      <c r="V106" s="5">
        <f t="shared" ref="V106:V108" si="91">IF(T$12=0,0,T106/T$12)</f>
        <v>1.2742672330076591E-2</v>
      </c>
      <c r="W106" s="1"/>
      <c r="X106" s="1">
        <f t="shared" ref="X106:X108" si="92">+P106-T106</f>
        <v>3358.0600000000004</v>
      </c>
      <c r="Y106" s="1"/>
      <c r="Z106" s="5">
        <f t="shared" ref="Z106:Z108" si="93">IF(T106=0,0,X106/T106)</f>
        <v>0.74178484647669551</v>
      </c>
    </row>
    <row r="107" spans="1:26" s="24" customFormat="1" hidden="1" outlineLevel="2" x14ac:dyDescent="0.35">
      <c r="A107" s="29"/>
      <c r="B107" s="11" t="str">
        <f>CONCATENATE("          ", "6303", " - ", "DATA PHONE LINES")</f>
        <v xml:space="preserve">          6303 - DATA PHONE LINES</v>
      </c>
      <c r="C107" s="11"/>
      <c r="D107" s="7"/>
      <c r="E107" s="2"/>
      <c r="F107" s="6">
        <f t="shared" si="86"/>
        <v>0</v>
      </c>
      <c r="G107" s="2"/>
      <c r="H107" s="7">
        <v>370</v>
      </c>
      <c r="I107" s="2"/>
      <c r="J107" s="6">
        <f t="shared" si="87"/>
        <v>4.6357781842784477E-3</v>
      </c>
      <c r="K107" s="2"/>
      <c r="L107" s="7">
        <f t="shared" si="88"/>
        <v>-370</v>
      </c>
      <c r="M107" s="2"/>
      <c r="N107" s="6">
        <f t="shared" si="89"/>
        <v>-1</v>
      </c>
      <c r="O107" s="11"/>
      <c r="P107" s="7"/>
      <c r="Q107" s="2"/>
      <c r="R107" s="6">
        <f t="shared" si="90"/>
        <v>0</v>
      </c>
      <c r="S107" s="2"/>
      <c r="T107" s="7">
        <v>2627</v>
      </c>
      <c r="U107" s="2"/>
      <c r="V107" s="6">
        <f t="shared" si="91"/>
        <v>7.3945218049726539E-3</v>
      </c>
      <c r="W107" s="2"/>
      <c r="X107" s="7">
        <f t="shared" si="92"/>
        <v>-2627</v>
      </c>
      <c r="Y107" s="2"/>
      <c r="Z107" s="6">
        <f t="shared" si="93"/>
        <v>-1</v>
      </c>
    </row>
    <row r="108" spans="1:26" s="24" customFormat="1" hidden="1" outlineLevel="2" x14ac:dyDescent="0.35">
      <c r="A108" s="29"/>
      <c r="B108" s="11" t="str">
        <f>CONCATENATE("          ", "6309", " - ", "TELEPHONE")</f>
        <v xml:space="preserve">          6309 - TELEPHONE</v>
      </c>
      <c r="C108" s="11"/>
      <c r="D108" s="7">
        <v>573.5</v>
      </c>
      <c r="E108" s="2"/>
      <c r="F108" s="6">
        <f t="shared" si="86"/>
        <v>6.9876425338958534E-3</v>
      </c>
      <c r="G108" s="2"/>
      <c r="H108" s="7">
        <v>400</v>
      </c>
      <c r="I108" s="2"/>
      <c r="J108" s="6">
        <f t="shared" si="87"/>
        <v>5.0116520911118352E-3</v>
      </c>
      <c r="K108" s="2"/>
      <c r="L108" s="7">
        <f t="shared" si="88"/>
        <v>173.5</v>
      </c>
      <c r="M108" s="2"/>
      <c r="N108" s="6">
        <f t="shared" si="89"/>
        <v>0.43375000000000002</v>
      </c>
      <c r="O108" s="11"/>
      <c r="P108" s="7">
        <v>7885.06</v>
      </c>
      <c r="Q108" s="2"/>
      <c r="R108" s="6">
        <f t="shared" si="90"/>
        <v>2.8274640085575582E-2</v>
      </c>
      <c r="S108" s="2"/>
      <c r="T108" s="7">
        <v>1900</v>
      </c>
      <c r="U108" s="2"/>
      <c r="V108" s="6">
        <f t="shared" si="91"/>
        <v>5.3481505251039372E-3</v>
      </c>
      <c r="W108" s="2"/>
      <c r="X108" s="7">
        <f t="shared" si="92"/>
        <v>5985.06</v>
      </c>
      <c r="Y108" s="2"/>
      <c r="Z108" s="6">
        <f t="shared" si="93"/>
        <v>3.1500315789473685</v>
      </c>
    </row>
    <row r="109" spans="1:26" s="28" customFormat="1" outlineLevel="1" collapsed="1" x14ac:dyDescent="0.35">
      <c r="A109" s="27"/>
      <c r="B109" s="14" t="str">
        <f>CONCATENATE("     ","Training                                          ")</f>
        <v xml:space="preserve">     Training                                          </v>
      </c>
      <c r="C109" s="14"/>
      <c r="D109" s="1">
        <f>SUM(OSRRefD22_19x_0)</f>
        <v>0</v>
      </c>
      <c r="E109" s="1"/>
      <c r="F109" s="5">
        <f t="shared" ref="F109:F114" si="94">IF(D$12=0,0,D109/D$12)</f>
        <v>0</v>
      </c>
      <c r="G109" s="1"/>
      <c r="H109" s="1">
        <f>SUM(OSRRefH22_19x_0)</f>
        <v>120</v>
      </c>
      <c r="I109" s="1"/>
      <c r="J109" s="5">
        <f t="shared" ref="J109:J114" si="95">IF(H$12=0,0,H109/H$12)</f>
        <v>1.5034956273335504E-3</v>
      </c>
      <c r="K109" s="1"/>
      <c r="L109" s="1">
        <f t="shared" ref="L109:L114" si="96">+D109-H109</f>
        <v>-120</v>
      </c>
      <c r="M109" s="1"/>
      <c r="N109" s="5">
        <f t="shared" ref="N109:N114" si="97">IF(H109=0,0,L109/H109)</f>
        <v>-1</v>
      </c>
      <c r="O109" s="14"/>
      <c r="P109" s="1">
        <f>SUM(OSRRefP22_19x_0)</f>
        <v>400</v>
      </c>
      <c r="Q109" s="1"/>
      <c r="R109" s="5">
        <f t="shared" ref="R109:R114" si="98">IF(P$12=0,0,P109/P$12)</f>
        <v>1.4343398825411896E-3</v>
      </c>
      <c r="S109" s="1"/>
      <c r="T109" s="1">
        <f>SUM(OSRRefT22_19x_0)</f>
        <v>240</v>
      </c>
      <c r="U109" s="1"/>
      <c r="V109" s="5">
        <f t="shared" ref="V109:V114" si="99">IF(T$12=0,0,T109/T$12)</f>
        <v>6.755558558026026E-4</v>
      </c>
      <c r="W109" s="1"/>
      <c r="X109" s="1">
        <f t="shared" ref="X109:X114" si="100">+P109-T109</f>
        <v>160</v>
      </c>
      <c r="Y109" s="1"/>
      <c r="Z109" s="5">
        <f t="shared" ref="Z109:Z114" si="101">IF(T109=0,0,X109/T109)</f>
        <v>0.66666666666666663</v>
      </c>
    </row>
    <row r="110" spans="1:26" s="24" customFormat="1" hidden="1" outlineLevel="2" x14ac:dyDescent="0.35">
      <c r="A110" s="29"/>
      <c r="B110" s="11" t="str">
        <f>CONCATENATE("          ", "6376", " - ", "TRAINING")</f>
        <v xml:space="preserve">          6376 - TRAINING</v>
      </c>
      <c r="C110" s="11"/>
      <c r="D110" s="7"/>
      <c r="E110" s="2"/>
      <c r="F110" s="6">
        <f t="shared" si="94"/>
        <v>0</v>
      </c>
      <c r="G110" s="2"/>
      <c r="H110" s="7">
        <v>120</v>
      </c>
      <c r="I110" s="2"/>
      <c r="J110" s="6">
        <f t="shared" si="95"/>
        <v>1.5034956273335504E-3</v>
      </c>
      <c r="K110" s="2"/>
      <c r="L110" s="7">
        <f t="shared" si="96"/>
        <v>-120</v>
      </c>
      <c r="M110" s="2"/>
      <c r="N110" s="6">
        <f t="shared" si="97"/>
        <v>-1</v>
      </c>
      <c r="O110" s="11"/>
      <c r="P110" s="7">
        <v>400</v>
      </c>
      <c r="Q110" s="2"/>
      <c r="R110" s="6">
        <f t="shared" si="98"/>
        <v>1.4343398825411896E-3</v>
      </c>
      <c r="S110" s="2"/>
      <c r="T110" s="7">
        <v>240</v>
      </c>
      <c r="U110" s="2"/>
      <c r="V110" s="6">
        <f t="shared" si="99"/>
        <v>6.755558558026026E-4</v>
      </c>
      <c r="W110" s="2"/>
      <c r="X110" s="7">
        <f t="shared" si="100"/>
        <v>160</v>
      </c>
      <c r="Y110" s="2"/>
      <c r="Z110" s="6">
        <f t="shared" si="101"/>
        <v>0.66666666666666663</v>
      </c>
    </row>
    <row r="111" spans="1:26" s="28" customFormat="1" outlineLevel="1" collapsed="1" x14ac:dyDescent="0.35">
      <c r="A111" s="27"/>
      <c r="B111" s="14" t="str">
        <f>CONCATENATE("     ","Travel                                            ")</f>
        <v xml:space="preserve">     Travel                                            </v>
      </c>
      <c r="C111" s="14"/>
      <c r="D111" s="1">
        <f>SUM(OSRRefD22_20x_0)</f>
        <v>0</v>
      </c>
      <c r="E111" s="1"/>
      <c r="F111" s="5">
        <f t="shared" si="94"/>
        <v>0</v>
      </c>
      <c r="G111" s="1"/>
      <c r="H111" s="1">
        <f>SUM(OSRRefH22_20x_0)</f>
        <v>0</v>
      </c>
      <c r="I111" s="1"/>
      <c r="J111" s="5">
        <f t="shared" si="95"/>
        <v>0</v>
      </c>
      <c r="K111" s="1"/>
      <c r="L111" s="1">
        <f t="shared" si="96"/>
        <v>0</v>
      </c>
      <c r="M111" s="1"/>
      <c r="N111" s="5">
        <f t="shared" si="97"/>
        <v>0</v>
      </c>
      <c r="O111" s="14"/>
      <c r="P111" s="1">
        <f>SUM(OSRRefP22_20x_0)</f>
        <v>332.21</v>
      </c>
      <c r="Q111" s="1"/>
      <c r="R111" s="5">
        <f t="shared" si="98"/>
        <v>1.1912551309475215E-3</v>
      </c>
      <c r="S111" s="1"/>
      <c r="T111" s="1">
        <f>SUM(OSRRefT22_20x_0)</f>
        <v>1500</v>
      </c>
      <c r="U111" s="1"/>
      <c r="V111" s="5">
        <f t="shared" si="99"/>
        <v>4.2222240987662661E-3</v>
      </c>
      <c r="W111" s="1"/>
      <c r="X111" s="1">
        <f t="shared" si="100"/>
        <v>-1167.79</v>
      </c>
      <c r="Y111" s="1"/>
      <c r="Z111" s="5">
        <f t="shared" si="101"/>
        <v>-0.77852666666666659</v>
      </c>
    </row>
    <row r="112" spans="1:26" s="24" customFormat="1" hidden="1" outlineLevel="2" x14ac:dyDescent="0.35">
      <c r="A112" s="29"/>
      <c r="B112" s="11" t="str">
        <f>CONCATENATE("          ", "6292", " - ", "TRAVEL/CONFERENCE")</f>
        <v xml:space="preserve">          6292 - TRAVEL/CONFERENCE</v>
      </c>
      <c r="C112" s="11"/>
      <c r="D112" s="7"/>
      <c r="E112" s="2"/>
      <c r="F112" s="6">
        <f t="shared" si="94"/>
        <v>0</v>
      </c>
      <c r="G112" s="2"/>
      <c r="H112" s="7"/>
      <c r="I112" s="2"/>
      <c r="J112" s="6">
        <f t="shared" si="95"/>
        <v>0</v>
      </c>
      <c r="K112" s="2"/>
      <c r="L112" s="7">
        <f t="shared" si="96"/>
        <v>0</v>
      </c>
      <c r="M112" s="2"/>
      <c r="N112" s="6">
        <f t="shared" si="97"/>
        <v>0</v>
      </c>
      <c r="O112" s="11"/>
      <c r="P112" s="7"/>
      <c r="Q112" s="2"/>
      <c r="R112" s="6">
        <f t="shared" si="98"/>
        <v>0</v>
      </c>
      <c r="S112" s="2"/>
      <c r="T112" s="7">
        <v>1500</v>
      </c>
      <c r="U112" s="2"/>
      <c r="V112" s="6">
        <f t="shared" si="99"/>
        <v>4.2222240987662661E-3</v>
      </c>
      <c r="W112" s="2"/>
      <c r="X112" s="7">
        <f t="shared" si="100"/>
        <v>-1500</v>
      </c>
      <c r="Y112" s="2"/>
      <c r="Z112" s="6">
        <f t="shared" si="101"/>
        <v>-1</v>
      </c>
    </row>
    <row r="113" spans="1:26" s="24" customFormat="1" hidden="1" outlineLevel="2" x14ac:dyDescent="0.35">
      <c r="A113" s="29"/>
      <c r="B113" s="11" t="str">
        <f>CONCATENATE("          ", "6294", " - ", "TRAVEL OPERATIONAL")</f>
        <v xml:space="preserve">          6294 - TRAVEL OPERATIONAL</v>
      </c>
      <c r="C113" s="11"/>
      <c r="D113" s="7"/>
      <c r="E113" s="2"/>
      <c r="F113" s="6">
        <f t="shared" si="94"/>
        <v>0</v>
      </c>
      <c r="G113" s="2"/>
      <c r="H113" s="7"/>
      <c r="I113" s="2"/>
      <c r="J113" s="6">
        <f t="shared" si="95"/>
        <v>0</v>
      </c>
      <c r="K113" s="2"/>
      <c r="L113" s="7">
        <f t="shared" si="96"/>
        <v>0</v>
      </c>
      <c r="M113" s="2"/>
      <c r="N113" s="6">
        <f t="shared" si="97"/>
        <v>0</v>
      </c>
      <c r="O113" s="11"/>
      <c r="P113" s="7"/>
      <c r="Q113" s="2"/>
      <c r="R113" s="6">
        <f t="shared" si="98"/>
        <v>0</v>
      </c>
      <c r="S113" s="2"/>
      <c r="T113" s="7">
        <v>0</v>
      </c>
      <c r="U113" s="2"/>
      <c r="V113" s="6">
        <f t="shared" si="99"/>
        <v>0</v>
      </c>
      <c r="W113" s="2"/>
      <c r="X113" s="7">
        <f t="shared" si="100"/>
        <v>0</v>
      </c>
      <c r="Y113" s="2"/>
      <c r="Z113" s="6">
        <f t="shared" si="101"/>
        <v>0</v>
      </c>
    </row>
    <row r="114" spans="1:26" s="24" customFormat="1" hidden="1" outlineLevel="2" x14ac:dyDescent="0.35">
      <c r="A114" s="29"/>
      <c r="B114" s="11" t="str">
        <f>CONCATENATE("          ", "6298", " - ", "VEHICLE MILEAGE")</f>
        <v xml:space="preserve">          6298 - VEHICLE MILEAGE</v>
      </c>
      <c r="C114" s="11"/>
      <c r="D114" s="7"/>
      <c r="E114" s="2"/>
      <c r="F114" s="6">
        <f t="shared" si="94"/>
        <v>0</v>
      </c>
      <c r="G114" s="2"/>
      <c r="H114" s="7"/>
      <c r="I114" s="2"/>
      <c r="J114" s="6">
        <f t="shared" si="95"/>
        <v>0</v>
      </c>
      <c r="K114" s="2"/>
      <c r="L114" s="7">
        <f t="shared" si="96"/>
        <v>0</v>
      </c>
      <c r="M114" s="2"/>
      <c r="N114" s="6">
        <f t="shared" si="97"/>
        <v>0</v>
      </c>
      <c r="O114" s="11"/>
      <c r="P114" s="7">
        <v>332.21</v>
      </c>
      <c r="Q114" s="2"/>
      <c r="R114" s="6">
        <f t="shared" si="98"/>
        <v>1.1912551309475215E-3</v>
      </c>
      <c r="S114" s="2"/>
      <c r="T114" s="7"/>
      <c r="U114" s="2"/>
      <c r="V114" s="6">
        <f t="shared" si="99"/>
        <v>0</v>
      </c>
      <c r="W114" s="2"/>
      <c r="X114" s="7">
        <f t="shared" si="100"/>
        <v>332.21</v>
      </c>
      <c r="Y114" s="2"/>
      <c r="Z114" s="6">
        <f t="shared" si="101"/>
        <v>0</v>
      </c>
    </row>
    <row r="115" spans="1:26" s="28" customFormat="1" outlineLevel="1" collapsed="1" x14ac:dyDescent="0.35">
      <c r="A115" s="27"/>
      <c r="B115" s="14" t="str">
        <f>CONCATENATE("     ","Utilities                                         ")</f>
        <v xml:space="preserve">     Utilities                                         </v>
      </c>
      <c r="C115" s="14"/>
      <c r="D115" s="1">
        <f>SUM(OSRRefD22_21x_0)</f>
        <v>4796</v>
      </c>
      <c r="E115" s="1"/>
      <c r="F115" s="5">
        <f t="shared" ref="F115:F116" si="102">IF(D$12=0,0,D115/D$12)</f>
        <v>5.8435455261664361E-2</v>
      </c>
      <c r="G115" s="1"/>
      <c r="H115" s="1">
        <f>SUM(OSRRefH22_21x_0)</f>
        <v>4228</v>
      </c>
      <c r="I115" s="1"/>
      <c r="J115" s="5">
        <f t="shared" ref="J115:J116" si="103">IF(H$12=0,0,H115/H$12)</f>
        <v>5.2973162603052099E-2</v>
      </c>
      <c r="K115" s="1"/>
      <c r="L115" s="1">
        <f t="shared" ref="L115:L116" si="104">+D115-H115</f>
        <v>568</v>
      </c>
      <c r="M115" s="1"/>
      <c r="N115" s="5">
        <f t="shared" ref="N115:N116" si="105">IF(H115=0,0,L115/H115)</f>
        <v>0.13434247871333965</v>
      </c>
      <c r="O115" s="14"/>
      <c r="P115" s="1">
        <f>SUM(OSRRefP22_21x_0)</f>
        <v>9346</v>
      </c>
      <c r="Q115" s="1"/>
      <c r="R115" s="5">
        <f t="shared" ref="R115:R116" si="106">IF(P$12=0,0,P115/P$12)</f>
        <v>3.3513351355574893E-2</v>
      </c>
      <c r="S115" s="1"/>
      <c r="T115" s="1">
        <f>SUM(OSRRefT22_21x_0)</f>
        <v>29344</v>
      </c>
      <c r="U115" s="1"/>
      <c r="V115" s="5">
        <f t="shared" ref="V115:V116" si="107">IF(T$12=0,0,T115/T$12)</f>
        <v>8.2597962636131547E-2</v>
      </c>
      <c r="W115" s="1"/>
      <c r="X115" s="1">
        <f t="shared" ref="X115:X116" si="108">+P115-T115</f>
        <v>-19998</v>
      </c>
      <c r="Y115" s="1"/>
      <c r="Z115" s="5">
        <f t="shared" ref="Z115:Z116" si="109">IF(T115=0,0,X115/T115)</f>
        <v>-0.68150218102508175</v>
      </c>
    </row>
    <row r="116" spans="1:26" s="24" customFormat="1" hidden="1" outlineLevel="2" x14ac:dyDescent="0.35">
      <c r="A116" s="29"/>
      <c r="B116" s="11" t="str">
        <f>CONCATENATE("          ", "6274", " - ", "UTILITIES")</f>
        <v xml:space="preserve">          6274 - UTILITIES</v>
      </c>
      <c r="C116" s="11"/>
      <c r="D116" s="7">
        <v>4796</v>
      </c>
      <c r="E116" s="2"/>
      <c r="F116" s="6">
        <f t="shared" si="102"/>
        <v>5.8435455261664361E-2</v>
      </c>
      <c r="G116" s="2"/>
      <c r="H116" s="7">
        <v>4228</v>
      </c>
      <c r="I116" s="2"/>
      <c r="J116" s="6">
        <f t="shared" si="103"/>
        <v>5.2973162603052099E-2</v>
      </c>
      <c r="K116" s="2"/>
      <c r="L116" s="7">
        <f t="shared" si="104"/>
        <v>568</v>
      </c>
      <c r="M116" s="2"/>
      <c r="N116" s="6">
        <f t="shared" si="105"/>
        <v>0.13434247871333965</v>
      </c>
      <c r="O116" s="11"/>
      <c r="P116" s="7">
        <v>9346</v>
      </c>
      <c r="Q116" s="2"/>
      <c r="R116" s="6">
        <f t="shared" si="106"/>
        <v>3.3513351355574893E-2</v>
      </c>
      <c r="S116" s="2"/>
      <c r="T116" s="7">
        <v>29344</v>
      </c>
      <c r="U116" s="2"/>
      <c r="V116" s="6">
        <f t="shared" si="107"/>
        <v>8.2597962636131547E-2</v>
      </c>
      <c r="W116" s="2"/>
      <c r="X116" s="7">
        <f t="shared" si="108"/>
        <v>-19998</v>
      </c>
      <c r="Y116" s="2"/>
      <c r="Z116" s="6">
        <f t="shared" si="109"/>
        <v>-0.68150218102508175</v>
      </c>
    </row>
    <row r="117" spans="1:26" s="55" customFormat="1" x14ac:dyDescent="0.35">
      <c r="A117" s="36"/>
      <c r="B117" s="36"/>
      <c r="C117" s="36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6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3" customFormat="1" collapsed="1" x14ac:dyDescent="0.35">
      <c r="A118" s="10"/>
      <c r="B118" s="25" t="s">
        <v>0</v>
      </c>
      <c r="C118" s="10"/>
      <c r="D118" s="4">
        <f>SUM(OSRRefD25x_0)</f>
        <v>976.87</v>
      </c>
      <c r="E118" s="4"/>
      <c r="F118" s="12">
        <f t="shared" ref="F118:F122" si="110">IF(D$12=0,0,D118/D$12)</f>
        <v>1.1902385984458313E-2</v>
      </c>
      <c r="G118" s="4"/>
      <c r="H118" s="4">
        <f>SUM(OSRRefH25x_0)</f>
        <v>6822</v>
      </c>
      <c r="I118" s="4"/>
      <c r="J118" s="12">
        <f t="shared" ref="J118:J122" si="111">IF(H$12=0,0,H118/H$12)</f>
        <v>8.5473726413912349E-2</v>
      </c>
      <c r="K118" s="4"/>
      <c r="L118" s="4">
        <f t="shared" ref="L118:L122" si="112">+D118-H118</f>
        <v>-5845.13</v>
      </c>
      <c r="M118" s="4"/>
      <c r="N118" s="12">
        <f t="shared" ref="N118:N122" si="113">IF(H118=0,0,L118/H118)</f>
        <v>-0.85680592201700378</v>
      </c>
      <c r="O118" s="10"/>
      <c r="P118" s="4">
        <f>SUM(OSRRefP25x_0)</f>
        <v>16348.34</v>
      </c>
      <c r="Q118" s="4"/>
      <c r="R118" s="12">
        <f t="shared" ref="R118:R122" si="114">IF(P$12=0,0,P118/P$12)</f>
        <v>5.8622690188358577E-2</v>
      </c>
      <c r="S118" s="4"/>
      <c r="T118" s="4">
        <f>SUM(OSRRefT25x_0)</f>
        <v>34225</v>
      </c>
      <c r="U118" s="4"/>
      <c r="V118" s="12">
        <f t="shared" ref="V118:V122" si="115">IF(T$12=0,0,T118/T$12)</f>
        <v>9.6337079853516971E-2</v>
      </c>
      <c r="W118" s="4"/>
      <c r="X118" s="4">
        <f t="shared" ref="X118:X122" si="116">+P118-T118</f>
        <v>-17876.66</v>
      </c>
      <c r="Y118" s="4"/>
      <c r="Z118" s="12">
        <f t="shared" ref="Z118:Z122" si="117">IF(T118=0,0,X118/T118)</f>
        <v>-0.52232753834916001</v>
      </c>
    </row>
    <row r="119" spans="1:26" s="24" customFormat="1" hidden="1" outlineLevel="1" x14ac:dyDescent="0.35">
      <c r="A119" s="51"/>
      <c r="B119" s="11" t="str">
        <f>CONCATENATE("          ", "9150", " - ", "MISC. INCOME")</f>
        <v xml:space="preserve">          9150 - MISC. INCOME</v>
      </c>
      <c r="C119" s="11"/>
      <c r="D119" s="2">
        <f t="shared" ref="D119:D120" si="118">0</f>
        <v>0</v>
      </c>
      <c r="E119" s="2"/>
      <c r="F119" s="22">
        <f t="shared" si="110"/>
        <v>0</v>
      </c>
      <c r="G119" s="2"/>
      <c r="H119" s="2">
        <v>2142</v>
      </c>
      <c r="I119" s="2"/>
      <c r="J119" s="22">
        <f t="shared" si="111"/>
        <v>2.6837396947903876E-2</v>
      </c>
      <c r="K119" s="2"/>
      <c r="L119" s="2">
        <f t="shared" si="112"/>
        <v>-2142</v>
      </c>
      <c r="M119" s="2"/>
      <c r="N119" s="22">
        <f t="shared" si="113"/>
        <v>-1</v>
      </c>
      <c r="O119" s="11"/>
      <c r="P119" s="2">
        <f>--1728.05</f>
        <v>1728.05</v>
      </c>
      <c r="Q119" s="2"/>
      <c r="R119" s="22">
        <f t="shared" si="114"/>
        <v>6.1965275850632568E-3</v>
      </c>
      <c r="S119" s="2"/>
      <c r="T119" s="2">
        <v>13492</v>
      </c>
      <c r="U119" s="2"/>
      <c r="V119" s="22">
        <f t="shared" si="115"/>
        <v>3.7977498360369642E-2</v>
      </c>
      <c r="W119" s="2"/>
      <c r="X119" s="2">
        <f t="shared" si="116"/>
        <v>-11763.95</v>
      </c>
      <c r="Y119" s="2"/>
      <c r="Z119" s="22">
        <f t="shared" si="117"/>
        <v>-0.87192039727245785</v>
      </c>
    </row>
    <row r="120" spans="1:26" s="24" customFormat="1" hidden="1" outlineLevel="1" x14ac:dyDescent="0.35">
      <c r="A120" s="51"/>
      <c r="B120" s="11" t="str">
        <f>CONCATENATE("          ", "9151", " - ", "MISC. INCOME")</f>
        <v xml:space="preserve">          9151 - MISC. INCOME</v>
      </c>
      <c r="C120" s="11"/>
      <c r="D120" s="2">
        <f t="shared" si="118"/>
        <v>0</v>
      </c>
      <c r="E120" s="2"/>
      <c r="F120" s="22">
        <f t="shared" si="110"/>
        <v>0</v>
      </c>
      <c r="G120" s="2"/>
      <c r="H120" s="2">
        <v>2657</v>
      </c>
      <c r="I120" s="2"/>
      <c r="J120" s="22">
        <f t="shared" si="111"/>
        <v>3.3289899015210365E-2</v>
      </c>
      <c r="K120" s="2"/>
      <c r="L120" s="2">
        <f t="shared" si="112"/>
        <v>-2657</v>
      </c>
      <c r="M120" s="2"/>
      <c r="N120" s="22">
        <f t="shared" si="113"/>
        <v>-1</v>
      </c>
      <c r="O120" s="11"/>
      <c r="P120" s="2">
        <f>0</f>
        <v>0</v>
      </c>
      <c r="Q120" s="2"/>
      <c r="R120" s="22">
        <f t="shared" si="114"/>
        <v>0</v>
      </c>
      <c r="S120" s="2"/>
      <c r="T120" s="2">
        <v>13787</v>
      </c>
      <c r="U120" s="2"/>
      <c r="V120" s="22">
        <f t="shared" si="115"/>
        <v>3.8807869099793675E-2</v>
      </c>
      <c r="W120" s="2"/>
      <c r="X120" s="2">
        <f t="shared" si="116"/>
        <v>-13787</v>
      </c>
      <c r="Y120" s="2"/>
      <c r="Z120" s="22">
        <f t="shared" si="117"/>
        <v>-1</v>
      </c>
    </row>
    <row r="121" spans="1:26" s="24" customFormat="1" hidden="1" outlineLevel="1" x14ac:dyDescent="0.35">
      <c r="A121" s="51"/>
      <c r="B121" s="11" t="str">
        <f>CONCATENATE("          ", "9160", " - ", "MISC. INCOME")</f>
        <v xml:space="preserve">          9160 - MISC. INCOME</v>
      </c>
      <c r="C121" s="11"/>
      <c r="D121" s="2">
        <f>--189.92</f>
        <v>189.92</v>
      </c>
      <c r="E121" s="2"/>
      <c r="F121" s="22">
        <f t="shared" si="110"/>
        <v>2.3140245336312126E-3</v>
      </c>
      <c r="G121" s="2"/>
      <c r="H121" s="2">
        <v>2023</v>
      </c>
      <c r="I121" s="2"/>
      <c r="J121" s="22">
        <f t="shared" si="111"/>
        <v>2.5346430450798107E-2</v>
      </c>
      <c r="K121" s="2"/>
      <c r="L121" s="2">
        <f t="shared" si="112"/>
        <v>-1833.08</v>
      </c>
      <c r="M121" s="2"/>
      <c r="N121" s="22">
        <f t="shared" si="113"/>
        <v>-0.90611962432031634</v>
      </c>
      <c r="O121" s="11"/>
      <c r="P121" s="2">
        <f>--12518.17</f>
        <v>12518.17</v>
      </c>
      <c r="Q121" s="2"/>
      <c r="R121" s="22">
        <f t="shared" si="114"/>
        <v>4.4888276218576606E-2</v>
      </c>
      <c r="S121" s="2"/>
      <c r="T121" s="2">
        <v>6946</v>
      </c>
      <c r="U121" s="2"/>
      <c r="V121" s="22">
        <f t="shared" si="115"/>
        <v>1.9551712393353658E-2</v>
      </c>
      <c r="W121" s="2"/>
      <c r="X121" s="2">
        <f t="shared" si="116"/>
        <v>5572.17</v>
      </c>
      <c r="Y121" s="2"/>
      <c r="Z121" s="22">
        <f t="shared" si="117"/>
        <v>0.80221278433630872</v>
      </c>
    </row>
    <row r="122" spans="1:26" s="24" customFormat="1" hidden="1" outlineLevel="1" x14ac:dyDescent="0.35">
      <c r="A122" s="51"/>
      <c r="B122" s="11" t="str">
        <f>CONCATENATE("          ", "9165", " - ", "OTHER INCOME")</f>
        <v xml:space="preserve">          9165 - OTHER INCOME</v>
      </c>
      <c r="C122" s="11"/>
      <c r="D122" s="2">
        <f>--786.95</f>
        <v>786.95</v>
      </c>
      <c r="E122" s="2"/>
      <c r="F122" s="22">
        <f t="shared" si="110"/>
        <v>9.5883614508270997E-3</v>
      </c>
      <c r="G122" s="2"/>
      <c r="H122" s="2"/>
      <c r="I122" s="2"/>
      <c r="J122" s="22">
        <f t="shared" si="111"/>
        <v>0</v>
      </c>
      <c r="K122" s="2"/>
      <c r="L122" s="2">
        <f t="shared" si="112"/>
        <v>786.95</v>
      </c>
      <c r="M122" s="2"/>
      <c r="N122" s="22">
        <f t="shared" si="113"/>
        <v>0</v>
      </c>
      <c r="O122" s="11"/>
      <c r="P122" s="2">
        <f>--2102.12</f>
        <v>2102.12</v>
      </c>
      <c r="Q122" s="2"/>
      <c r="R122" s="22">
        <f t="shared" si="114"/>
        <v>7.5378863847187132E-3</v>
      </c>
      <c r="S122" s="2"/>
      <c r="T122" s="2"/>
      <c r="U122" s="2"/>
      <c r="V122" s="22">
        <f t="shared" si="115"/>
        <v>0</v>
      </c>
      <c r="W122" s="2"/>
      <c r="X122" s="2">
        <f t="shared" si="116"/>
        <v>2102.12</v>
      </c>
      <c r="Y122" s="2"/>
      <c r="Z122" s="22">
        <f t="shared" si="117"/>
        <v>0</v>
      </c>
    </row>
    <row r="123" spans="1:26" x14ac:dyDescent="0.3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35">
      <c r="A124" s="10"/>
      <c r="B124" s="26" t="s">
        <v>3</v>
      </c>
      <c r="C124" s="26"/>
      <c r="D124" s="19">
        <f>+D28-D30+D118</f>
        <v>-45871.46</v>
      </c>
      <c r="E124" s="13"/>
      <c r="F124" s="21">
        <f>IF(D$12=0,0,D124/D$12)</f>
        <v>-0.55890734958657762</v>
      </c>
      <c r="G124" s="13"/>
      <c r="H124" s="19">
        <f>+H28-H30+H118</f>
        <v>-123925.59645611409</v>
      </c>
      <c r="I124" s="13"/>
      <c r="J124" s="21">
        <f>IF(H$12=0,0,H124/H$12)</f>
        <v>-1.5526799365539139</v>
      </c>
      <c r="K124" s="16"/>
      <c r="L124" s="19">
        <f>+D124-H124</f>
        <v>78054.136456114094</v>
      </c>
      <c r="M124" s="16"/>
      <c r="N124" s="21">
        <f>IF(H124=0,0,L124/H124)</f>
        <v>-0.62984676844993437</v>
      </c>
      <c r="O124" s="25"/>
      <c r="P124" s="19">
        <f>+P28-P30+P118</f>
        <v>-708539.08</v>
      </c>
      <c r="Q124" s="13"/>
      <c r="R124" s="21">
        <f>IF(P$12=0,0,P124/P$12)</f>
        <v>-2.540714651957606</v>
      </c>
      <c r="S124" s="13"/>
      <c r="T124" s="19">
        <f>+T28-T30+T118</f>
        <v>-887171.06489757565</v>
      </c>
      <c r="U124" s="13"/>
      <c r="V124" s="21">
        <f>IF(T$12=0,0,T124/T$12)</f>
        <v>-2.4972233666257835</v>
      </c>
      <c r="W124" s="16"/>
      <c r="X124" s="19">
        <f>+P124-T124</f>
        <v>178631.98489757569</v>
      </c>
      <c r="Y124" s="16"/>
      <c r="Z124" s="21">
        <f>IF(T124=0,0,X124/T124)</f>
        <v>-0.20135010255119046</v>
      </c>
    </row>
    <row r="125" spans="1:26" x14ac:dyDescent="0.35">
      <c r="A125" s="9"/>
      <c r="B125" s="10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35">
      <c r="A126" s="52"/>
      <c r="B126" s="10" t="s">
        <v>14</v>
      </c>
      <c r="C126" s="10"/>
      <c r="D126" s="4">
        <v>14210.76</v>
      </c>
      <c r="E126" s="4"/>
      <c r="F126" s="12">
        <f>IF(D$12=0,0,D126/D$12)</f>
        <v>0.17314683699212874</v>
      </c>
      <c r="G126" s="4"/>
      <c r="H126" s="4">
        <v>9403</v>
      </c>
      <c r="I126" s="4"/>
      <c r="J126" s="12">
        <f>IF(H$12=0,0,H126/H$12)</f>
        <v>0.11781141153181146</v>
      </c>
      <c r="K126" s="4"/>
      <c r="L126" s="4">
        <f>+D126-H126</f>
        <v>4807.76</v>
      </c>
      <c r="M126" s="4"/>
      <c r="N126" s="12">
        <f>IF(H126=0,0,L126/H126)</f>
        <v>0.51130064872912906</v>
      </c>
      <c r="O126" s="10"/>
      <c r="P126" s="4">
        <v>50623.009999999995</v>
      </c>
      <c r="Q126" s="4"/>
      <c r="R126" s="12">
        <f>IF(P$12=0,0,P126/P$12)</f>
        <v>0.18152650554320365</v>
      </c>
      <c r="S126" s="4"/>
      <c r="T126" s="4">
        <v>61652</v>
      </c>
      <c r="U126" s="4"/>
      <c r="V126" s="12">
        <f>IF(T$12=0,0,T126/T$12)</f>
        <v>0.17353904009142523</v>
      </c>
      <c r="W126" s="4"/>
      <c r="X126" s="4">
        <f>+P126-T126</f>
        <v>-11028.990000000005</v>
      </c>
      <c r="Y126" s="4"/>
      <c r="Z126" s="12">
        <f>IF(T126=0,0,X126/T126)</f>
        <v>-0.17889103354311303</v>
      </c>
    </row>
    <row r="127" spans="1:26" x14ac:dyDescent="0.3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" thickBot="1" x14ac:dyDescent="0.4">
      <c r="A128" s="10"/>
      <c r="B128" s="26" t="s">
        <v>4</v>
      </c>
      <c r="C128" s="26"/>
      <c r="D128" s="33">
        <f>+D124-D126</f>
        <v>-60082.22</v>
      </c>
      <c r="E128" s="13"/>
      <c r="F128" s="31">
        <f>IF(D$12=0,0,D128/D$12)</f>
        <v>-0.73205418657870636</v>
      </c>
      <c r="G128" s="13"/>
      <c r="H128" s="33">
        <f>+H124-H126</f>
        <v>-133328.59645611409</v>
      </c>
      <c r="I128" s="13"/>
      <c r="J128" s="31">
        <f>IF(H$12=0,0,H128/H$12)</f>
        <v>-1.6704913480857253</v>
      </c>
      <c r="K128" s="16"/>
      <c r="L128" s="33">
        <f>D128-H128</f>
        <v>73246.376456114085</v>
      </c>
      <c r="M128" s="16"/>
      <c r="N128" s="31">
        <f>IF(H128=0,0,L128/H128)</f>
        <v>-0.5493673405631595</v>
      </c>
      <c r="O128" s="25"/>
      <c r="P128" s="33">
        <f>+P124-P126</f>
        <v>-759162.09</v>
      </c>
      <c r="Q128" s="13"/>
      <c r="R128" s="31">
        <f>IF(P$12=0,0,P128/P$12)</f>
        <v>-2.7222411575008101</v>
      </c>
      <c r="S128" s="13"/>
      <c r="T128" s="33">
        <f>+T124-T126</f>
        <v>-948823.06489757565</v>
      </c>
      <c r="U128" s="13"/>
      <c r="V128" s="31">
        <f>IF(T$12=0,0,T128/T$12)</f>
        <v>-2.6707624067172087</v>
      </c>
      <c r="W128" s="16"/>
      <c r="X128" s="33">
        <f>P128-T128</f>
        <v>189660.97489757568</v>
      </c>
      <c r="Y128" s="16"/>
      <c r="Z128" s="31">
        <f>IF(T128=0,0,X128/T128)</f>
        <v>-0.1998907719618403</v>
      </c>
    </row>
    <row r="129" spans="1:26" ht="15" thickTop="1" x14ac:dyDescent="0.3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x14ac:dyDescent="0.3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" thickBot="1" x14ac:dyDescent="0.4">
      <c r="A131" s="10"/>
      <c r="B131" s="26" t="s">
        <v>5</v>
      </c>
      <c r="C131" s="26"/>
      <c r="D131" s="34">
        <f>SUM(D128:D130)</f>
        <v>-60082.22</v>
      </c>
      <c r="E131" s="13"/>
      <c r="F131" s="32">
        <f>IF(D$12=0,0,D131/D$12)</f>
        <v>-0.73205418657870636</v>
      </c>
      <c r="G131" s="13"/>
      <c r="H131" s="34">
        <f>SUM(H128:H130)</f>
        <v>-133328.59645611409</v>
      </c>
      <c r="I131" s="13"/>
      <c r="J131" s="32">
        <f>IF(H$12=0,0,H131/H$12)</f>
        <v>-1.6704913480857253</v>
      </c>
      <c r="K131" s="16"/>
      <c r="L131" s="34">
        <f>+D131-H131</f>
        <v>73246.376456114085</v>
      </c>
      <c r="M131" s="16"/>
      <c r="N131" s="32">
        <f>IF(H131=0,0,L131/H131)</f>
        <v>-0.5493673405631595</v>
      </c>
      <c r="O131" s="25"/>
      <c r="P131" s="34">
        <f>SUM(P128:P130)</f>
        <v>-759162.09</v>
      </c>
      <c r="Q131" s="13"/>
      <c r="R131" s="32">
        <f>IF(P$12=0,0,P131/P$12)</f>
        <v>-2.7222411575008101</v>
      </c>
      <c r="S131" s="13"/>
      <c r="T131" s="34">
        <f>SUM(T128:T130)</f>
        <v>-948823.06489757565</v>
      </c>
      <c r="U131" s="13"/>
      <c r="V131" s="32">
        <f>IF(T$12=0,0,T131/T$12)</f>
        <v>-2.6707624067172087</v>
      </c>
      <c r="W131" s="16"/>
      <c r="X131" s="34">
        <f>+P131-T131</f>
        <v>189660.97489757568</v>
      </c>
      <c r="Y131" s="16"/>
      <c r="Z131" s="32">
        <f>IF(T131=0,0,X131/T131)</f>
        <v>-0.1998907719618403</v>
      </c>
    </row>
    <row r="132" spans="1:26" ht="15" thickTop="1" x14ac:dyDescent="0.35">
      <c r="A132" s="9"/>
      <c r="C132" s="9"/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6" x14ac:dyDescent="0.35">
      <c r="A133" s="9"/>
      <c r="B133" s="60">
        <v>44238.490182256945</v>
      </c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  <row r="134" spans="1:26" x14ac:dyDescent="0.35">
      <c r="A134" s="9"/>
      <c r="B134" s="59" t="s">
        <v>314</v>
      </c>
      <c r="D134" s="18"/>
      <c r="E134" s="18"/>
      <c r="G134" s="18"/>
      <c r="H134" s="18"/>
      <c r="I134" s="18"/>
      <c r="J134" s="43"/>
      <c r="K134" s="18"/>
      <c r="L134" s="18"/>
      <c r="M134" s="18"/>
      <c r="P134" s="18"/>
      <c r="Q134" s="18"/>
      <c r="R134" s="43"/>
      <c r="S134" s="18"/>
      <c r="T134" s="18"/>
      <c r="U134" s="18"/>
      <c r="V134" s="43"/>
      <c r="W134" s="18"/>
      <c r="X134" s="18"/>
    </row>
    <row r="135" spans="1:26" x14ac:dyDescent="0.35">
      <c r="A135" s="9"/>
      <c r="B135" s="58"/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  <row r="136" spans="1:26" x14ac:dyDescent="0.35"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301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82073.460000000006</v>
      </c>
      <c r="E12" s="4"/>
      <c r="F12" s="12"/>
      <c r="G12" s="4"/>
      <c r="H12" s="4">
        <f>SUM(OSRRefH13x_0)</f>
        <v>23576</v>
      </c>
      <c r="I12" s="4"/>
      <c r="J12" s="12"/>
      <c r="K12" s="4"/>
      <c r="L12" s="4">
        <f t="shared" ref="L12:L18" si="0">+D12-H12</f>
        <v>58497.460000000006</v>
      </c>
      <c r="M12" s="4"/>
      <c r="N12" s="12">
        <f t="shared" ref="N12:N18" si="1">IF(H12=0,0,L12/H12)</f>
        <v>2.4812292161520193</v>
      </c>
      <c r="O12" s="10"/>
      <c r="P12" s="4">
        <f>SUM(OSRRefP13x_0)</f>
        <v>276287.46000000002</v>
      </c>
      <c r="Q12" s="4"/>
      <c r="R12" s="12"/>
      <c r="S12" s="4"/>
      <c r="T12" s="4">
        <f>SUM(OSRRefT13x_0)</f>
        <v>112714</v>
      </c>
      <c r="U12" s="4"/>
      <c r="V12" s="12"/>
      <c r="W12" s="4"/>
      <c r="X12" s="4">
        <f t="shared" ref="X12:X18" si="2">+P12-T12</f>
        <v>163573.46000000002</v>
      </c>
      <c r="Y12" s="4"/>
      <c r="Z12" s="12">
        <f t="shared" ref="Z12:Z18" si="3">IF(T12=0,0,X12/T12)</f>
        <v>1.4512257572262544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7333</v>
      </c>
      <c r="I13" s="2"/>
      <c r="J13" s="22"/>
      <c r="K13" s="2"/>
      <c r="L13" s="2">
        <f t="shared" si="0"/>
        <v>-7333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35057</v>
      </c>
      <c r="U13" s="2"/>
      <c r="V13" s="22"/>
      <c r="W13" s="2"/>
      <c r="X13" s="2">
        <f t="shared" si="2"/>
        <v>-35057</v>
      </c>
      <c r="Y13" s="2"/>
      <c r="Z13" s="22">
        <f t="shared" si="3"/>
        <v>-1</v>
      </c>
    </row>
    <row r="14" spans="1:26" s="24" customFormat="1" hidden="1" outlineLevel="1" x14ac:dyDescent="0.3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--22964.48</f>
        <v>22964.48</v>
      </c>
      <c r="Q14" s="2"/>
      <c r="R14" s="22"/>
      <c r="S14" s="2"/>
      <c r="T14" s="2"/>
      <c r="U14" s="2"/>
      <c r="V14" s="22"/>
      <c r="W14" s="2"/>
      <c r="X14" s="2">
        <f t="shared" si="2"/>
        <v>22964.48</v>
      </c>
      <c r="Y14" s="2"/>
      <c r="Z14" s="22">
        <f t="shared" si="3"/>
        <v>0</v>
      </c>
    </row>
    <row r="15" spans="1:26" s="24" customFormat="1" hidden="1" outlineLevel="1" x14ac:dyDescent="0.35">
      <c r="A15" s="51"/>
      <c r="B15" s="11" t="str">
        <f>CONCATENATE("          ", "4052", " - ", "TAXABLE SALES-FOOD")</f>
        <v xml:space="preserve">          4052 - TAXABLE SALES-FOOD</v>
      </c>
      <c r="C15" s="11"/>
      <c r="D15" s="2">
        <f>--82073.46</f>
        <v>82073.460000000006</v>
      </c>
      <c r="E15" s="2"/>
      <c r="F15" s="22"/>
      <c r="G15" s="2"/>
      <c r="H15" s="2"/>
      <c r="I15" s="2"/>
      <c r="J15" s="22"/>
      <c r="K15" s="2"/>
      <c r="L15" s="2">
        <f t="shared" si="0"/>
        <v>82073.460000000006</v>
      </c>
      <c r="M15" s="2"/>
      <c r="N15" s="22">
        <f t="shared" si="1"/>
        <v>0</v>
      </c>
      <c r="O15" s="11"/>
      <c r="P15" s="2">
        <f>--230176.85</f>
        <v>230176.85</v>
      </c>
      <c r="Q15" s="2"/>
      <c r="R15" s="22"/>
      <c r="S15" s="2"/>
      <c r="T15" s="2"/>
      <c r="U15" s="2"/>
      <c r="V15" s="22"/>
      <c r="W15" s="2"/>
      <c r="X15" s="2">
        <f t="shared" si="2"/>
        <v>230176.85</v>
      </c>
      <c r="Y15" s="2"/>
      <c r="Z15" s="22">
        <f t="shared" si="3"/>
        <v>0</v>
      </c>
    </row>
    <row r="16" spans="1:26" s="24" customFormat="1" hidden="1" outlineLevel="1" x14ac:dyDescent="0.35">
      <c r="A16" s="51"/>
      <c r="B16" s="11" t="str">
        <f>CONCATENATE("          ", "4058", " - ", "TAXABLE SALES-FOOD")</f>
        <v xml:space="preserve">          4058 - TAXABLE SALES-FOOD</v>
      </c>
      <c r="C16" s="11"/>
      <c r="D16" s="2">
        <f t="shared" ref="D16:D18" si="5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--974.91</f>
        <v>974.91</v>
      </c>
      <c r="Q16" s="2"/>
      <c r="R16" s="22"/>
      <c r="S16" s="2"/>
      <c r="T16" s="2"/>
      <c r="U16" s="2"/>
      <c r="V16" s="22"/>
      <c r="W16" s="2"/>
      <c r="X16" s="2">
        <f t="shared" si="2"/>
        <v>974.91</v>
      </c>
      <c r="Y16" s="2"/>
      <c r="Z16" s="22">
        <f t="shared" si="3"/>
        <v>0</v>
      </c>
    </row>
    <row r="17" spans="1:26" s="24" customFormat="1" hidden="1" outlineLevel="1" x14ac:dyDescent="0.3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 t="shared" si="5"/>
        <v>0</v>
      </c>
      <c r="E17" s="2"/>
      <c r="F17" s="22"/>
      <c r="G17" s="2"/>
      <c r="H17" s="2">
        <v>16243</v>
      </c>
      <c r="I17" s="2"/>
      <c r="J17" s="22"/>
      <c r="K17" s="2"/>
      <c r="L17" s="2">
        <f t="shared" si="0"/>
        <v>-16243</v>
      </c>
      <c r="M17" s="2"/>
      <c r="N17" s="22">
        <f t="shared" si="1"/>
        <v>-1</v>
      </c>
      <c r="O17" s="11"/>
      <c r="P17" s="2">
        <f>0</f>
        <v>0</v>
      </c>
      <c r="Q17" s="2"/>
      <c r="R17" s="22"/>
      <c r="S17" s="2"/>
      <c r="T17" s="2">
        <v>77657</v>
      </c>
      <c r="U17" s="2"/>
      <c r="V17" s="22"/>
      <c r="W17" s="2"/>
      <c r="X17" s="2">
        <f t="shared" si="2"/>
        <v>-77657</v>
      </c>
      <c r="Y17" s="2"/>
      <c r="Z17" s="22">
        <f t="shared" si="3"/>
        <v>-1</v>
      </c>
    </row>
    <row r="18" spans="1:26" s="24" customFormat="1" hidden="1" outlineLevel="1" x14ac:dyDescent="0.35">
      <c r="A18" s="51"/>
      <c r="B18" s="11" t="str">
        <f>CONCATENATE("          ", "4151", " - ", "NON-TAXABLE SALES-FOOD")</f>
        <v xml:space="preserve">          4151 - NON-TAXABLE SALES-FOOD</v>
      </c>
      <c r="C18" s="11"/>
      <c r="D18" s="2">
        <f t="shared" si="5"/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--22171.22</f>
        <v>22171.22</v>
      </c>
      <c r="Q18" s="2"/>
      <c r="R18" s="22"/>
      <c r="S18" s="2"/>
      <c r="T18" s="2"/>
      <c r="U18" s="2"/>
      <c r="V18" s="22"/>
      <c r="W18" s="2"/>
      <c r="X18" s="2">
        <f t="shared" si="2"/>
        <v>22171.22</v>
      </c>
      <c r="Y18" s="2"/>
      <c r="Z18" s="22">
        <f t="shared" si="3"/>
        <v>0</v>
      </c>
    </row>
    <row r="19" spans="1:26" x14ac:dyDescent="0.3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35">
      <c r="A20" s="10"/>
      <c r="B20" s="25" t="s">
        <v>8</v>
      </c>
      <c r="C20" s="10"/>
      <c r="D20" s="4">
        <f>SUM(OSRRefD16x_0)</f>
        <v>1319.87</v>
      </c>
      <c r="E20" s="4"/>
      <c r="F20" s="12">
        <f t="shared" ref="F20:F23" si="6">IF(D$12=0,0,D20/D$12)</f>
        <v>1.6081568877442231E-2</v>
      </c>
      <c r="G20" s="4"/>
      <c r="H20" s="4">
        <f>SUM(OSRRefH16x_0)</f>
        <v>7308</v>
      </c>
      <c r="I20" s="4"/>
      <c r="J20" s="12">
        <f t="shared" ref="J20:J23" si="7">IF(H$12=0,0,H20/H$12)</f>
        <v>0.30997624703087884</v>
      </c>
      <c r="K20" s="4"/>
      <c r="L20" s="4">
        <f t="shared" ref="L20:L23" si="8">+D20-H20</f>
        <v>-5988.13</v>
      </c>
      <c r="M20" s="4"/>
      <c r="N20" s="12">
        <f t="shared" ref="N20:N23" si="9">IF(H20=0,0,L20/H20)</f>
        <v>-0.81939381499726327</v>
      </c>
      <c r="O20" s="10"/>
      <c r="P20" s="4">
        <f>SUM(OSRRefP16x_0)</f>
        <v>20173.350000000002</v>
      </c>
      <c r="Q20" s="4"/>
      <c r="R20" s="12">
        <f t="shared" ref="R20:R23" si="10">IF(P$12=0,0,P20/P$12)</f>
        <v>7.301580028279242E-2</v>
      </c>
      <c r="S20" s="4"/>
      <c r="T20" s="4">
        <f>SUM(OSRRefT16x_0)</f>
        <v>35611</v>
      </c>
      <c r="U20" s="4"/>
      <c r="V20" s="12">
        <f t="shared" ref="V20:V23" si="11">IF(T$12=0,0,T20/T$12)</f>
        <v>0.31594123179019468</v>
      </c>
      <c r="W20" s="4"/>
      <c r="X20" s="4">
        <f t="shared" ref="X20:X23" si="12">+P20-T20</f>
        <v>-15437.649999999998</v>
      </c>
      <c r="Y20" s="4"/>
      <c r="Z20" s="12">
        <f t="shared" ref="Z20:Z23" si="13">IF(T20=0,0,X20/T20)</f>
        <v>-0.43350790486085755</v>
      </c>
    </row>
    <row r="21" spans="1:26" s="24" customFormat="1" hidden="1" outlineLevel="1" x14ac:dyDescent="0.35">
      <c r="A21" s="51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22">
        <f t="shared" si="6"/>
        <v>0</v>
      </c>
      <c r="G21" s="2"/>
      <c r="H21" s="2">
        <v>7308</v>
      </c>
      <c r="I21" s="2"/>
      <c r="J21" s="22">
        <f t="shared" si="7"/>
        <v>0.30997624703087884</v>
      </c>
      <c r="K21" s="2"/>
      <c r="L21" s="2">
        <f t="shared" si="8"/>
        <v>-7308</v>
      </c>
      <c r="M21" s="2"/>
      <c r="N21" s="22">
        <f t="shared" si="9"/>
        <v>-1</v>
      </c>
      <c r="O21" s="11"/>
      <c r="P21" s="2"/>
      <c r="Q21" s="2"/>
      <c r="R21" s="22">
        <f t="shared" si="10"/>
        <v>0</v>
      </c>
      <c r="S21" s="2"/>
      <c r="T21" s="2">
        <v>35611</v>
      </c>
      <c r="U21" s="2"/>
      <c r="V21" s="22">
        <f t="shared" si="11"/>
        <v>0.31594123179019468</v>
      </c>
      <c r="W21" s="2"/>
      <c r="X21" s="2">
        <f t="shared" si="12"/>
        <v>-35611</v>
      </c>
      <c r="Y21" s="2"/>
      <c r="Z21" s="22">
        <f t="shared" si="13"/>
        <v>-1</v>
      </c>
    </row>
    <row r="22" spans="1:26" s="24" customFormat="1" hidden="1" outlineLevel="1" x14ac:dyDescent="0.35">
      <c r="A22" s="51"/>
      <c r="B22" s="11" t="str">
        <f>CONCATENATE("          ", "5053", " - ", "PURCHASES @ COST-FOOD")</f>
        <v xml:space="preserve">          5053 - PURCHASES @ COST-FOOD</v>
      </c>
      <c r="C22" s="11"/>
      <c r="D22" s="2">
        <v>1534.85</v>
      </c>
      <c r="E22" s="2"/>
      <c r="F22" s="22">
        <f t="shared" si="6"/>
        <v>1.8700929630601656E-2</v>
      </c>
      <c r="G22" s="2"/>
      <c r="H22" s="2"/>
      <c r="I22" s="2"/>
      <c r="J22" s="22">
        <f t="shared" si="7"/>
        <v>0</v>
      </c>
      <c r="K22" s="2"/>
      <c r="L22" s="2">
        <f t="shared" si="8"/>
        <v>1534.85</v>
      </c>
      <c r="M22" s="2"/>
      <c r="N22" s="22">
        <f t="shared" si="9"/>
        <v>0</v>
      </c>
      <c r="O22" s="11"/>
      <c r="P22" s="2">
        <v>14844.270000000002</v>
      </c>
      <c r="Q22" s="2"/>
      <c r="R22" s="22">
        <f t="shared" si="10"/>
        <v>5.3727628463485097E-2</v>
      </c>
      <c r="S22" s="2"/>
      <c r="T22" s="2"/>
      <c r="U22" s="2"/>
      <c r="V22" s="22">
        <f t="shared" si="11"/>
        <v>0</v>
      </c>
      <c r="W22" s="2"/>
      <c r="X22" s="2">
        <f t="shared" si="12"/>
        <v>14844.270000000002</v>
      </c>
      <c r="Y22" s="2"/>
      <c r="Z22" s="22">
        <f t="shared" si="13"/>
        <v>0</v>
      </c>
    </row>
    <row r="23" spans="1:26" s="24" customFormat="1" hidden="1" outlineLevel="1" x14ac:dyDescent="0.35">
      <c r="A23" s="51"/>
      <c r="B23" s="11" t="str">
        <f>CONCATENATE("          ", "5059", " - ", "PURCHASES @ COST-FOOD")</f>
        <v xml:space="preserve">          5059 - PURCHASES @ COST-FOOD</v>
      </c>
      <c r="C23" s="11"/>
      <c r="D23" s="2">
        <v>-214.98</v>
      </c>
      <c r="E23" s="2"/>
      <c r="F23" s="22">
        <f t="shared" si="6"/>
        <v>-2.6193607531594253E-3</v>
      </c>
      <c r="G23" s="2"/>
      <c r="H23" s="2"/>
      <c r="I23" s="2"/>
      <c r="J23" s="22">
        <f t="shared" si="7"/>
        <v>0</v>
      </c>
      <c r="K23" s="2"/>
      <c r="L23" s="2">
        <f t="shared" si="8"/>
        <v>-214.98</v>
      </c>
      <c r="M23" s="2"/>
      <c r="N23" s="22">
        <f t="shared" si="9"/>
        <v>0</v>
      </c>
      <c r="O23" s="11"/>
      <c r="P23" s="2">
        <v>5329.08</v>
      </c>
      <c r="Q23" s="2"/>
      <c r="R23" s="22">
        <f t="shared" si="10"/>
        <v>1.9288171819307323E-2</v>
      </c>
      <c r="S23" s="2"/>
      <c r="T23" s="2"/>
      <c r="U23" s="2"/>
      <c r="V23" s="22">
        <f t="shared" si="11"/>
        <v>0</v>
      </c>
      <c r="W23" s="2"/>
      <c r="X23" s="2">
        <f t="shared" si="12"/>
        <v>5329.08</v>
      </c>
      <c r="Y23" s="2"/>
      <c r="Z23" s="22">
        <f t="shared" si="13"/>
        <v>0</v>
      </c>
    </row>
    <row r="24" spans="1:26" x14ac:dyDescent="0.3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35">
      <c r="A25" s="10"/>
      <c r="B25" s="26" t="s">
        <v>6</v>
      </c>
      <c r="C25" s="26"/>
      <c r="D25" s="19">
        <f>D12-D20</f>
        <v>80753.590000000011</v>
      </c>
      <c r="E25" s="13"/>
      <c r="F25" s="21">
        <f>IF(D$12=0,0,D25/D$12)</f>
        <v>0.98391843112255783</v>
      </c>
      <c r="G25" s="13"/>
      <c r="H25" s="19">
        <f>H12-H20</f>
        <v>16268</v>
      </c>
      <c r="I25" s="13"/>
      <c r="J25" s="21">
        <f>IF(H$12=0,0,H25/H$12)</f>
        <v>0.69002375296912111</v>
      </c>
      <c r="K25" s="16"/>
      <c r="L25" s="19">
        <f>+D25-H25</f>
        <v>64485.590000000011</v>
      </c>
      <c r="M25" s="16"/>
      <c r="N25" s="21">
        <f>IF(H25=0,0,L25/H25)</f>
        <v>3.9639531595770845</v>
      </c>
      <c r="O25" s="25"/>
      <c r="P25" s="19">
        <f>P12-P20</f>
        <v>256114.11000000002</v>
      </c>
      <c r="Q25" s="13"/>
      <c r="R25" s="21">
        <f>IF(P$12=0,0,P25/P$12)</f>
        <v>0.92698419971720758</v>
      </c>
      <c r="S25" s="13"/>
      <c r="T25" s="19">
        <f>T12-T20</f>
        <v>77103</v>
      </c>
      <c r="U25" s="13"/>
      <c r="V25" s="21">
        <f>IF(T$12=0,0,T25/T$12)</f>
        <v>0.68405876820980538</v>
      </c>
      <c r="W25" s="16"/>
      <c r="X25" s="19">
        <f>+P25-T25</f>
        <v>179011.11000000002</v>
      </c>
      <c r="Y25" s="16"/>
      <c r="Z25" s="21">
        <f>IF(T25=0,0,X25/T25)</f>
        <v>2.3217139410917866</v>
      </c>
    </row>
    <row r="26" spans="1:26" x14ac:dyDescent="0.3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35">
      <c r="A27" s="10"/>
      <c r="B27" s="25" t="s">
        <v>9</v>
      </c>
      <c r="C27" s="10"/>
      <c r="D27" s="20">
        <f>SUM(OSRRefD22x_0)</f>
        <v>111910.68000000002</v>
      </c>
      <c r="E27" s="20"/>
      <c r="F27" s="30">
        <f t="shared" ref="F27:F37" si="14">IF(D$12=0,0,D27/D$12)</f>
        <v>1.3635428553883315</v>
      </c>
      <c r="G27" s="20"/>
      <c r="H27" s="20">
        <f>SUM(OSRRefH22x_0)</f>
        <v>113578.30222431409</v>
      </c>
      <c r="I27" s="20"/>
      <c r="J27" s="30">
        <f t="shared" ref="J27:J37" si="15">IF(H$12=0,0,H27/H$12)</f>
        <v>4.8175391170815276</v>
      </c>
      <c r="K27" s="4"/>
      <c r="L27" s="20">
        <f t="shared" ref="L27:L37" si="16">+D27-H27</f>
        <v>-1667.6222243140655</v>
      </c>
      <c r="M27" s="4"/>
      <c r="N27" s="30">
        <f t="shared" ref="N27:N37" si="17">IF(H27=0,0,L27/H27)</f>
        <v>-1.4682577496365076E-2</v>
      </c>
      <c r="O27" s="10"/>
      <c r="P27" s="20">
        <f>SUM(OSRRefP22x_0)</f>
        <v>786753.15</v>
      </c>
      <c r="Q27" s="20"/>
      <c r="R27" s="30">
        <f t="shared" ref="R27:R37" si="18">IF(P$12=0,0,P27/P$12)</f>
        <v>2.8475890653886351</v>
      </c>
      <c r="S27" s="20"/>
      <c r="T27" s="20">
        <f>SUM(OSRRefT22x_0)</f>
        <v>769897.72446387564</v>
      </c>
      <c r="U27" s="20"/>
      <c r="V27" s="30">
        <f t="shared" ref="V27:V37" si="19">IF(T$12=0,0,T27/T$12)</f>
        <v>6.8305421195581353</v>
      </c>
      <c r="W27" s="4"/>
      <c r="X27" s="20">
        <f t="shared" ref="X27:X37" si="20">+P27-T27</f>
        <v>16855.425536124385</v>
      </c>
      <c r="Y27" s="4"/>
      <c r="Z27" s="30">
        <f t="shared" ref="Z27:Z37" si="21">IF(T27=0,0,X27/T27)</f>
        <v>2.1893070989217164E-2</v>
      </c>
    </row>
    <row r="28" spans="1:26" s="28" customFormat="1" outlineLevel="1" collapsed="1" x14ac:dyDescent="0.35">
      <c r="A28" s="27"/>
      <c r="B28" s="14" t="str">
        <f>CONCATENATE("     ","*Benefits                                         ")</f>
        <v xml:space="preserve">     *Benefits                                         </v>
      </c>
      <c r="C28" s="14"/>
      <c r="D28" s="1">
        <f>SUM(OSRRefD22_0x_0)</f>
        <v>18824.990000000002</v>
      </c>
      <c r="E28" s="1"/>
      <c r="F28" s="5">
        <f t="shared" si="14"/>
        <v>0.22936756900464536</v>
      </c>
      <c r="G28" s="1"/>
      <c r="H28" s="1">
        <f>SUM(OSRRefH22_0x_0)</f>
        <v>14892.707775596158</v>
      </c>
      <c r="I28" s="1"/>
      <c r="J28" s="5">
        <f t="shared" si="15"/>
        <v>0.63168933557839146</v>
      </c>
      <c r="K28" s="1"/>
      <c r="L28" s="1">
        <f t="shared" si="16"/>
        <v>3932.2822244038434</v>
      </c>
      <c r="M28" s="1"/>
      <c r="N28" s="5">
        <f t="shared" si="17"/>
        <v>0.26404078315747609</v>
      </c>
      <c r="O28" s="14"/>
      <c r="P28" s="1">
        <f>SUM(OSRRefP22_0x_0)</f>
        <v>149994.06</v>
      </c>
      <c r="Q28" s="1"/>
      <c r="R28" s="5">
        <f t="shared" si="18"/>
        <v>0.54289130603321623</v>
      </c>
      <c r="S28" s="1"/>
      <c r="T28" s="1">
        <f>SUM(OSRRefT22_0x_0)</f>
        <v>96825.371015157711</v>
      </c>
      <c r="U28" s="1"/>
      <c r="V28" s="5">
        <f t="shared" si="19"/>
        <v>0.85903588742443449</v>
      </c>
      <c r="W28" s="1"/>
      <c r="X28" s="1">
        <f t="shared" si="20"/>
        <v>53168.688984842287</v>
      </c>
      <c r="Y28" s="1"/>
      <c r="Z28" s="5">
        <f t="shared" si="21"/>
        <v>0.54911939326851522</v>
      </c>
    </row>
    <row r="29" spans="1:26" s="24" customFormat="1" hidden="1" outlineLevel="2" x14ac:dyDescent="0.35">
      <c r="A29" s="29"/>
      <c r="B29" s="11" t="str">
        <f>CONCATENATE("          ", "6111", " - ", "F.I.C.A.")</f>
        <v xml:space="preserve">          6111 - F.I.C.A.</v>
      </c>
      <c r="C29" s="11"/>
      <c r="D29" s="7">
        <v>2030.81</v>
      </c>
      <c r="E29" s="2"/>
      <c r="F29" s="6">
        <f t="shared" si="14"/>
        <v>2.4743808778136072E-2</v>
      </c>
      <c r="G29" s="2"/>
      <c r="H29" s="7">
        <v>1817.76072271154</v>
      </c>
      <c r="I29" s="2"/>
      <c r="J29" s="6">
        <f t="shared" si="15"/>
        <v>7.7102168421765357E-2</v>
      </c>
      <c r="K29" s="2"/>
      <c r="L29" s="7">
        <f t="shared" si="16"/>
        <v>213.04927728845996</v>
      </c>
      <c r="M29" s="2"/>
      <c r="N29" s="6">
        <f t="shared" si="17"/>
        <v>0.11720424730635391</v>
      </c>
      <c r="O29" s="11"/>
      <c r="P29" s="7">
        <v>17675.59</v>
      </c>
      <c r="Q29" s="2"/>
      <c r="R29" s="6">
        <f t="shared" si="18"/>
        <v>6.3975361024347602E-2</v>
      </c>
      <c r="S29" s="2"/>
      <c r="T29" s="7">
        <v>11535.644968811544</v>
      </c>
      <c r="U29" s="2"/>
      <c r="V29" s="6">
        <f t="shared" si="19"/>
        <v>0.10234438462667943</v>
      </c>
      <c r="W29" s="2"/>
      <c r="X29" s="7">
        <f t="shared" si="20"/>
        <v>6139.9450311884557</v>
      </c>
      <c r="Y29" s="2"/>
      <c r="Z29" s="6">
        <f t="shared" si="21"/>
        <v>0.53225849510701617</v>
      </c>
    </row>
    <row r="30" spans="1:26" s="24" customFormat="1" hidden="1" outlineLevel="2" x14ac:dyDescent="0.35">
      <c r="A30" s="29"/>
      <c r="B30" s="11" t="str">
        <f>CONCATENATE("          ", "6112", " - ", "COMPENSATION INSURANCE")</f>
        <v xml:space="preserve">          6112 - COMPENSATION INSURANCE</v>
      </c>
      <c r="C30" s="11"/>
      <c r="D30" s="7">
        <v>205.8</v>
      </c>
      <c r="E30" s="2"/>
      <c r="F30" s="6">
        <f t="shared" si="14"/>
        <v>2.5075097357903516E-3</v>
      </c>
      <c r="G30" s="2"/>
      <c r="H30" s="7">
        <v>659.7708594230769</v>
      </c>
      <c r="I30" s="2"/>
      <c r="J30" s="6">
        <f t="shared" si="15"/>
        <v>2.7984851519472213E-2</v>
      </c>
      <c r="K30" s="2"/>
      <c r="L30" s="7">
        <f t="shared" si="16"/>
        <v>-453.97085942307689</v>
      </c>
      <c r="M30" s="2"/>
      <c r="N30" s="6">
        <f t="shared" si="17"/>
        <v>-0.68807352270762978</v>
      </c>
      <c r="O30" s="11"/>
      <c r="P30" s="7">
        <v>5162.5</v>
      </c>
      <c r="Q30" s="2"/>
      <c r="R30" s="6">
        <f t="shared" si="18"/>
        <v>1.8685249051838979E-2</v>
      </c>
      <c r="S30" s="2"/>
      <c r="T30" s="7">
        <v>4107.2056524230775</v>
      </c>
      <c r="U30" s="2"/>
      <c r="V30" s="6">
        <f t="shared" si="19"/>
        <v>3.6439179271635092E-2</v>
      </c>
      <c r="W30" s="2"/>
      <c r="X30" s="7">
        <f t="shared" si="20"/>
        <v>1055.2943475769225</v>
      </c>
      <c r="Y30" s="2"/>
      <c r="Z30" s="6">
        <f t="shared" si="21"/>
        <v>0.25693730406568355</v>
      </c>
    </row>
    <row r="31" spans="1:26" s="24" customFormat="1" hidden="1" outlineLevel="2" x14ac:dyDescent="0.35">
      <c r="A31" s="29"/>
      <c r="B31" s="11" t="str">
        <f>CONCATENATE("          ", "6113", " - ", "GROUP INSURANCE")</f>
        <v xml:space="preserve">          6113 - GROUP INSURANCE</v>
      </c>
      <c r="C31" s="11"/>
      <c r="D31" s="7">
        <v>8554.93</v>
      </c>
      <c r="E31" s="2"/>
      <c r="F31" s="6">
        <f t="shared" si="14"/>
        <v>0.10423503529642834</v>
      </c>
      <c r="G31" s="2"/>
      <c r="H31" s="7">
        <v>7752.1153846153802</v>
      </c>
      <c r="I31" s="2"/>
      <c r="J31" s="6">
        <f t="shared" si="15"/>
        <v>0.3288138524183653</v>
      </c>
      <c r="K31" s="2"/>
      <c r="L31" s="7">
        <f t="shared" si="16"/>
        <v>802.81461538462008</v>
      </c>
      <c r="M31" s="2"/>
      <c r="N31" s="6">
        <f t="shared" si="17"/>
        <v>0.1035607154374743</v>
      </c>
      <c r="O31" s="11"/>
      <c r="P31" s="7">
        <v>69486.78</v>
      </c>
      <c r="Q31" s="2"/>
      <c r="R31" s="6">
        <f t="shared" si="18"/>
        <v>0.25150175111096246</v>
      </c>
      <c r="S31" s="2"/>
      <c r="T31" s="7">
        <v>51912.576923076915</v>
      </c>
      <c r="U31" s="2"/>
      <c r="V31" s="6">
        <f t="shared" si="19"/>
        <v>0.46056902357361917</v>
      </c>
      <c r="W31" s="2"/>
      <c r="X31" s="7">
        <f t="shared" si="20"/>
        <v>17574.203076923084</v>
      </c>
      <c r="Y31" s="2"/>
      <c r="Z31" s="6">
        <f t="shared" si="21"/>
        <v>0.33853459255093826</v>
      </c>
    </row>
    <row r="32" spans="1:26" s="24" customFormat="1" hidden="1" outlineLevel="2" x14ac:dyDescent="0.35">
      <c r="A32" s="29"/>
      <c r="B32" s="11" t="str">
        <f>CONCATENATE("          ", "6114", " - ", "STATE UNEMPLOYMENT INSURANCE")</f>
        <v xml:space="preserve">          6114 - STATE UNEMPLOYMENT INSURANCE</v>
      </c>
      <c r="C32" s="11"/>
      <c r="D32" s="7">
        <v>164.95</v>
      </c>
      <c r="E32" s="2"/>
      <c r="F32" s="6">
        <f t="shared" si="14"/>
        <v>2.0097848927046573E-3</v>
      </c>
      <c r="G32" s="2"/>
      <c r="H32" s="7">
        <v>73.193804999999998</v>
      </c>
      <c r="I32" s="2"/>
      <c r="J32" s="6">
        <f t="shared" si="15"/>
        <v>3.1045896250424159E-3</v>
      </c>
      <c r="K32" s="2"/>
      <c r="L32" s="7">
        <f t="shared" si="16"/>
        <v>91.756194999999991</v>
      </c>
      <c r="M32" s="2"/>
      <c r="N32" s="6">
        <f t="shared" si="17"/>
        <v>1.2536060258105177</v>
      </c>
      <c r="O32" s="11"/>
      <c r="P32" s="7">
        <v>673.22</v>
      </c>
      <c r="Q32" s="2"/>
      <c r="R32" s="6">
        <f t="shared" si="18"/>
        <v>2.4366650589208788E-3</v>
      </c>
      <c r="S32" s="2"/>
      <c r="T32" s="7">
        <v>454.80924700000003</v>
      </c>
      <c r="U32" s="2"/>
      <c r="V32" s="6">
        <f t="shared" si="19"/>
        <v>4.0350732562059732E-3</v>
      </c>
      <c r="W32" s="2"/>
      <c r="X32" s="7">
        <f t="shared" si="20"/>
        <v>218.410753</v>
      </c>
      <c r="Y32" s="2"/>
      <c r="Z32" s="6">
        <f t="shared" si="21"/>
        <v>0.48022496121324459</v>
      </c>
    </row>
    <row r="33" spans="1:26" s="24" customFormat="1" hidden="1" outlineLevel="2" x14ac:dyDescent="0.35">
      <c r="A33" s="29"/>
      <c r="B33" s="11" t="str">
        <f>CONCATENATE("          ", "6115", " - ", "P.E.R.S.")</f>
        <v xml:space="preserve">          6115 - P.E.R.S.</v>
      </c>
      <c r="C33" s="11"/>
      <c r="D33" s="7">
        <v>3958.83</v>
      </c>
      <c r="E33" s="2"/>
      <c r="F33" s="6">
        <f t="shared" si="14"/>
        <v>4.8235202951112326E-2</v>
      </c>
      <c r="G33" s="2"/>
      <c r="H33" s="7">
        <v>1732.6646576923099</v>
      </c>
      <c r="I33" s="2"/>
      <c r="J33" s="6">
        <f t="shared" si="15"/>
        <v>7.3492732341886233E-2</v>
      </c>
      <c r="K33" s="2"/>
      <c r="L33" s="7">
        <f t="shared" si="16"/>
        <v>2226.16534230769</v>
      </c>
      <c r="M33" s="2"/>
      <c r="N33" s="6">
        <f t="shared" si="17"/>
        <v>1.2848218103973221</v>
      </c>
      <c r="O33" s="11"/>
      <c r="P33" s="7">
        <v>24223.11</v>
      </c>
      <c r="Q33" s="2"/>
      <c r="R33" s="6">
        <f t="shared" si="18"/>
        <v>8.7673577367572156E-2</v>
      </c>
      <c r="S33" s="2"/>
      <c r="T33" s="7">
        <v>10742.520877692314</v>
      </c>
      <c r="U33" s="2"/>
      <c r="V33" s="6">
        <f t="shared" si="19"/>
        <v>9.5307777895313042E-2</v>
      </c>
      <c r="W33" s="2"/>
      <c r="X33" s="7">
        <f t="shared" si="20"/>
        <v>13480.589122307687</v>
      </c>
      <c r="Y33" s="2"/>
      <c r="Z33" s="6">
        <f t="shared" si="21"/>
        <v>1.2548813519460955</v>
      </c>
    </row>
    <row r="34" spans="1:26" s="24" customFormat="1" hidden="1" outlineLevel="2" x14ac:dyDescent="0.35">
      <c r="A34" s="29"/>
      <c r="B34" s="11" t="str">
        <f>CONCATENATE("          ", "6116", " - ", "EDUCATIONAL BENEFITS")</f>
        <v xml:space="preserve">          6116 - EDUCATIONAL BENEFITS</v>
      </c>
      <c r="C34" s="11"/>
      <c r="D34" s="7"/>
      <c r="E34" s="2"/>
      <c r="F34" s="6">
        <f t="shared" si="14"/>
        <v>0</v>
      </c>
      <c r="G34" s="2"/>
      <c r="H34" s="7">
        <v>0</v>
      </c>
      <c r="I34" s="2"/>
      <c r="J34" s="6">
        <f t="shared" si="15"/>
        <v>0</v>
      </c>
      <c r="K34" s="2"/>
      <c r="L34" s="7">
        <f t="shared" si="16"/>
        <v>0</v>
      </c>
      <c r="M34" s="2"/>
      <c r="N34" s="6">
        <f t="shared" si="17"/>
        <v>0</v>
      </c>
      <c r="O34" s="11"/>
      <c r="P34" s="7"/>
      <c r="Q34" s="2"/>
      <c r="R34" s="6">
        <f t="shared" si="18"/>
        <v>0</v>
      </c>
      <c r="S34" s="2"/>
      <c r="T34" s="7">
        <v>0</v>
      </c>
      <c r="U34" s="2"/>
      <c r="V34" s="6">
        <f t="shared" si="19"/>
        <v>0</v>
      </c>
      <c r="W34" s="2"/>
      <c r="X34" s="7">
        <f t="shared" si="20"/>
        <v>0</v>
      </c>
      <c r="Y34" s="2"/>
      <c r="Z34" s="6">
        <f t="shared" si="21"/>
        <v>0</v>
      </c>
    </row>
    <row r="35" spans="1:26" s="24" customFormat="1" hidden="1" outlineLevel="2" x14ac:dyDescent="0.35">
      <c r="A35" s="29"/>
      <c r="B35" s="11" t="str">
        <f>CONCATENATE("          ", "6118", " - ", "VACATION")</f>
        <v xml:space="preserve">          6118 - VACATION</v>
      </c>
      <c r="C35" s="11"/>
      <c r="D35" s="7">
        <v>2423.7800000000002</v>
      </c>
      <c r="E35" s="2"/>
      <c r="F35" s="6">
        <f t="shared" si="14"/>
        <v>2.9531836479173658E-2</v>
      </c>
      <c r="G35" s="2"/>
      <c r="H35" s="7">
        <v>1879.4400961538499</v>
      </c>
      <c r="I35" s="2"/>
      <c r="J35" s="6">
        <f t="shared" si="15"/>
        <v>7.9718361730312604E-2</v>
      </c>
      <c r="K35" s="2"/>
      <c r="L35" s="7">
        <f t="shared" si="16"/>
        <v>544.33990384615026</v>
      </c>
      <c r="M35" s="2"/>
      <c r="N35" s="6">
        <f t="shared" si="17"/>
        <v>0.28962875962905438</v>
      </c>
      <c r="O35" s="11"/>
      <c r="P35" s="7">
        <v>18509.080000000002</v>
      </c>
      <c r="Q35" s="2"/>
      <c r="R35" s="6">
        <f t="shared" si="18"/>
        <v>6.6992110318723846E-2</v>
      </c>
      <c r="S35" s="2"/>
      <c r="T35" s="7">
        <v>11699.908596153869</v>
      </c>
      <c r="U35" s="2"/>
      <c r="V35" s="6">
        <f t="shared" si="19"/>
        <v>0.10380173355709024</v>
      </c>
      <c r="W35" s="2"/>
      <c r="X35" s="7">
        <f t="shared" si="20"/>
        <v>6809.1714038461323</v>
      </c>
      <c r="Y35" s="2"/>
      <c r="Z35" s="6">
        <f t="shared" si="21"/>
        <v>0.58198500850549573</v>
      </c>
    </row>
    <row r="36" spans="1:26" s="24" customFormat="1" hidden="1" outlineLevel="2" x14ac:dyDescent="0.35">
      <c r="A36" s="29"/>
      <c r="B36" s="11" t="str">
        <f>CONCATENATE("          ", "6119", " - ", "SICK LEAVE")</f>
        <v xml:space="preserve">          6119 - SICK LEAVE</v>
      </c>
      <c r="C36" s="11"/>
      <c r="D36" s="7">
        <v>1382.86</v>
      </c>
      <c r="E36" s="2"/>
      <c r="F36" s="6">
        <f t="shared" si="14"/>
        <v>1.6849052056535693E-2</v>
      </c>
      <c r="G36" s="2"/>
      <c r="H36" s="7">
        <v>627.76224999999999</v>
      </c>
      <c r="I36" s="2"/>
      <c r="J36" s="6">
        <f t="shared" si="15"/>
        <v>2.6627173820834748E-2</v>
      </c>
      <c r="K36" s="2"/>
      <c r="L36" s="7">
        <f t="shared" si="16"/>
        <v>755.09774999999991</v>
      </c>
      <c r="M36" s="2"/>
      <c r="N36" s="6">
        <f t="shared" si="17"/>
        <v>1.2028403268912713</v>
      </c>
      <c r="O36" s="11"/>
      <c r="P36" s="7">
        <v>10742.42</v>
      </c>
      <c r="Q36" s="2"/>
      <c r="R36" s="6">
        <f t="shared" si="18"/>
        <v>3.8881315858490278E-2</v>
      </c>
      <c r="S36" s="2"/>
      <c r="T36" s="7">
        <v>3922.7047500000003</v>
      </c>
      <c r="U36" s="2"/>
      <c r="V36" s="6">
        <f t="shared" si="19"/>
        <v>3.4802284986780702E-2</v>
      </c>
      <c r="W36" s="2"/>
      <c r="X36" s="7">
        <f t="shared" si="20"/>
        <v>6819.7152499999993</v>
      </c>
      <c r="Y36" s="2"/>
      <c r="Z36" s="6">
        <f t="shared" si="21"/>
        <v>1.7385237188702511</v>
      </c>
    </row>
    <row r="37" spans="1:26" s="24" customFormat="1" hidden="1" outlineLevel="2" x14ac:dyDescent="0.35">
      <c r="A37" s="29"/>
      <c r="B37" s="11" t="str">
        <f>CONCATENATE("          ", "6156", " - ", "EMPLOYEE MEALS")</f>
        <v xml:space="preserve">          6156 - EMPLOYEE MEALS</v>
      </c>
      <c r="C37" s="11"/>
      <c r="D37" s="7">
        <v>103.03</v>
      </c>
      <c r="E37" s="2"/>
      <c r="F37" s="6">
        <f t="shared" si="14"/>
        <v>1.2553388147642367E-3</v>
      </c>
      <c r="G37" s="2"/>
      <c r="H37" s="7">
        <v>350</v>
      </c>
      <c r="I37" s="2"/>
      <c r="J37" s="6">
        <f t="shared" si="15"/>
        <v>1.4845605700712588E-2</v>
      </c>
      <c r="K37" s="2"/>
      <c r="L37" s="7">
        <f t="shared" si="16"/>
        <v>-246.97</v>
      </c>
      <c r="M37" s="2"/>
      <c r="N37" s="6">
        <f t="shared" si="17"/>
        <v>-0.70562857142857138</v>
      </c>
      <c r="O37" s="11"/>
      <c r="P37" s="7">
        <v>3521.36</v>
      </c>
      <c r="Q37" s="2"/>
      <c r="R37" s="6">
        <f t="shared" si="18"/>
        <v>1.274527624236004E-2</v>
      </c>
      <c r="S37" s="2"/>
      <c r="T37" s="7">
        <v>2450</v>
      </c>
      <c r="U37" s="2"/>
      <c r="V37" s="6">
        <f t="shared" si="19"/>
        <v>2.1736430257110917E-2</v>
      </c>
      <c r="W37" s="2"/>
      <c r="X37" s="7">
        <f t="shared" si="20"/>
        <v>1071.3600000000001</v>
      </c>
      <c r="Y37" s="2"/>
      <c r="Z37" s="6">
        <f t="shared" si="21"/>
        <v>0.43728979591836742</v>
      </c>
    </row>
    <row r="38" spans="1:26" s="28" customFormat="1" outlineLevel="1" collapsed="1" x14ac:dyDescent="0.35">
      <c r="A38" s="27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SUM(OSRRefD22_1x_0)</f>
        <v>29206.010000000002</v>
      </c>
      <c r="E38" s="1"/>
      <c r="F38" s="5">
        <f t="shared" ref="F38:F48" si="22">IF(D$12=0,0,D38/D$12)</f>
        <v>0.35585206228663929</v>
      </c>
      <c r="G38" s="1"/>
      <c r="H38" s="1">
        <f>SUM(OSRRefH22_1x_0)</f>
        <v>25644.261115384601</v>
      </c>
      <c r="I38" s="1"/>
      <c r="J38" s="5">
        <f t="shared" ref="J38:J48" si="23">IF(H$12=0,0,H38/H$12)</f>
        <v>1.0877273971574737</v>
      </c>
      <c r="K38" s="1"/>
      <c r="L38" s="1">
        <f t="shared" ref="L38:L48" si="24">+D38-H38</f>
        <v>3561.748884615401</v>
      </c>
      <c r="M38" s="1"/>
      <c r="N38" s="5">
        <f t="shared" ref="N38:N48" si="25">IF(H38=0,0,L38/H38)</f>
        <v>0.13889068078778152</v>
      </c>
      <c r="O38" s="14"/>
      <c r="P38" s="1">
        <f>SUM(OSRRefP22_1x_0)</f>
        <v>208137.66999999998</v>
      </c>
      <c r="Q38" s="1"/>
      <c r="R38" s="5">
        <f t="shared" ref="R38:R48" si="26">IF(P$12=0,0,P38/P$12)</f>
        <v>0.75333737550014024</v>
      </c>
      <c r="S38" s="1"/>
      <c r="T38" s="1">
        <f>SUM(OSRRefT22_1x_0)</f>
        <v>159304.02011538454</v>
      </c>
      <c r="U38" s="1"/>
      <c r="V38" s="5">
        <f t="shared" ref="V38:V48" si="27">IF(T$12=0,0,T38/T$12)</f>
        <v>1.4133472338430411</v>
      </c>
      <c r="W38" s="1"/>
      <c r="X38" s="1">
        <f t="shared" ref="X38:X48" si="28">+P38-T38</f>
        <v>48833.649884615443</v>
      </c>
      <c r="Y38" s="1"/>
      <c r="Z38" s="5">
        <f t="shared" ref="Z38:Z48" si="29">IF(T38=0,0,X38/T38)</f>
        <v>0.30654373850229916</v>
      </c>
    </row>
    <row r="39" spans="1:26" s="24" customFormat="1" hidden="1" outlineLevel="2" x14ac:dyDescent="0.35">
      <c r="A39" s="29"/>
      <c r="B39" s="11" t="str">
        <f>CONCATENATE("          ", "6001", " - ", "ADMINISTRATIVE SALARIES")</f>
        <v xml:space="preserve">          6001 - ADMINISTRATIVE SALARIES</v>
      </c>
      <c r="C39" s="11"/>
      <c r="D39" s="7">
        <v>13911.28</v>
      </c>
      <c r="E39" s="2"/>
      <c r="F39" s="6">
        <f t="shared" si="22"/>
        <v>0.16949791077407969</v>
      </c>
      <c r="G39" s="2"/>
      <c r="H39" s="7">
        <v>12452.884615384599</v>
      </c>
      <c r="I39" s="2"/>
      <c r="J39" s="6">
        <f t="shared" si="23"/>
        <v>0.52820175667562774</v>
      </c>
      <c r="K39" s="2"/>
      <c r="L39" s="7">
        <f t="shared" si="24"/>
        <v>1458.3953846154018</v>
      </c>
      <c r="M39" s="2"/>
      <c r="N39" s="6">
        <f t="shared" si="25"/>
        <v>0.1171130569068041</v>
      </c>
      <c r="O39" s="11"/>
      <c r="P39" s="7">
        <v>76591.079999999987</v>
      </c>
      <c r="Q39" s="2"/>
      <c r="R39" s="6">
        <f t="shared" si="26"/>
        <v>0.27721518739938461</v>
      </c>
      <c r="S39" s="2"/>
      <c r="T39" s="7">
        <v>77207.884615384566</v>
      </c>
      <c r="U39" s="2"/>
      <c r="V39" s="6">
        <f t="shared" si="27"/>
        <v>0.68498930581280559</v>
      </c>
      <c r="W39" s="2"/>
      <c r="X39" s="7">
        <f t="shared" si="28"/>
        <v>-616.80461538457894</v>
      </c>
      <c r="Y39" s="2"/>
      <c r="Z39" s="6">
        <f t="shared" si="29"/>
        <v>-7.9888811674769487E-3</v>
      </c>
    </row>
    <row r="40" spans="1:26" s="24" customFormat="1" hidden="1" outlineLevel="2" x14ac:dyDescent="0.35">
      <c r="A40" s="29"/>
      <c r="B40" s="11" t="str">
        <f>CONCATENATE("          ", "6002", " - ", "STAFF SALARIES")</f>
        <v xml:space="preserve">          6002 - STAFF SALARIES</v>
      </c>
      <c r="C40" s="11"/>
      <c r="D40" s="7">
        <v>14173.28</v>
      </c>
      <c r="E40" s="2"/>
      <c r="F40" s="6">
        <f t="shared" si="22"/>
        <v>0.17269017292557179</v>
      </c>
      <c r="G40" s="2"/>
      <c r="H40" s="7">
        <v>5679.6524999999992</v>
      </c>
      <c r="I40" s="2"/>
      <c r="J40" s="6">
        <f t="shared" si="23"/>
        <v>0.24090823294876143</v>
      </c>
      <c r="K40" s="2"/>
      <c r="L40" s="7">
        <f t="shared" si="24"/>
        <v>8493.6275000000023</v>
      </c>
      <c r="M40" s="2"/>
      <c r="N40" s="6">
        <f t="shared" si="25"/>
        <v>1.4954484451293462</v>
      </c>
      <c r="O40" s="11"/>
      <c r="P40" s="7">
        <v>107094.09</v>
      </c>
      <c r="Q40" s="2"/>
      <c r="R40" s="6">
        <f t="shared" si="26"/>
        <v>0.38761835227700886</v>
      </c>
      <c r="S40" s="2"/>
      <c r="T40" s="7">
        <v>35213.845499999996</v>
      </c>
      <c r="U40" s="2"/>
      <c r="V40" s="6">
        <f t="shared" si="27"/>
        <v>0.3124176721613996</v>
      </c>
      <c r="W40" s="2"/>
      <c r="X40" s="7">
        <f t="shared" si="28"/>
        <v>71880.244500000001</v>
      </c>
      <c r="Y40" s="2"/>
      <c r="Z40" s="6">
        <f t="shared" si="29"/>
        <v>2.0412494994333978</v>
      </c>
    </row>
    <row r="41" spans="1:26" s="24" customFormat="1" hidden="1" outlineLevel="2" x14ac:dyDescent="0.35">
      <c r="A41" s="29"/>
      <c r="B41" s="11" t="str">
        <f>CONCATENATE("          ", "6003", " - ", "STAFF HOURLY-9 MONTH")</f>
        <v xml:space="preserve">          6003 - STAFF HOURLY-9 MONTH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4" customFormat="1" hidden="1" outlineLevel="2" x14ac:dyDescent="0.35">
      <c r="A42" s="29"/>
      <c r="B42" s="11" t="str">
        <f>CONCATENATE("          ", "6004", " - ", "STAFF HOURLY")</f>
        <v xml:space="preserve">          6004 - STAFF HOURLY</v>
      </c>
      <c r="C42" s="11"/>
      <c r="D42" s="7">
        <v>960.45</v>
      </c>
      <c r="E42" s="2"/>
      <c r="F42" s="6">
        <f t="shared" si="22"/>
        <v>1.1702321310689228E-2</v>
      </c>
      <c r="G42" s="2"/>
      <c r="H42" s="7">
        <v>3244.5</v>
      </c>
      <c r="I42" s="2"/>
      <c r="J42" s="6">
        <f t="shared" si="23"/>
        <v>0.1376187648456057</v>
      </c>
      <c r="K42" s="2"/>
      <c r="L42" s="7">
        <f t="shared" si="24"/>
        <v>-2284.0500000000002</v>
      </c>
      <c r="M42" s="2"/>
      <c r="N42" s="6">
        <f t="shared" si="25"/>
        <v>-0.70397595931576518</v>
      </c>
      <c r="O42" s="11"/>
      <c r="P42" s="7">
        <v>21485.08</v>
      </c>
      <c r="Q42" s="2"/>
      <c r="R42" s="6">
        <f t="shared" si="26"/>
        <v>7.776350037746918E-2</v>
      </c>
      <c r="S42" s="2"/>
      <c r="T42" s="7">
        <v>20968.740000000002</v>
      </c>
      <c r="U42" s="2"/>
      <c r="V42" s="6">
        <f t="shared" si="27"/>
        <v>0.186034920240609</v>
      </c>
      <c r="W42" s="2"/>
      <c r="X42" s="7">
        <f t="shared" si="28"/>
        <v>516.34000000000015</v>
      </c>
      <c r="Y42" s="2"/>
      <c r="Z42" s="6">
        <f t="shared" si="29"/>
        <v>2.4624274038401932E-2</v>
      </c>
    </row>
    <row r="43" spans="1:26" s="24" customFormat="1" hidden="1" outlineLevel="2" x14ac:dyDescent="0.35">
      <c r="A43" s="29"/>
      <c r="B43" s="11" t="str">
        <f>CONCATENATE("          ", "6005", " - ", "TEMPORARY WAGES-HOURLY")</f>
        <v xml:space="preserve">          6005 - TEMPORARY WAGES-HOURLY</v>
      </c>
      <c r="C43" s="11"/>
      <c r="D43" s="7"/>
      <c r="E43" s="2"/>
      <c r="F43" s="6">
        <f t="shared" si="22"/>
        <v>0</v>
      </c>
      <c r="G43" s="2"/>
      <c r="H43" s="7">
        <v>1815.84</v>
      </c>
      <c r="I43" s="2"/>
      <c r="J43" s="6">
        <f t="shared" si="23"/>
        <v>7.7020699015948421E-2</v>
      </c>
      <c r="K43" s="2"/>
      <c r="L43" s="7">
        <f t="shared" si="24"/>
        <v>-1815.84</v>
      </c>
      <c r="M43" s="2"/>
      <c r="N43" s="6">
        <f t="shared" si="25"/>
        <v>-1</v>
      </c>
      <c r="O43" s="11"/>
      <c r="P43" s="7">
        <v>2736.71</v>
      </c>
      <c r="Q43" s="2"/>
      <c r="R43" s="6">
        <f t="shared" si="26"/>
        <v>9.9052993574156416E-3</v>
      </c>
      <c r="S43" s="2"/>
      <c r="T43" s="7">
        <v>11697.036</v>
      </c>
      <c r="U43" s="2"/>
      <c r="V43" s="6">
        <f t="shared" si="27"/>
        <v>0.10377624784853701</v>
      </c>
      <c r="W43" s="2"/>
      <c r="X43" s="7">
        <f t="shared" si="28"/>
        <v>-8960.3260000000009</v>
      </c>
      <c r="Y43" s="2"/>
      <c r="Z43" s="6">
        <f t="shared" si="29"/>
        <v>-0.76603389097887709</v>
      </c>
    </row>
    <row r="44" spans="1:26" s="24" customFormat="1" hidden="1" outlineLevel="2" x14ac:dyDescent="0.35">
      <c r="A44" s="29"/>
      <c r="B44" s="11" t="str">
        <f>CONCATENATE("          ", "6006", " - ", "TEMPORARY PART TIME")</f>
        <v xml:space="preserve">          6006 - TEMPORARY PART TIME</v>
      </c>
      <c r="C44" s="11"/>
      <c r="D44" s="7"/>
      <c r="E44" s="2"/>
      <c r="F44" s="6">
        <f t="shared" si="22"/>
        <v>0</v>
      </c>
      <c r="G44" s="2"/>
      <c r="H44" s="7">
        <v>0</v>
      </c>
      <c r="I44" s="2"/>
      <c r="J44" s="6">
        <f t="shared" si="23"/>
        <v>0</v>
      </c>
      <c r="K44" s="2"/>
      <c r="L44" s="7">
        <f t="shared" si="24"/>
        <v>0</v>
      </c>
      <c r="M44" s="2"/>
      <c r="N44" s="6">
        <f t="shared" si="25"/>
        <v>0</v>
      </c>
      <c r="O44" s="11"/>
      <c r="P44" s="7"/>
      <c r="Q44" s="2"/>
      <c r="R44" s="6">
        <f t="shared" si="26"/>
        <v>0</v>
      </c>
      <c r="S44" s="2"/>
      <c r="T44" s="7">
        <v>0</v>
      </c>
      <c r="U44" s="2"/>
      <c r="V44" s="6">
        <f t="shared" si="27"/>
        <v>0</v>
      </c>
      <c r="W44" s="2"/>
      <c r="X44" s="7">
        <f t="shared" si="28"/>
        <v>0</v>
      </c>
      <c r="Y44" s="2"/>
      <c r="Z44" s="6">
        <f t="shared" si="29"/>
        <v>0</v>
      </c>
    </row>
    <row r="45" spans="1:26" s="24" customFormat="1" hidden="1" outlineLevel="2" x14ac:dyDescent="0.35">
      <c r="A45" s="29"/>
      <c r="B45" s="11" t="str">
        <f>CONCATENATE("          ", "6007", " - ", "STUDENT HOURLY")</f>
        <v xml:space="preserve">          6007 - STUDENT HOURLY</v>
      </c>
      <c r="C45" s="11"/>
      <c r="D45" s="7">
        <v>161</v>
      </c>
      <c r="E45" s="2"/>
      <c r="F45" s="6">
        <f t="shared" si="22"/>
        <v>1.9616572762985742E-3</v>
      </c>
      <c r="G45" s="2"/>
      <c r="H45" s="7">
        <v>0</v>
      </c>
      <c r="I45" s="2"/>
      <c r="J45" s="6">
        <f t="shared" si="23"/>
        <v>0</v>
      </c>
      <c r="K45" s="2"/>
      <c r="L45" s="7">
        <f t="shared" si="24"/>
        <v>161</v>
      </c>
      <c r="M45" s="2"/>
      <c r="N45" s="6">
        <f t="shared" si="25"/>
        <v>0</v>
      </c>
      <c r="O45" s="11"/>
      <c r="P45" s="7">
        <v>230.71</v>
      </c>
      <c r="Q45" s="2"/>
      <c r="R45" s="6">
        <f t="shared" si="26"/>
        <v>8.3503608886194107E-4</v>
      </c>
      <c r="S45" s="2"/>
      <c r="T45" s="7">
        <v>2446.34</v>
      </c>
      <c r="U45" s="2"/>
      <c r="V45" s="6">
        <f t="shared" si="27"/>
        <v>2.17039586919105E-2</v>
      </c>
      <c r="W45" s="2"/>
      <c r="X45" s="7">
        <f t="shared" si="28"/>
        <v>-2215.63</v>
      </c>
      <c r="Y45" s="2"/>
      <c r="Z45" s="6">
        <f t="shared" si="29"/>
        <v>-0.90569176811072871</v>
      </c>
    </row>
    <row r="46" spans="1:26" s="24" customFormat="1" hidden="1" outlineLevel="2" x14ac:dyDescent="0.35">
      <c r="A46" s="29"/>
      <c r="B46" s="11" t="str">
        <f>CONCATENATE("          ", "6008", " - ", "STUDENT HOURLY-FICA EXEMPT")</f>
        <v xml:space="preserve">          6008 - STUDENT HOURLY-FICA EXEMPT</v>
      </c>
      <c r="C46" s="11"/>
      <c r="D46" s="7"/>
      <c r="E46" s="2"/>
      <c r="F46" s="6">
        <f t="shared" si="22"/>
        <v>0</v>
      </c>
      <c r="G46" s="2"/>
      <c r="H46" s="7">
        <v>2451.384</v>
      </c>
      <c r="I46" s="2"/>
      <c r="J46" s="6">
        <f t="shared" si="23"/>
        <v>0.10397794367153038</v>
      </c>
      <c r="K46" s="2"/>
      <c r="L46" s="7">
        <f t="shared" si="24"/>
        <v>-2451.384</v>
      </c>
      <c r="M46" s="2"/>
      <c r="N46" s="6">
        <f t="shared" si="25"/>
        <v>-1</v>
      </c>
      <c r="O46" s="11"/>
      <c r="P46" s="7"/>
      <c r="Q46" s="2"/>
      <c r="R46" s="6">
        <f t="shared" si="26"/>
        <v>0</v>
      </c>
      <c r="S46" s="2"/>
      <c r="T46" s="7">
        <v>11770.174000000001</v>
      </c>
      <c r="U46" s="2"/>
      <c r="V46" s="6">
        <f t="shared" si="27"/>
        <v>0.10442512908777969</v>
      </c>
      <c r="W46" s="2"/>
      <c r="X46" s="7">
        <f t="shared" si="28"/>
        <v>-11770.174000000001</v>
      </c>
      <c r="Y46" s="2"/>
      <c r="Z46" s="6">
        <f t="shared" si="29"/>
        <v>-1</v>
      </c>
    </row>
    <row r="47" spans="1:26" s="24" customFormat="1" hidden="1" outlineLevel="2" x14ac:dyDescent="0.35">
      <c r="A47" s="29"/>
      <c r="B47" s="11" t="str">
        <f>CONCATENATE("          ", "6009", " - ", "TEMPORARY-SEASONAL")</f>
        <v xml:space="preserve">          6009 - TEMPORARY-SEASONAL</v>
      </c>
      <c r="C47" s="11"/>
      <c r="D47" s="7"/>
      <c r="E47" s="2"/>
      <c r="F47" s="6">
        <f t="shared" si="22"/>
        <v>0</v>
      </c>
      <c r="G47" s="2"/>
      <c r="H47" s="7">
        <v>0</v>
      </c>
      <c r="I47" s="2"/>
      <c r="J47" s="6">
        <f t="shared" si="23"/>
        <v>0</v>
      </c>
      <c r="K47" s="2"/>
      <c r="L47" s="7">
        <f t="shared" si="24"/>
        <v>0</v>
      </c>
      <c r="M47" s="2"/>
      <c r="N47" s="6">
        <f t="shared" si="25"/>
        <v>0</v>
      </c>
      <c r="O47" s="11"/>
      <c r="P47" s="7"/>
      <c r="Q47" s="2"/>
      <c r="R47" s="6">
        <f t="shared" si="26"/>
        <v>0</v>
      </c>
      <c r="S47" s="2"/>
      <c r="T47" s="7">
        <v>0</v>
      </c>
      <c r="U47" s="2"/>
      <c r="V47" s="6">
        <f t="shared" si="27"/>
        <v>0</v>
      </c>
      <c r="W47" s="2"/>
      <c r="X47" s="7">
        <f t="shared" si="28"/>
        <v>0</v>
      </c>
      <c r="Y47" s="2"/>
      <c r="Z47" s="6">
        <f t="shared" si="29"/>
        <v>0</v>
      </c>
    </row>
    <row r="48" spans="1:26" s="24" customFormat="1" hidden="1" outlineLevel="2" x14ac:dyDescent="0.35">
      <c r="A48" s="29"/>
      <c r="B48" s="11" t="str">
        <f>CONCATENATE("          ", "6010", " - ", "GRATUITY")</f>
        <v xml:space="preserve">          6010 - GRATUITY</v>
      </c>
      <c r="C48" s="11"/>
      <c r="D48" s="7"/>
      <c r="E48" s="2"/>
      <c r="F48" s="6">
        <f t="shared" si="22"/>
        <v>0</v>
      </c>
      <c r="G48" s="2"/>
      <c r="H48" s="7">
        <v>0</v>
      </c>
      <c r="I48" s="2"/>
      <c r="J48" s="6">
        <f t="shared" si="23"/>
        <v>0</v>
      </c>
      <c r="K48" s="2"/>
      <c r="L48" s="7">
        <f t="shared" si="24"/>
        <v>0</v>
      </c>
      <c r="M48" s="2"/>
      <c r="N48" s="6">
        <f t="shared" si="25"/>
        <v>0</v>
      </c>
      <c r="O48" s="11"/>
      <c r="P48" s="7"/>
      <c r="Q48" s="2"/>
      <c r="R48" s="6">
        <f t="shared" si="26"/>
        <v>0</v>
      </c>
      <c r="S48" s="2"/>
      <c r="T48" s="7">
        <v>0</v>
      </c>
      <c r="U48" s="2"/>
      <c r="V48" s="6">
        <f t="shared" si="27"/>
        <v>0</v>
      </c>
      <c r="W48" s="2"/>
      <c r="X48" s="7">
        <f t="shared" si="28"/>
        <v>0</v>
      </c>
      <c r="Y48" s="2"/>
      <c r="Z48" s="6">
        <f t="shared" si="29"/>
        <v>0</v>
      </c>
    </row>
    <row r="49" spans="1:26" s="28" customFormat="1" outlineLevel="1" collapsed="1" x14ac:dyDescent="0.35">
      <c r="A49" s="27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SUM(OSRRefD22_2x_0)</f>
        <v>5.4</v>
      </c>
      <c r="E49" s="1"/>
      <c r="F49" s="5">
        <f t="shared" ref="F49:F58" si="30">IF(D$12=0,0,D49/D$12)</f>
        <v>6.5794716099455287E-5</v>
      </c>
      <c r="G49" s="1"/>
      <c r="H49" s="1">
        <f>SUM(OSRRefH22_2x_0)</f>
        <v>489</v>
      </c>
      <c r="I49" s="1"/>
      <c r="J49" s="5">
        <f t="shared" ref="J49:J58" si="31">IF(H$12=0,0,H49/H$12)</f>
        <v>2.0741431964709876E-2</v>
      </c>
      <c r="K49" s="1"/>
      <c r="L49" s="1">
        <f t="shared" ref="L49:L58" si="32">+D49-H49</f>
        <v>-483.6</v>
      </c>
      <c r="M49" s="1"/>
      <c r="N49" s="5">
        <f t="shared" ref="N49:N58" si="33">IF(H49=0,0,L49/H49)</f>
        <v>-0.98895705521472399</v>
      </c>
      <c r="O49" s="14"/>
      <c r="P49" s="1">
        <f>SUM(OSRRefP22_2x_0)</f>
        <v>139.35</v>
      </c>
      <c r="Q49" s="1"/>
      <c r="R49" s="5">
        <f t="shared" ref="R49:R58" si="34">IF(P$12=0,0,P49/P$12)</f>
        <v>5.0436599619830733E-4</v>
      </c>
      <c r="S49" s="1"/>
      <c r="T49" s="1">
        <f>SUM(OSRRefT22_2x_0)</f>
        <v>4183</v>
      </c>
      <c r="U49" s="1"/>
      <c r="V49" s="5">
        <f t="shared" ref="V49:V58" si="35">IF(T$12=0,0,T49/T$12)</f>
        <v>3.71116276593857E-2</v>
      </c>
      <c r="W49" s="1"/>
      <c r="X49" s="1">
        <f t="shared" ref="X49:X58" si="36">+P49-T49</f>
        <v>-4043.65</v>
      </c>
      <c r="Y49" s="1"/>
      <c r="Z49" s="5">
        <f t="shared" ref="Z49:Z58" si="37">IF(T49=0,0,X49/T49)</f>
        <v>-0.96668658857279466</v>
      </c>
    </row>
    <row r="50" spans="1:26" s="24" customFormat="1" hidden="1" outlineLevel="2" x14ac:dyDescent="0.35">
      <c r="A50" s="29"/>
      <c r="B50" s="11" t="str">
        <f>CONCATENATE("          ", "6362", " - ", "ADVERTISING EXPENSE")</f>
        <v xml:space="preserve">          6362 - ADVERTISING EXPENSE</v>
      </c>
      <c r="C50" s="11"/>
      <c r="D50" s="7">
        <v>5.4</v>
      </c>
      <c r="E50" s="2"/>
      <c r="F50" s="6">
        <f t="shared" si="30"/>
        <v>6.5794716099455287E-5</v>
      </c>
      <c r="G50" s="2"/>
      <c r="H50" s="7">
        <v>489</v>
      </c>
      <c r="I50" s="2"/>
      <c r="J50" s="6">
        <f t="shared" si="31"/>
        <v>2.0741431964709876E-2</v>
      </c>
      <c r="K50" s="2"/>
      <c r="L50" s="7">
        <f t="shared" si="32"/>
        <v>-483.6</v>
      </c>
      <c r="M50" s="2"/>
      <c r="N50" s="6">
        <f t="shared" si="33"/>
        <v>-0.98895705521472399</v>
      </c>
      <c r="O50" s="11"/>
      <c r="P50" s="7">
        <v>139.35</v>
      </c>
      <c r="Q50" s="2"/>
      <c r="R50" s="6">
        <f t="shared" si="34"/>
        <v>5.0436599619830733E-4</v>
      </c>
      <c r="S50" s="2"/>
      <c r="T50" s="7">
        <v>4183</v>
      </c>
      <c r="U50" s="2"/>
      <c r="V50" s="6">
        <f t="shared" si="35"/>
        <v>3.71116276593857E-2</v>
      </c>
      <c r="W50" s="2"/>
      <c r="X50" s="7">
        <f t="shared" si="36"/>
        <v>-4043.65</v>
      </c>
      <c r="Y50" s="2"/>
      <c r="Z50" s="6">
        <f t="shared" si="37"/>
        <v>-0.96668658857279466</v>
      </c>
    </row>
    <row r="51" spans="1:26" s="28" customFormat="1" outlineLevel="1" collapsed="1" x14ac:dyDescent="0.35">
      <c r="A51" s="27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SUM(OSRRefD22_3x_0)</f>
        <v>0</v>
      </c>
      <c r="E51" s="1"/>
      <c r="F51" s="5">
        <f t="shared" si="30"/>
        <v>0</v>
      </c>
      <c r="G51" s="1"/>
      <c r="H51" s="1">
        <f>SUM(OSRRefH22_3x_0)</f>
        <v>5</v>
      </c>
      <c r="I51" s="1"/>
      <c r="J51" s="5">
        <f t="shared" si="31"/>
        <v>2.1208008143875127E-4</v>
      </c>
      <c r="K51" s="1"/>
      <c r="L51" s="1">
        <f t="shared" si="32"/>
        <v>-5</v>
      </c>
      <c r="M51" s="1"/>
      <c r="N51" s="5">
        <f t="shared" si="33"/>
        <v>-1</v>
      </c>
      <c r="O51" s="14"/>
      <c r="P51" s="1">
        <f>SUM(OSRRefP22_3x_0)</f>
        <v>8.7899999999999991</v>
      </c>
      <c r="Q51" s="1"/>
      <c r="R51" s="5">
        <f t="shared" si="34"/>
        <v>3.1814690395286124E-5</v>
      </c>
      <c r="S51" s="1"/>
      <c r="T51" s="1">
        <f>SUM(OSRRefT22_3x_0)</f>
        <v>65</v>
      </c>
      <c r="U51" s="1"/>
      <c r="V51" s="5">
        <f t="shared" si="35"/>
        <v>5.7668080273967745E-4</v>
      </c>
      <c r="W51" s="1"/>
      <c r="X51" s="1">
        <f t="shared" si="36"/>
        <v>-56.21</v>
      </c>
      <c r="Y51" s="1"/>
      <c r="Z51" s="5">
        <f t="shared" si="37"/>
        <v>-0.86476923076923073</v>
      </c>
    </row>
    <row r="52" spans="1:26" s="24" customFormat="1" hidden="1" outlineLevel="2" x14ac:dyDescent="0.35">
      <c r="A52" s="29"/>
      <c r="B52" s="11" t="str">
        <f>CONCATENATE("          ", "6272", " - ", "CASH (OVER/SHORT)")</f>
        <v xml:space="preserve">          6272 - CASH (OVER/SHORT)</v>
      </c>
      <c r="C52" s="11"/>
      <c r="D52" s="7"/>
      <c r="E52" s="2"/>
      <c r="F52" s="6">
        <f t="shared" si="30"/>
        <v>0</v>
      </c>
      <c r="G52" s="2"/>
      <c r="H52" s="7">
        <v>5</v>
      </c>
      <c r="I52" s="2"/>
      <c r="J52" s="6">
        <f t="shared" si="31"/>
        <v>2.1208008143875127E-4</v>
      </c>
      <c r="K52" s="2"/>
      <c r="L52" s="7">
        <f t="shared" si="32"/>
        <v>-5</v>
      </c>
      <c r="M52" s="2"/>
      <c r="N52" s="6">
        <f t="shared" si="33"/>
        <v>-1</v>
      </c>
      <c r="O52" s="11"/>
      <c r="P52" s="7">
        <v>8.7899999999999991</v>
      </c>
      <c r="Q52" s="2"/>
      <c r="R52" s="6">
        <f t="shared" si="34"/>
        <v>3.1814690395286124E-5</v>
      </c>
      <c r="S52" s="2"/>
      <c r="T52" s="7">
        <v>65</v>
      </c>
      <c r="U52" s="2"/>
      <c r="V52" s="6">
        <f t="shared" si="35"/>
        <v>5.7668080273967745E-4</v>
      </c>
      <c r="W52" s="2"/>
      <c r="X52" s="7">
        <f t="shared" si="36"/>
        <v>-56.21</v>
      </c>
      <c r="Y52" s="2"/>
      <c r="Z52" s="6">
        <f t="shared" si="37"/>
        <v>-0.86476923076923073</v>
      </c>
    </row>
    <row r="53" spans="1:26" s="28" customFormat="1" outlineLevel="1" collapsed="1" x14ac:dyDescent="0.35">
      <c r="A53" s="27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SUM(OSRRefD22_4x_0)</f>
        <v>671.77</v>
      </c>
      <c r="E53" s="1"/>
      <c r="F53" s="5">
        <f t="shared" si="30"/>
        <v>8.1849845248390882E-3</v>
      </c>
      <c r="G53" s="1"/>
      <c r="H53" s="1">
        <f>SUM(OSRRefH22_4x_0)</f>
        <v>1820</v>
      </c>
      <c r="I53" s="1"/>
      <c r="J53" s="5">
        <f t="shared" si="31"/>
        <v>7.7197149643705457E-2</v>
      </c>
      <c r="K53" s="1"/>
      <c r="L53" s="1">
        <f t="shared" si="32"/>
        <v>-1148.23</v>
      </c>
      <c r="M53" s="1"/>
      <c r="N53" s="5">
        <f t="shared" si="33"/>
        <v>-0.63089560439560444</v>
      </c>
      <c r="O53" s="14"/>
      <c r="P53" s="1">
        <f>SUM(OSRRefP22_4x_0)</f>
        <v>3926.53</v>
      </c>
      <c r="Q53" s="1"/>
      <c r="R53" s="5">
        <f t="shared" si="34"/>
        <v>1.4211756118066306E-2</v>
      </c>
      <c r="S53" s="1"/>
      <c r="T53" s="1">
        <f>SUM(OSRRefT22_4x_0)</f>
        <v>21068</v>
      </c>
      <c r="U53" s="1"/>
      <c r="V53" s="5">
        <f t="shared" si="35"/>
        <v>0.18691555618645422</v>
      </c>
      <c r="W53" s="1"/>
      <c r="X53" s="1">
        <f t="shared" si="36"/>
        <v>-17141.47</v>
      </c>
      <c r="Y53" s="1"/>
      <c r="Z53" s="5">
        <f t="shared" si="37"/>
        <v>-0.81362587810898046</v>
      </c>
    </row>
    <row r="54" spans="1:26" s="24" customFormat="1" hidden="1" outlineLevel="2" x14ac:dyDescent="0.35">
      <c r="A54" s="29"/>
      <c r="B54" s="11" t="str">
        <f>CONCATENATE("          ", "6381", " - ", "BANK/CREDIT CARD FEES")</f>
        <v xml:space="preserve">          6381 - BANK/CREDIT CARD FEES</v>
      </c>
      <c r="C54" s="11"/>
      <c r="D54" s="7">
        <v>671.77</v>
      </c>
      <c r="E54" s="2"/>
      <c r="F54" s="6">
        <f t="shared" si="30"/>
        <v>8.1849845248390882E-3</v>
      </c>
      <c r="G54" s="2"/>
      <c r="H54" s="7">
        <v>1820</v>
      </c>
      <c r="I54" s="2"/>
      <c r="J54" s="6">
        <f t="shared" si="31"/>
        <v>7.7197149643705457E-2</v>
      </c>
      <c r="K54" s="2"/>
      <c r="L54" s="7">
        <f t="shared" si="32"/>
        <v>-1148.23</v>
      </c>
      <c r="M54" s="2"/>
      <c r="N54" s="6">
        <f t="shared" si="33"/>
        <v>-0.63089560439560444</v>
      </c>
      <c r="O54" s="11"/>
      <c r="P54" s="7">
        <v>3926.53</v>
      </c>
      <c r="Q54" s="2"/>
      <c r="R54" s="6">
        <f t="shared" si="34"/>
        <v>1.4211756118066306E-2</v>
      </c>
      <c r="S54" s="2"/>
      <c r="T54" s="7">
        <v>21068</v>
      </c>
      <c r="U54" s="2"/>
      <c r="V54" s="6">
        <f t="shared" si="35"/>
        <v>0.18691555618645422</v>
      </c>
      <c r="W54" s="2"/>
      <c r="X54" s="7">
        <f t="shared" si="36"/>
        <v>-17141.47</v>
      </c>
      <c r="Y54" s="2"/>
      <c r="Z54" s="6">
        <f t="shared" si="37"/>
        <v>-0.81362587810898046</v>
      </c>
    </row>
    <row r="55" spans="1:26" s="28" customFormat="1" outlineLevel="1" collapsed="1" x14ac:dyDescent="0.35">
      <c r="A55" s="27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SUM(OSRRefD22_5x_0)</f>
        <v>36720.759999999995</v>
      </c>
      <c r="E55" s="1"/>
      <c r="F55" s="5">
        <f t="shared" si="30"/>
        <v>0.44741332947337653</v>
      </c>
      <c r="G55" s="1"/>
      <c r="H55" s="1">
        <f>SUM(OSRRefH22_5x_0)</f>
        <v>37717</v>
      </c>
      <c r="I55" s="1"/>
      <c r="J55" s="5">
        <f t="shared" si="31"/>
        <v>1.5998048863250764</v>
      </c>
      <c r="K55" s="1"/>
      <c r="L55" s="1">
        <f t="shared" si="32"/>
        <v>-996.24000000000524</v>
      </c>
      <c r="M55" s="1"/>
      <c r="N55" s="5">
        <f t="shared" si="33"/>
        <v>-2.6413553570008359E-2</v>
      </c>
      <c r="O55" s="14"/>
      <c r="P55" s="1">
        <f>SUM(OSRRefP22_5x_0)</f>
        <v>259868.84</v>
      </c>
      <c r="Q55" s="1"/>
      <c r="R55" s="5">
        <f t="shared" si="34"/>
        <v>0.94057413970217818</v>
      </c>
      <c r="S55" s="1"/>
      <c r="T55" s="1">
        <f>SUM(OSRRefT22_5x_0)</f>
        <v>266623</v>
      </c>
      <c r="U55" s="1"/>
      <c r="V55" s="5">
        <f t="shared" si="35"/>
        <v>2.3654825487517077</v>
      </c>
      <c r="W55" s="1"/>
      <c r="X55" s="1">
        <f t="shared" si="36"/>
        <v>-6754.1600000000035</v>
      </c>
      <c r="Y55" s="1"/>
      <c r="Z55" s="5">
        <f t="shared" si="37"/>
        <v>-2.5332248155635499E-2</v>
      </c>
    </row>
    <row r="56" spans="1:26" s="24" customFormat="1" hidden="1" outlineLevel="2" x14ac:dyDescent="0.35">
      <c r="A56" s="29"/>
      <c r="B56" s="11" t="str">
        <f>CONCATENATE("          ", "6321", " - ", "BUILDING DEPRECIATION")</f>
        <v xml:space="preserve">          6321 - BUILDING DEPRECIATION</v>
      </c>
      <c r="C56" s="11"/>
      <c r="D56" s="7">
        <v>23583.489999999998</v>
      </c>
      <c r="E56" s="2"/>
      <c r="F56" s="6">
        <f t="shared" si="30"/>
        <v>0.28734611651561903</v>
      </c>
      <c r="G56" s="2"/>
      <c r="H56" s="7"/>
      <c r="I56" s="2"/>
      <c r="J56" s="6">
        <f t="shared" si="31"/>
        <v>0</v>
      </c>
      <c r="K56" s="2"/>
      <c r="L56" s="7">
        <f t="shared" si="32"/>
        <v>23583.489999999998</v>
      </c>
      <c r="M56" s="2"/>
      <c r="N56" s="6">
        <f t="shared" si="33"/>
        <v>0</v>
      </c>
      <c r="O56" s="11"/>
      <c r="P56" s="7">
        <v>165868.62</v>
      </c>
      <c r="Q56" s="2"/>
      <c r="R56" s="6">
        <f t="shared" si="34"/>
        <v>0.60034798539173651</v>
      </c>
      <c r="S56" s="2"/>
      <c r="T56" s="7"/>
      <c r="U56" s="2"/>
      <c r="V56" s="6">
        <f t="shared" si="35"/>
        <v>0</v>
      </c>
      <c r="W56" s="2"/>
      <c r="X56" s="7">
        <f t="shared" si="36"/>
        <v>165868.62</v>
      </c>
      <c r="Y56" s="2"/>
      <c r="Z56" s="6">
        <f t="shared" si="37"/>
        <v>0</v>
      </c>
    </row>
    <row r="57" spans="1:26" s="24" customFormat="1" hidden="1" outlineLevel="2" x14ac:dyDescent="0.35">
      <c r="A57" s="29"/>
      <c r="B57" s="11" t="str">
        <f>CONCATENATE("          ", "6322", " - ", "EQUIPMENT DEPRECIATION EXPENSE")</f>
        <v xml:space="preserve">          6322 - EQUIPMENT DEPRECIATION EXPENSE</v>
      </c>
      <c r="C57" s="11"/>
      <c r="D57" s="7">
        <v>13137.27</v>
      </c>
      <c r="E57" s="2"/>
      <c r="F57" s="6">
        <f t="shared" si="30"/>
        <v>0.16006721295775758</v>
      </c>
      <c r="G57" s="2"/>
      <c r="H57" s="7">
        <v>37167</v>
      </c>
      <c r="I57" s="2"/>
      <c r="J57" s="6">
        <f t="shared" si="31"/>
        <v>1.5764760773668136</v>
      </c>
      <c r="K57" s="2"/>
      <c r="L57" s="7">
        <f t="shared" si="32"/>
        <v>-24029.73</v>
      </c>
      <c r="M57" s="2"/>
      <c r="N57" s="6">
        <f t="shared" si="33"/>
        <v>-0.64653402211639355</v>
      </c>
      <c r="O57" s="11"/>
      <c r="P57" s="7">
        <v>94000.22</v>
      </c>
      <c r="Q57" s="2"/>
      <c r="R57" s="6">
        <f t="shared" si="34"/>
        <v>0.34022615431044173</v>
      </c>
      <c r="S57" s="2"/>
      <c r="T57" s="7">
        <v>262773</v>
      </c>
      <c r="U57" s="2"/>
      <c r="V57" s="6">
        <f t="shared" si="35"/>
        <v>2.3313253012048194</v>
      </c>
      <c r="W57" s="2"/>
      <c r="X57" s="7">
        <f t="shared" si="36"/>
        <v>-168772.78</v>
      </c>
      <c r="Y57" s="2"/>
      <c r="Z57" s="6">
        <f t="shared" si="37"/>
        <v>-0.64227595681443683</v>
      </c>
    </row>
    <row r="58" spans="1:26" s="24" customFormat="1" hidden="1" outlineLevel="2" x14ac:dyDescent="0.35">
      <c r="A58" s="29"/>
      <c r="B58" s="11" t="str">
        <f>CONCATENATE("          ", "6326", " - ", "VEHICLES DEPRECIATION EXPENSE")</f>
        <v xml:space="preserve">          6326 - VEHICLES DEPRECIATION EXPENSE</v>
      </c>
      <c r="C58" s="11"/>
      <c r="D58" s="7"/>
      <c r="E58" s="2"/>
      <c r="F58" s="6">
        <f t="shared" si="30"/>
        <v>0</v>
      </c>
      <c r="G58" s="2"/>
      <c r="H58" s="7">
        <v>550</v>
      </c>
      <c r="I58" s="2"/>
      <c r="J58" s="6">
        <f t="shared" si="31"/>
        <v>2.3328808958262639E-2</v>
      </c>
      <c r="K58" s="2"/>
      <c r="L58" s="7">
        <f t="shared" si="32"/>
        <v>-550</v>
      </c>
      <c r="M58" s="2"/>
      <c r="N58" s="6">
        <f t="shared" si="33"/>
        <v>-1</v>
      </c>
      <c r="O58" s="11"/>
      <c r="P58" s="7"/>
      <c r="Q58" s="2"/>
      <c r="R58" s="6">
        <f t="shared" si="34"/>
        <v>0</v>
      </c>
      <c r="S58" s="2"/>
      <c r="T58" s="7">
        <v>3850</v>
      </c>
      <c r="U58" s="2"/>
      <c r="V58" s="6">
        <f t="shared" si="35"/>
        <v>3.4157247546888585E-2</v>
      </c>
      <c r="W58" s="2"/>
      <c r="X58" s="7">
        <f t="shared" si="36"/>
        <v>-3850</v>
      </c>
      <c r="Y58" s="2"/>
      <c r="Z58" s="6">
        <f t="shared" si="37"/>
        <v>-1</v>
      </c>
    </row>
    <row r="59" spans="1:26" s="28" customFormat="1" outlineLevel="1" collapsed="1" x14ac:dyDescent="0.35">
      <c r="A59" s="27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SUM(OSRRefD22_6x_0)</f>
        <v>0</v>
      </c>
      <c r="E59" s="1"/>
      <c r="F59" s="5">
        <f t="shared" ref="F59:F77" si="38">IF(D$12=0,0,D59/D$12)</f>
        <v>0</v>
      </c>
      <c r="G59" s="1"/>
      <c r="H59" s="1">
        <f>SUM(OSRRefH22_6x_0)</f>
        <v>0</v>
      </c>
      <c r="I59" s="1"/>
      <c r="J59" s="5">
        <f t="shared" ref="J59:J77" si="39">IF(H$12=0,0,H59/H$12)</f>
        <v>0</v>
      </c>
      <c r="K59" s="1"/>
      <c r="L59" s="1">
        <f t="shared" ref="L59:L77" si="40">+D59-H59</f>
        <v>0</v>
      </c>
      <c r="M59" s="1"/>
      <c r="N59" s="5">
        <f t="shared" ref="N59:N77" si="41">IF(H59=0,0,L59/H59)</f>
        <v>0</v>
      </c>
      <c r="O59" s="14"/>
      <c r="P59" s="1">
        <f>SUM(OSRRefP22_6x_0)</f>
        <v>10</v>
      </c>
      <c r="Q59" s="1"/>
      <c r="R59" s="5">
        <f t="shared" ref="R59:R77" si="42">IF(P$12=0,0,P59/P$12)</f>
        <v>3.619418702535395E-5</v>
      </c>
      <c r="S59" s="1"/>
      <c r="T59" s="1">
        <f>SUM(OSRRefT22_6x_0)</f>
        <v>100</v>
      </c>
      <c r="U59" s="1"/>
      <c r="V59" s="5">
        <f t="shared" ref="V59:V77" si="43">IF(T$12=0,0,T59/T$12)</f>
        <v>8.8720123498411908E-4</v>
      </c>
      <c r="W59" s="1"/>
      <c r="X59" s="1">
        <f t="shared" ref="X59:X77" si="44">+P59-T59</f>
        <v>-90</v>
      </c>
      <c r="Y59" s="1"/>
      <c r="Z59" s="5">
        <f t="shared" ref="Z59:Z77" si="45">IF(T59=0,0,X59/T59)</f>
        <v>-0.9</v>
      </c>
    </row>
    <row r="60" spans="1:26" s="24" customFormat="1" hidden="1" outlineLevel="2" x14ac:dyDescent="0.35">
      <c r="A60" s="29"/>
      <c r="B60" s="11" t="str">
        <f>CONCATENATE("          ", "6277", " - ", "EMPLOYEE APPRECIATION")</f>
        <v xml:space="preserve">          6277 - EMPLOYEE APPRECIATION</v>
      </c>
      <c r="C60" s="11"/>
      <c r="D60" s="7"/>
      <c r="E60" s="2"/>
      <c r="F60" s="6">
        <f t="shared" si="38"/>
        <v>0</v>
      </c>
      <c r="G60" s="2"/>
      <c r="H60" s="7">
        <v>0</v>
      </c>
      <c r="I60" s="2"/>
      <c r="J60" s="6">
        <f t="shared" si="39"/>
        <v>0</v>
      </c>
      <c r="K60" s="2"/>
      <c r="L60" s="7">
        <f t="shared" si="40"/>
        <v>0</v>
      </c>
      <c r="M60" s="2"/>
      <c r="N60" s="6">
        <f t="shared" si="41"/>
        <v>0</v>
      </c>
      <c r="O60" s="11"/>
      <c r="P60" s="7">
        <v>10</v>
      </c>
      <c r="Q60" s="2"/>
      <c r="R60" s="6">
        <f t="shared" si="42"/>
        <v>3.619418702535395E-5</v>
      </c>
      <c r="S60" s="2"/>
      <c r="T60" s="7">
        <v>100</v>
      </c>
      <c r="U60" s="2"/>
      <c r="V60" s="6">
        <f t="shared" si="43"/>
        <v>8.8720123498411908E-4</v>
      </c>
      <c r="W60" s="2"/>
      <c r="X60" s="7">
        <f t="shared" si="44"/>
        <v>-90</v>
      </c>
      <c r="Y60" s="2"/>
      <c r="Z60" s="6">
        <f t="shared" si="45"/>
        <v>-0.9</v>
      </c>
    </row>
    <row r="61" spans="1:26" s="28" customFormat="1" outlineLevel="1" collapsed="1" x14ac:dyDescent="0.35">
      <c r="A61" s="27"/>
      <c r="B61" s="14" t="str">
        <f>CONCATENATE("     ","Equipment Rental                                  ")</f>
        <v xml:space="preserve">     Equipment Rental                                  </v>
      </c>
      <c r="C61" s="14"/>
      <c r="D61" s="1">
        <f>SUM(OSRRefD22_7x_0)</f>
        <v>91.26</v>
      </c>
      <c r="E61" s="1"/>
      <c r="F61" s="5">
        <f t="shared" si="38"/>
        <v>1.1119307020807944E-3</v>
      </c>
      <c r="G61" s="1"/>
      <c r="H61" s="1">
        <f>SUM(OSRRefH22_7x_0)</f>
        <v>374.33333333333297</v>
      </c>
      <c r="I61" s="1"/>
      <c r="J61" s="5">
        <f t="shared" si="39"/>
        <v>1.5877728763714495E-2</v>
      </c>
      <c r="K61" s="1"/>
      <c r="L61" s="1">
        <f t="shared" si="40"/>
        <v>-283.07333333333298</v>
      </c>
      <c r="M61" s="1"/>
      <c r="N61" s="5">
        <f t="shared" si="41"/>
        <v>-0.7562065894924308</v>
      </c>
      <c r="O61" s="14"/>
      <c r="P61" s="1">
        <f>SUM(OSRRefP22_7x_0)</f>
        <v>4464.88</v>
      </c>
      <c r="Q61" s="1"/>
      <c r="R61" s="5">
        <f t="shared" si="42"/>
        <v>1.6160270176576237E-2</v>
      </c>
      <c r="S61" s="1"/>
      <c r="T61" s="1">
        <f>SUM(OSRRefT22_7x_0)</f>
        <v>2293.3333333333312</v>
      </c>
      <c r="U61" s="1"/>
      <c r="V61" s="5">
        <f t="shared" si="43"/>
        <v>2.0346481655635778E-2</v>
      </c>
      <c r="W61" s="1"/>
      <c r="X61" s="1">
        <f t="shared" si="44"/>
        <v>2171.5466666666689</v>
      </c>
      <c r="Y61" s="1"/>
      <c r="Z61" s="5">
        <f t="shared" si="45"/>
        <v>0.94689534883721116</v>
      </c>
    </row>
    <row r="62" spans="1:26" s="24" customFormat="1" hidden="1" outlineLevel="2" x14ac:dyDescent="0.35">
      <c r="A62" s="29"/>
      <c r="B62" s="11" t="str">
        <f>CONCATENATE("          ", "6351", " - ", "EQUIPMENT RENTAL")</f>
        <v xml:space="preserve">          6351 - EQUIPMENT RENTAL</v>
      </c>
      <c r="C62" s="11"/>
      <c r="D62" s="7">
        <v>91.26</v>
      </c>
      <c r="E62" s="2"/>
      <c r="F62" s="6">
        <f t="shared" si="38"/>
        <v>1.1119307020807944E-3</v>
      </c>
      <c r="G62" s="2"/>
      <c r="H62" s="7">
        <v>374.33333333333297</v>
      </c>
      <c r="I62" s="2"/>
      <c r="J62" s="6">
        <f t="shared" si="39"/>
        <v>1.5877728763714495E-2</v>
      </c>
      <c r="K62" s="2"/>
      <c r="L62" s="7">
        <f t="shared" si="40"/>
        <v>-283.07333333333298</v>
      </c>
      <c r="M62" s="2"/>
      <c r="N62" s="6">
        <f t="shared" si="41"/>
        <v>-0.7562065894924308</v>
      </c>
      <c r="O62" s="11"/>
      <c r="P62" s="7">
        <v>4464.88</v>
      </c>
      <c r="Q62" s="2"/>
      <c r="R62" s="6">
        <f t="shared" si="42"/>
        <v>1.6160270176576237E-2</v>
      </c>
      <c r="S62" s="2"/>
      <c r="T62" s="7">
        <v>2293.3333333333312</v>
      </c>
      <c r="U62" s="2"/>
      <c r="V62" s="6">
        <f t="shared" si="43"/>
        <v>2.0346481655635778E-2</v>
      </c>
      <c r="W62" s="2"/>
      <c r="X62" s="7">
        <f t="shared" si="44"/>
        <v>2171.5466666666689</v>
      </c>
      <c r="Y62" s="2"/>
      <c r="Z62" s="6">
        <f t="shared" si="45"/>
        <v>0.94689534883721116</v>
      </c>
    </row>
    <row r="63" spans="1:26" s="28" customFormat="1" outlineLevel="1" collapsed="1" x14ac:dyDescent="0.35">
      <c r="A63" s="27"/>
      <c r="B63" s="14" t="str">
        <f>CONCATENATE("     ","Freight out/Postage                               ")</f>
        <v xml:space="preserve">     Freight out/Postage                               </v>
      </c>
      <c r="C63" s="14"/>
      <c r="D63" s="1">
        <f>SUM(OSRRefD22_8x_0)</f>
        <v>0</v>
      </c>
      <c r="E63" s="1"/>
      <c r="F63" s="5">
        <f t="shared" si="38"/>
        <v>0</v>
      </c>
      <c r="G63" s="1"/>
      <c r="H63" s="1">
        <f>SUM(OSRRefH22_8x_0)</f>
        <v>0</v>
      </c>
      <c r="I63" s="1"/>
      <c r="J63" s="5">
        <f t="shared" si="39"/>
        <v>0</v>
      </c>
      <c r="K63" s="1"/>
      <c r="L63" s="1">
        <f t="shared" si="40"/>
        <v>0</v>
      </c>
      <c r="M63" s="1"/>
      <c r="N63" s="5">
        <f t="shared" si="41"/>
        <v>0</v>
      </c>
      <c r="O63" s="14"/>
      <c r="P63" s="1">
        <f>SUM(OSRRefP22_8x_0)</f>
        <v>-5.41</v>
      </c>
      <c r="Q63" s="1"/>
      <c r="R63" s="5">
        <f t="shared" si="42"/>
        <v>-1.958105518071649E-5</v>
      </c>
      <c r="S63" s="1"/>
      <c r="T63" s="1">
        <f>SUM(OSRRefT22_8x_0)</f>
        <v>0</v>
      </c>
      <c r="U63" s="1"/>
      <c r="V63" s="5">
        <f t="shared" si="43"/>
        <v>0</v>
      </c>
      <c r="W63" s="1"/>
      <c r="X63" s="1">
        <f t="shared" si="44"/>
        <v>-5.41</v>
      </c>
      <c r="Y63" s="1"/>
      <c r="Z63" s="5">
        <f t="shared" si="45"/>
        <v>0</v>
      </c>
    </row>
    <row r="64" spans="1:26" s="24" customFormat="1" hidden="1" outlineLevel="2" x14ac:dyDescent="0.35">
      <c r="A64" s="29"/>
      <c r="B64" s="11" t="str">
        <f>CONCATENATE("          ", "6307", " - ", "POSTAGE")</f>
        <v xml:space="preserve">          6307 - POSTAGE</v>
      </c>
      <c r="C64" s="11"/>
      <c r="D64" s="7"/>
      <c r="E64" s="2"/>
      <c r="F64" s="6">
        <f t="shared" si="38"/>
        <v>0</v>
      </c>
      <c r="G64" s="2"/>
      <c r="H64" s="7"/>
      <c r="I64" s="2"/>
      <c r="J64" s="6">
        <f t="shared" si="39"/>
        <v>0</v>
      </c>
      <c r="K64" s="2"/>
      <c r="L64" s="7">
        <f t="shared" si="40"/>
        <v>0</v>
      </c>
      <c r="M64" s="2"/>
      <c r="N64" s="6">
        <f t="shared" si="41"/>
        <v>0</v>
      </c>
      <c r="O64" s="11"/>
      <c r="P64" s="7">
        <v>-5.41</v>
      </c>
      <c r="Q64" s="2"/>
      <c r="R64" s="6">
        <f t="shared" si="42"/>
        <v>-1.958105518071649E-5</v>
      </c>
      <c r="S64" s="2"/>
      <c r="T64" s="7"/>
      <c r="U64" s="2"/>
      <c r="V64" s="6">
        <f t="shared" si="43"/>
        <v>0</v>
      </c>
      <c r="W64" s="2"/>
      <c r="X64" s="7">
        <f t="shared" si="44"/>
        <v>-5.41</v>
      </c>
      <c r="Y64" s="2"/>
      <c r="Z64" s="6">
        <f t="shared" si="45"/>
        <v>0</v>
      </c>
    </row>
    <row r="65" spans="1:26" s="28" customFormat="1" outlineLevel="1" collapsed="1" x14ac:dyDescent="0.35">
      <c r="A65" s="27"/>
      <c r="B65" s="14" t="str">
        <f>CONCATENATE("     ","General                                           ")</f>
        <v xml:space="preserve">     General                                           </v>
      </c>
      <c r="C65" s="14"/>
      <c r="D65" s="1">
        <f>SUM(OSRRefD22_9x_0)</f>
        <v>397</v>
      </c>
      <c r="E65" s="1"/>
      <c r="F65" s="5">
        <f t="shared" si="38"/>
        <v>4.8371300539784721E-3</v>
      </c>
      <c r="G65" s="1"/>
      <c r="H65" s="1">
        <f>SUM(OSRRefH22_9x_0)</f>
        <v>0</v>
      </c>
      <c r="I65" s="1"/>
      <c r="J65" s="5">
        <f t="shared" si="39"/>
        <v>0</v>
      </c>
      <c r="K65" s="1"/>
      <c r="L65" s="1">
        <f t="shared" si="40"/>
        <v>397</v>
      </c>
      <c r="M65" s="1"/>
      <c r="N65" s="5">
        <f t="shared" si="41"/>
        <v>0</v>
      </c>
      <c r="O65" s="14"/>
      <c r="P65" s="1">
        <f>SUM(OSRRefP22_9x_0)</f>
        <v>5077.45</v>
      </c>
      <c r="Q65" s="1"/>
      <c r="R65" s="5">
        <f t="shared" si="42"/>
        <v>1.8377417491188344E-2</v>
      </c>
      <c r="S65" s="1"/>
      <c r="T65" s="1">
        <f>SUM(OSRRefT22_9x_0)</f>
        <v>4810</v>
      </c>
      <c r="U65" s="1"/>
      <c r="V65" s="5">
        <f t="shared" si="43"/>
        <v>4.2674379402736128E-2</v>
      </c>
      <c r="W65" s="1"/>
      <c r="X65" s="1">
        <f t="shared" si="44"/>
        <v>267.44999999999982</v>
      </c>
      <c r="Y65" s="1"/>
      <c r="Z65" s="5">
        <f t="shared" si="45"/>
        <v>5.5602910602910567E-2</v>
      </c>
    </row>
    <row r="66" spans="1:26" s="24" customFormat="1" hidden="1" outlineLevel="2" x14ac:dyDescent="0.35">
      <c r="A66" s="29"/>
      <c r="B66" s="11" t="str">
        <f>CONCATENATE("          ", "6279", " - ", "GENERAL EXPENSE")</f>
        <v xml:space="preserve">          6279 - GENERAL EXPENSE</v>
      </c>
      <c r="C66" s="11"/>
      <c r="D66" s="7">
        <v>397</v>
      </c>
      <c r="E66" s="2"/>
      <c r="F66" s="6">
        <f t="shared" si="38"/>
        <v>4.8371300539784721E-3</v>
      </c>
      <c r="G66" s="2"/>
      <c r="H66" s="7">
        <v>0</v>
      </c>
      <c r="I66" s="2"/>
      <c r="J66" s="6">
        <f t="shared" si="39"/>
        <v>0</v>
      </c>
      <c r="K66" s="2"/>
      <c r="L66" s="7">
        <f t="shared" si="40"/>
        <v>397</v>
      </c>
      <c r="M66" s="2"/>
      <c r="N66" s="6">
        <f t="shared" si="41"/>
        <v>0</v>
      </c>
      <c r="O66" s="11"/>
      <c r="P66" s="7">
        <v>5077.45</v>
      </c>
      <c r="Q66" s="2"/>
      <c r="R66" s="6">
        <f t="shared" si="42"/>
        <v>1.8377417491188344E-2</v>
      </c>
      <c r="S66" s="2"/>
      <c r="T66" s="7">
        <v>4810</v>
      </c>
      <c r="U66" s="2"/>
      <c r="V66" s="6">
        <f t="shared" si="43"/>
        <v>4.2674379402736128E-2</v>
      </c>
      <c r="W66" s="2"/>
      <c r="X66" s="7">
        <f t="shared" si="44"/>
        <v>267.44999999999982</v>
      </c>
      <c r="Y66" s="2"/>
      <c r="Z66" s="6">
        <f t="shared" si="45"/>
        <v>5.5602910602910567E-2</v>
      </c>
    </row>
    <row r="67" spans="1:26" s="28" customFormat="1" outlineLevel="1" collapsed="1" x14ac:dyDescent="0.35">
      <c r="A67" s="27"/>
      <c r="B67" s="14" t="str">
        <f>CONCATENATE("     ","Insurance                                         ")</f>
        <v xml:space="preserve">     Insurance                                         </v>
      </c>
      <c r="C67" s="14"/>
      <c r="D67" s="1">
        <f>SUM(OSRRefD22_10x_0)</f>
        <v>4240.13</v>
      </c>
      <c r="E67" s="1"/>
      <c r="F67" s="5">
        <f t="shared" si="38"/>
        <v>5.1662620291626549E-2</v>
      </c>
      <c r="G67" s="1"/>
      <c r="H67" s="1">
        <f>SUM(OSRRefH22_10x_0)</f>
        <v>4565</v>
      </c>
      <c r="I67" s="1"/>
      <c r="J67" s="5">
        <f t="shared" si="39"/>
        <v>0.19362911435357991</v>
      </c>
      <c r="K67" s="1"/>
      <c r="L67" s="1">
        <f t="shared" si="40"/>
        <v>-324.86999999999989</v>
      </c>
      <c r="M67" s="1"/>
      <c r="N67" s="5">
        <f t="shared" si="41"/>
        <v>-7.1165388828039411E-2</v>
      </c>
      <c r="O67" s="14"/>
      <c r="P67" s="1">
        <f>SUM(OSRRefP22_10x_0)</f>
        <v>35792.910000000003</v>
      </c>
      <c r="Q67" s="1"/>
      <c r="R67" s="5">
        <f t="shared" si="42"/>
        <v>0.1295495278721662</v>
      </c>
      <c r="S67" s="1"/>
      <c r="T67" s="1">
        <f>SUM(OSRRefT22_10x_0)</f>
        <v>31955</v>
      </c>
      <c r="U67" s="1"/>
      <c r="V67" s="5">
        <f t="shared" si="43"/>
        <v>0.28350515463917525</v>
      </c>
      <c r="W67" s="1"/>
      <c r="X67" s="1">
        <f t="shared" si="44"/>
        <v>3837.9100000000035</v>
      </c>
      <c r="Y67" s="1"/>
      <c r="Z67" s="5">
        <f t="shared" si="45"/>
        <v>0.12010358316382423</v>
      </c>
    </row>
    <row r="68" spans="1:26" s="24" customFormat="1" hidden="1" outlineLevel="2" x14ac:dyDescent="0.35">
      <c r="A68" s="29"/>
      <c r="B68" s="11" t="str">
        <f>CONCATENATE("          ", "6314", " - ", "LIABILITY INSURANCE")</f>
        <v xml:space="preserve">          6314 - LIABILITY INSURANCE</v>
      </c>
      <c r="C68" s="11"/>
      <c r="D68" s="7">
        <v>4240.13</v>
      </c>
      <c r="E68" s="2"/>
      <c r="F68" s="6">
        <f t="shared" si="38"/>
        <v>5.1662620291626549E-2</v>
      </c>
      <c r="G68" s="2"/>
      <c r="H68" s="7">
        <v>4565</v>
      </c>
      <c r="I68" s="2"/>
      <c r="J68" s="6">
        <f t="shared" si="39"/>
        <v>0.19362911435357991</v>
      </c>
      <c r="K68" s="2"/>
      <c r="L68" s="7">
        <f t="shared" si="40"/>
        <v>-324.86999999999989</v>
      </c>
      <c r="M68" s="2"/>
      <c r="N68" s="6">
        <f t="shared" si="41"/>
        <v>-7.1165388828039411E-2</v>
      </c>
      <c r="O68" s="11"/>
      <c r="P68" s="7">
        <v>35792.910000000003</v>
      </c>
      <c r="Q68" s="2"/>
      <c r="R68" s="6">
        <f t="shared" si="42"/>
        <v>0.1295495278721662</v>
      </c>
      <c r="S68" s="2"/>
      <c r="T68" s="7">
        <v>31955</v>
      </c>
      <c r="U68" s="2"/>
      <c r="V68" s="6">
        <f t="shared" si="43"/>
        <v>0.28350515463917525</v>
      </c>
      <c r="W68" s="2"/>
      <c r="X68" s="7">
        <f t="shared" si="44"/>
        <v>3837.9100000000035</v>
      </c>
      <c r="Y68" s="2"/>
      <c r="Z68" s="6">
        <f t="shared" si="45"/>
        <v>0.12010358316382423</v>
      </c>
    </row>
    <row r="69" spans="1:26" s="28" customFormat="1" outlineLevel="1" collapsed="1" x14ac:dyDescent="0.35">
      <c r="A69" s="27"/>
      <c r="B69" s="14" t="str">
        <f>CONCATENATE("     ","Interest                                          ")</f>
        <v xml:space="preserve">     Interest                                          </v>
      </c>
      <c r="C69" s="14"/>
      <c r="D69" s="1">
        <f>SUM(OSRRefD22_11x_0)</f>
        <v>7510</v>
      </c>
      <c r="E69" s="1"/>
      <c r="F69" s="5">
        <f t="shared" si="38"/>
        <v>9.1503392204983186E-2</v>
      </c>
      <c r="G69" s="1"/>
      <c r="H69" s="1">
        <f>SUM(OSRRefH22_11x_0)</f>
        <v>7510</v>
      </c>
      <c r="I69" s="1"/>
      <c r="J69" s="5">
        <f t="shared" si="39"/>
        <v>0.3185442823210044</v>
      </c>
      <c r="K69" s="1"/>
      <c r="L69" s="1">
        <f t="shared" si="40"/>
        <v>0</v>
      </c>
      <c r="M69" s="1"/>
      <c r="N69" s="5">
        <f t="shared" si="41"/>
        <v>0</v>
      </c>
      <c r="O69" s="14"/>
      <c r="P69" s="1">
        <f>SUM(OSRRefP22_11x_0)</f>
        <v>52083.15</v>
      </c>
      <c r="Q69" s="1"/>
      <c r="R69" s="5">
        <f t="shared" si="42"/>
        <v>0.18851072719695638</v>
      </c>
      <c r="S69" s="1"/>
      <c r="T69" s="1">
        <f>SUM(OSRRefT22_11x_0)</f>
        <v>52570</v>
      </c>
      <c r="U69" s="1"/>
      <c r="V69" s="5">
        <f t="shared" si="43"/>
        <v>0.46640168923115138</v>
      </c>
      <c r="W69" s="1"/>
      <c r="X69" s="1">
        <f t="shared" si="44"/>
        <v>-486.84999999999854</v>
      </c>
      <c r="Y69" s="1"/>
      <c r="Z69" s="5">
        <f t="shared" si="45"/>
        <v>-9.2609853528628217E-3</v>
      </c>
    </row>
    <row r="70" spans="1:26" s="24" customFormat="1" hidden="1" outlineLevel="2" x14ac:dyDescent="0.35">
      <c r="A70" s="29"/>
      <c r="B70" s="11" t="str">
        <f>CONCATENATE("          ", "6401", " - ", "INTEREST EXPENSE")</f>
        <v xml:space="preserve">          6401 - INTEREST EXPENSE</v>
      </c>
      <c r="C70" s="11"/>
      <c r="D70" s="7">
        <v>7510</v>
      </c>
      <c r="E70" s="2"/>
      <c r="F70" s="6">
        <f t="shared" si="38"/>
        <v>9.1503392204983186E-2</v>
      </c>
      <c r="G70" s="2"/>
      <c r="H70" s="7">
        <v>7510</v>
      </c>
      <c r="I70" s="2"/>
      <c r="J70" s="6">
        <f t="shared" si="39"/>
        <v>0.3185442823210044</v>
      </c>
      <c r="K70" s="2"/>
      <c r="L70" s="7">
        <f t="shared" si="40"/>
        <v>0</v>
      </c>
      <c r="M70" s="2"/>
      <c r="N70" s="6">
        <f t="shared" si="41"/>
        <v>0</v>
      </c>
      <c r="O70" s="11"/>
      <c r="P70" s="7">
        <v>52083.15</v>
      </c>
      <c r="Q70" s="2"/>
      <c r="R70" s="6">
        <f t="shared" si="42"/>
        <v>0.18851072719695638</v>
      </c>
      <c r="S70" s="2"/>
      <c r="T70" s="7">
        <v>52570</v>
      </c>
      <c r="U70" s="2"/>
      <c r="V70" s="6">
        <f t="shared" si="43"/>
        <v>0.46640168923115138</v>
      </c>
      <c r="W70" s="2"/>
      <c r="X70" s="7">
        <f t="shared" si="44"/>
        <v>-486.84999999999854</v>
      </c>
      <c r="Y70" s="2"/>
      <c r="Z70" s="6">
        <f t="shared" si="45"/>
        <v>-9.2609853528628217E-3</v>
      </c>
    </row>
    <row r="71" spans="1:26" s="28" customFormat="1" outlineLevel="1" collapsed="1" x14ac:dyDescent="0.35">
      <c r="A71" s="27"/>
      <c r="B71" s="14" t="str">
        <f>CONCATENATE("     ","Rent                                              ")</f>
        <v xml:space="preserve">     Rent                                              </v>
      </c>
      <c r="C71" s="14"/>
      <c r="D71" s="1">
        <f>SUM(OSRRefD22_12x_0)</f>
        <v>0</v>
      </c>
      <c r="E71" s="1"/>
      <c r="F71" s="5">
        <f t="shared" si="38"/>
        <v>0</v>
      </c>
      <c r="G71" s="1"/>
      <c r="H71" s="1">
        <f>SUM(OSRRefH22_12x_0)</f>
        <v>1943</v>
      </c>
      <c r="I71" s="1"/>
      <c r="J71" s="5">
        <f t="shared" si="39"/>
        <v>8.2414319647098749E-2</v>
      </c>
      <c r="K71" s="1"/>
      <c r="L71" s="1">
        <f t="shared" si="40"/>
        <v>-1943</v>
      </c>
      <c r="M71" s="1"/>
      <c r="N71" s="5">
        <f t="shared" si="41"/>
        <v>-1</v>
      </c>
      <c r="O71" s="14"/>
      <c r="P71" s="1">
        <f>SUM(OSRRefP22_12x_0)</f>
        <v>11100</v>
      </c>
      <c r="Q71" s="1"/>
      <c r="R71" s="5">
        <f t="shared" si="42"/>
        <v>4.0175547598142888E-2</v>
      </c>
      <c r="S71" s="1"/>
      <c r="T71" s="1">
        <f>SUM(OSRRefT22_12x_0)</f>
        <v>13601</v>
      </c>
      <c r="U71" s="1"/>
      <c r="V71" s="5">
        <f t="shared" si="43"/>
        <v>0.12066823997019004</v>
      </c>
      <c r="W71" s="1"/>
      <c r="X71" s="1">
        <f t="shared" si="44"/>
        <v>-2501</v>
      </c>
      <c r="Y71" s="1"/>
      <c r="Z71" s="5">
        <f t="shared" si="45"/>
        <v>-0.18388353797514889</v>
      </c>
    </row>
    <row r="72" spans="1:26" s="24" customFormat="1" hidden="1" outlineLevel="2" x14ac:dyDescent="0.35">
      <c r="A72" s="29"/>
      <c r="B72" s="11" t="str">
        <f>CONCATENATE("          ", "6273", " - ", "RENT")</f>
        <v xml:space="preserve">          6273 - RENT</v>
      </c>
      <c r="C72" s="11"/>
      <c r="D72" s="7"/>
      <c r="E72" s="2"/>
      <c r="F72" s="6">
        <f t="shared" si="38"/>
        <v>0</v>
      </c>
      <c r="G72" s="2"/>
      <c r="H72" s="7">
        <v>1943</v>
      </c>
      <c r="I72" s="2"/>
      <c r="J72" s="6">
        <f t="shared" si="39"/>
        <v>8.2414319647098749E-2</v>
      </c>
      <c r="K72" s="2"/>
      <c r="L72" s="7">
        <f t="shared" si="40"/>
        <v>-1943</v>
      </c>
      <c r="M72" s="2"/>
      <c r="N72" s="6">
        <f t="shared" si="41"/>
        <v>-1</v>
      </c>
      <c r="O72" s="11"/>
      <c r="P72" s="7">
        <v>11100</v>
      </c>
      <c r="Q72" s="2"/>
      <c r="R72" s="6">
        <f t="shared" si="42"/>
        <v>4.0175547598142888E-2</v>
      </c>
      <c r="S72" s="2"/>
      <c r="T72" s="7">
        <v>13601</v>
      </c>
      <c r="U72" s="2"/>
      <c r="V72" s="6">
        <f t="shared" si="43"/>
        <v>0.12066823997019004</v>
      </c>
      <c r="W72" s="2"/>
      <c r="X72" s="7">
        <f t="shared" si="44"/>
        <v>-2501</v>
      </c>
      <c r="Y72" s="2"/>
      <c r="Z72" s="6">
        <f t="shared" si="45"/>
        <v>-0.18388353797514889</v>
      </c>
    </row>
    <row r="73" spans="1:26" s="28" customFormat="1" outlineLevel="1" collapsed="1" x14ac:dyDescent="0.35">
      <c r="A73" s="27"/>
      <c r="B73" s="14" t="str">
        <f>CONCATENATE("     ","Repair and Maintenance                            ")</f>
        <v xml:space="preserve">     Repair and Maintenance                            </v>
      </c>
      <c r="C73" s="14"/>
      <c r="D73" s="1">
        <f>SUM(OSRRefD22_13x_0)</f>
        <v>2909.21</v>
      </c>
      <c r="E73" s="1"/>
      <c r="F73" s="5">
        <f t="shared" si="38"/>
        <v>3.5446415930314133E-2</v>
      </c>
      <c r="G73" s="1"/>
      <c r="H73" s="1">
        <f>SUM(OSRRefH22_13x_0)</f>
        <v>3433</v>
      </c>
      <c r="I73" s="1"/>
      <c r="J73" s="5">
        <f t="shared" si="39"/>
        <v>0.14561418391584663</v>
      </c>
      <c r="K73" s="1"/>
      <c r="L73" s="1">
        <f t="shared" si="40"/>
        <v>-523.79</v>
      </c>
      <c r="M73" s="1"/>
      <c r="N73" s="5">
        <f t="shared" si="41"/>
        <v>-0.15257500728226039</v>
      </c>
      <c r="O73" s="14"/>
      <c r="P73" s="1">
        <f>SUM(OSRRefP22_13x_0)</f>
        <v>22768.190000000002</v>
      </c>
      <c r="Q73" s="1"/>
      <c r="R73" s="5">
        <f t="shared" si="42"/>
        <v>8.2407612708879377E-2</v>
      </c>
      <c r="S73" s="1"/>
      <c r="T73" s="1">
        <f>SUM(OSRRefT22_13x_0)</f>
        <v>19892</v>
      </c>
      <c r="U73" s="1"/>
      <c r="V73" s="5">
        <f t="shared" si="43"/>
        <v>0.17648206966304097</v>
      </c>
      <c r="W73" s="1"/>
      <c r="X73" s="1">
        <f t="shared" si="44"/>
        <v>2876.1900000000023</v>
      </c>
      <c r="Y73" s="1"/>
      <c r="Z73" s="5">
        <f t="shared" si="45"/>
        <v>0.14459028755278516</v>
      </c>
    </row>
    <row r="74" spans="1:26" s="24" customFormat="1" hidden="1" outlineLevel="2" x14ac:dyDescent="0.35">
      <c r="A74" s="29"/>
      <c r="B74" s="11" t="str">
        <f>CONCATENATE("          ", "6371", " - ", "COMPUTER SOFTWARE MAINTENANCE")</f>
        <v xml:space="preserve">          6371 - COMPUTER SOFTWARE MAINTENANCE</v>
      </c>
      <c r="C74" s="11"/>
      <c r="D74" s="7"/>
      <c r="E74" s="2"/>
      <c r="F74" s="6">
        <f t="shared" si="38"/>
        <v>0</v>
      </c>
      <c r="G74" s="2"/>
      <c r="H74" s="7"/>
      <c r="I74" s="2"/>
      <c r="J74" s="6">
        <f t="shared" si="39"/>
        <v>0</v>
      </c>
      <c r="K74" s="2"/>
      <c r="L74" s="7">
        <f t="shared" si="40"/>
        <v>0</v>
      </c>
      <c r="M74" s="2"/>
      <c r="N74" s="6">
        <f t="shared" si="41"/>
        <v>0</v>
      </c>
      <c r="O74" s="11"/>
      <c r="P74" s="7"/>
      <c r="Q74" s="2"/>
      <c r="R74" s="6">
        <f t="shared" si="42"/>
        <v>0</v>
      </c>
      <c r="S74" s="2"/>
      <c r="T74" s="7">
        <v>0</v>
      </c>
      <c r="U74" s="2"/>
      <c r="V74" s="6">
        <f t="shared" si="43"/>
        <v>0</v>
      </c>
      <c r="W74" s="2"/>
      <c r="X74" s="7">
        <f t="shared" si="44"/>
        <v>0</v>
      </c>
      <c r="Y74" s="2"/>
      <c r="Z74" s="6">
        <f t="shared" si="45"/>
        <v>0</v>
      </c>
    </row>
    <row r="75" spans="1:26" s="24" customFormat="1" hidden="1" outlineLevel="2" x14ac:dyDescent="0.35">
      <c r="A75" s="29"/>
      <c r="B75" s="11" t="str">
        <f>CONCATENATE("          ", "6372", " - ", "COMPUTER HARDWARE MAINTENANCE")</f>
        <v xml:space="preserve">          6372 - COMPUTER HARDWARE MAINTENANCE</v>
      </c>
      <c r="C75" s="11"/>
      <c r="D75" s="7"/>
      <c r="E75" s="2"/>
      <c r="F75" s="6">
        <f t="shared" si="38"/>
        <v>0</v>
      </c>
      <c r="G75" s="2"/>
      <c r="H75" s="7">
        <v>0</v>
      </c>
      <c r="I75" s="2"/>
      <c r="J75" s="6">
        <f t="shared" si="39"/>
        <v>0</v>
      </c>
      <c r="K75" s="2"/>
      <c r="L75" s="7">
        <f t="shared" si="40"/>
        <v>0</v>
      </c>
      <c r="M75" s="2"/>
      <c r="N75" s="6">
        <f t="shared" si="41"/>
        <v>0</v>
      </c>
      <c r="O75" s="11"/>
      <c r="P75" s="7"/>
      <c r="Q75" s="2"/>
      <c r="R75" s="6">
        <f t="shared" si="42"/>
        <v>0</v>
      </c>
      <c r="S75" s="2"/>
      <c r="T75" s="7">
        <v>0</v>
      </c>
      <c r="U75" s="2"/>
      <c r="V75" s="6">
        <f t="shared" si="43"/>
        <v>0</v>
      </c>
      <c r="W75" s="2"/>
      <c r="X75" s="7">
        <f t="shared" si="44"/>
        <v>0</v>
      </c>
      <c r="Y75" s="2"/>
      <c r="Z75" s="6">
        <f t="shared" si="45"/>
        <v>0</v>
      </c>
    </row>
    <row r="76" spans="1:26" s="24" customFormat="1" hidden="1" outlineLevel="2" x14ac:dyDescent="0.35">
      <c r="A76" s="29"/>
      <c r="B76" s="11" t="str">
        <f>CONCATENATE("          ", "6373", " - ", "MAINTENANCE CONTRACTS")</f>
        <v xml:space="preserve">          6373 - MAINTENANCE CONTRACTS</v>
      </c>
      <c r="C76" s="11"/>
      <c r="D76" s="7"/>
      <c r="E76" s="2"/>
      <c r="F76" s="6">
        <f t="shared" si="38"/>
        <v>0</v>
      </c>
      <c r="G76" s="2"/>
      <c r="H76" s="7">
        <v>0</v>
      </c>
      <c r="I76" s="2"/>
      <c r="J76" s="6">
        <f t="shared" si="39"/>
        <v>0</v>
      </c>
      <c r="K76" s="2"/>
      <c r="L76" s="7">
        <f t="shared" si="40"/>
        <v>0</v>
      </c>
      <c r="M76" s="2"/>
      <c r="N76" s="6">
        <f t="shared" si="41"/>
        <v>0</v>
      </c>
      <c r="O76" s="11"/>
      <c r="P76" s="7">
        <v>11021.44</v>
      </c>
      <c r="Q76" s="2"/>
      <c r="R76" s="6">
        <f t="shared" si="42"/>
        <v>3.9891206064871711E-2</v>
      </c>
      <c r="S76" s="2"/>
      <c r="T76" s="7">
        <v>3769</v>
      </c>
      <c r="U76" s="2"/>
      <c r="V76" s="6">
        <f t="shared" si="43"/>
        <v>3.3438614546551448E-2</v>
      </c>
      <c r="W76" s="2"/>
      <c r="X76" s="7">
        <f t="shared" si="44"/>
        <v>7252.4400000000005</v>
      </c>
      <c r="Y76" s="2"/>
      <c r="Z76" s="6">
        <f t="shared" si="45"/>
        <v>1.9242345449721412</v>
      </c>
    </row>
    <row r="77" spans="1:26" s="24" customFormat="1" hidden="1" outlineLevel="2" x14ac:dyDescent="0.35">
      <c r="A77" s="29"/>
      <c r="B77" s="11" t="str">
        <f>CONCATENATE("          ", "6375", " - ", "OUTSIDE REPAIRS &amp; MAINTENANCE")</f>
        <v xml:space="preserve">          6375 - OUTSIDE REPAIRS &amp; MAINTENANCE</v>
      </c>
      <c r="C77" s="11"/>
      <c r="D77" s="7">
        <v>2909.21</v>
      </c>
      <c r="E77" s="2"/>
      <c r="F77" s="6">
        <f t="shared" si="38"/>
        <v>3.5446415930314133E-2</v>
      </c>
      <c r="G77" s="2"/>
      <c r="H77" s="7">
        <v>3433</v>
      </c>
      <c r="I77" s="2"/>
      <c r="J77" s="6">
        <f t="shared" si="39"/>
        <v>0.14561418391584663</v>
      </c>
      <c r="K77" s="2"/>
      <c r="L77" s="7">
        <f t="shared" si="40"/>
        <v>-523.79</v>
      </c>
      <c r="M77" s="2"/>
      <c r="N77" s="6">
        <f t="shared" si="41"/>
        <v>-0.15257500728226039</v>
      </c>
      <c r="O77" s="11"/>
      <c r="P77" s="7">
        <v>11746.75</v>
      </c>
      <c r="Q77" s="2"/>
      <c r="R77" s="6">
        <f t="shared" si="42"/>
        <v>4.2516406644007652E-2</v>
      </c>
      <c r="S77" s="2"/>
      <c r="T77" s="7">
        <v>16123</v>
      </c>
      <c r="U77" s="2"/>
      <c r="V77" s="6">
        <f t="shared" si="43"/>
        <v>0.14304345511648953</v>
      </c>
      <c r="W77" s="2"/>
      <c r="X77" s="7">
        <f t="shared" si="44"/>
        <v>-4376.25</v>
      </c>
      <c r="Y77" s="2"/>
      <c r="Z77" s="6">
        <f t="shared" si="45"/>
        <v>-0.27142901445140483</v>
      </c>
    </row>
    <row r="78" spans="1:26" s="28" customFormat="1" outlineLevel="1" collapsed="1" x14ac:dyDescent="0.35">
      <c r="A78" s="27"/>
      <c r="B78" s="14" t="str">
        <f>CONCATENATE("     ","Royalty &amp; Commissions                             ")</f>
        <v xml:space="preserve">     Royalty &amp; Commissions                             </v>
      </c>
      <c r="C78" s="14"/>
      <c r="D78" s="1">
        <f>SUM(OSRRefD22_14x_0)</f>
        <v>0</v>
      </c>
      <c r="E78" s="1"/>
      <c r="F78" s="5">
        <f t="shared" ref="F78:F80" si="46">IF(D$12=0,0,D78/D$12)</f>
        <v>0</v>
      </c>
      <c r="G78" s="1"/>
      <c r="H78" s="1">
        <f>SUM(OSRRefH22_14x_0)</f>
        <v>0</v>
      </c>
      <c r="I78" s="1"/>
      <c r="J78" s="5">
        <f t="shared" ref="J78:J80" si="47">IF(H$12=0,0,H78/H$12)</f>
        <v>0</v>
      </c>
      <c r="K78" s="1"/>
      <c r="L78" s="1">
        <f t="shared" ref="L78:L80" si="48">+D78-H78</f>
        <v>0</v>
      </c>
      <c r="M78" s="1"/>
      <c r="N78" s="5">
        <f t="shared" ref="N78:N80" si="49">IF(H78=0,0,L78/H78)</f>
        <v>0</v>
      </c>
      <c r="O78" s="14"/>
      <c r="P78" s="1">
        <f>SUM(OSRRefP22_14x_0)</f>
        <v>0</v>
      </c>
      <c r="Q78" s="1"/>
      <c r="R78" s="5">
        <f t="shared" ref="R78:R80" si="50">IF(P$12=0,0,P78/P$12)</f>
        <v>0</v>
      </c>
      <c r="S78" s="1"/>
      <c r="T78" s="1">
        <f>SUM(OSRRefT22_14x_0)</f>
        <v>0</v>
      </c>
      <c r="U78" s="1"/>
      <c r="V78" s="5">
        <f t="shared" ref="V78:V80" si="51">IF(T$12=0,0,T78/T$12)</f>
        <v>0</v>
      </c>
      <c r="W78" s="1"/>
      <c r="X78" s="1">
        <f t="shared" ref="X78:X80" si="52">+P78-T78</f>
        <v>0</v>
      </c>
      <c r="Y78" s="1"/>
      <c r="Z78" s="5">
        <f t="shared" ref="Z78:Z80" si="53">IF(T78=0,0,X78/T78)</f>
        <v>0</v>
      </c>
    </row>
    <row r="79" spans="1:26" s="24" customFormat="1" hidden="1" outlineLevel="2" x14ac:dyDescent="0.35">
      <c r="A79" s="29"/>
      <c r="B79" s="11" t="str">
        <f>CONCATENATE("          ", "6254", " - ", "ROYALTY &amp; COMMISSIONS")</f>
        <v xml:space="preserve">          6254 - ROYALTY &amp; COMMISSIONS</v>
      </c>
      <c r="C79" s="11"/>
      <c r="D79" s="7"/>
      <c r="E79" s="2"/>
      <c r="F79" s="6">
        <f t="shared" si="46"/>
        <v>0</v>
      </c>
      <c r="G79" s="2"/>
      <c r="H79" s="7">
        <v>0</v>
      </c>
      <c r="I79" s="2"/>
      <c r="J79" s="6">
        <f t="shared" si="47"/>
        <v>0</v>
      </c>
      <c r="K79" s="2"/>
      <c r="L79" s="7">
        <f t="shared" si="48"/>
        <v>0</v>
      </c>
      <c r="M79" s="2"/>
      <c r="N79" s="6">
        <f t="shared" si="49"/>
        <v>0</v>
      </c>
      <c r="O79" s="11"/>
      <c r="P79" s="7"/>
      <c r="Q79" s="2"/>
      <c r="R79" s="6">
        <f t="shared" si="50"/>
        <v>0</v>
      </c>
      <c r="S79" s="2"/>
      <c r="T79" s="7">
        <v>0</v>
      </c>
      <c r="U79" s="2"/>
      <c r="V79" s="6">
        <f t="shared" si="51"/>
        <v>0</v>
      </c>
      <c r="W79" s="2"/>
      <c r="X79" s="7">
        <f t="shared" si="52"/>
        <v>0</v>
      </c>
      <c r="Y79" s="2"/>
      <c r="Z79" s="6">
        <f t="shared" si="53"/>
        <v>0</v>
      </c>
    </row>
    <row r="80" spans="1:26" s="24" customFormat="1" hidden="1" outlineLevel="2" x14ac:dyDescent="0.35">
      <c r="A80" s="29"/>
      <c r="B80" s="11" t="str">
        <f>CONCATENATE("          ", "6259", " - ", "ROYALTY &amp; COMMISSIONS")</f>
        <v xml:space="preserve">          6259 - ROYALTY &amp; COMMISSIONS</v>
      </c>
      <c r="C80" s="11"/>
      <c r="D80" s="7"/>
      <c r="E80" s="2"/>
      <c r="F80" s="6">
        <f t="shared" si="46"/>
        <v>0</v>
      </c>
      <c r="G80" s="2"/>
      <c r="H80" s="7">
        <v>0</v>
      </c>
      <c r="I80" s="2"/>
      <c r="J80" s="6">
        <f t="shared" si="47"/>
        <v>0</v>
      </c>
      <c r="K80" s="2"/>
      <c r="L80" s="7">
        <f t="shared" si="48"/>
        <v>0</v>
      </c>
      <c r="M80" s="2"/>
      <c r="N80" s="6">
        <f t="shared" si="49"/>
        <v>0</v>
      </c>
      <c r="O80" s="11"/>
      <c r="P80" s="7"/>
      <c r="Q80" s="2"/>
      <c r="R80" s="6">
        <f t="shared" si="50"/>
        <v>0</v>
      </c>
      <c r="S80" s="2"/>
      <c r="T80" s="7">
        <v>0</v>
      </c>
      <c r="U80" s="2"/>
      <c r="V80" s="6">
        <f t="shared" si="51"/>
        <v>0</v>
      </c>
      <c r="W80" s="2"/>
      <c r="X80" s="7">
        <f t="shared" si="52"/>
        <v>0</v>
      </c>
      <c r="Y80" s="2"/>
      <c r="Z80" s="6">
        <f t="shared" si="53"/>
        <v>0</v>
      </c>
    </row>
    <row r="81" spans="1:26" s="28" customFormat="1" outlineLevel="1" collapsed="1" x14ac:dyDescent="0.35">
      <c r="A81" s="27"/>
      <c r="B81" s="14" t="str">
        <f>CONCATENATE("     ","Services                                          ")</f>
        <v xml:space="preserve">     Services                                          </v>
      </c>
      <c r="C81" s="14"/>
      <c r="D81" s="1">
        <f>SUM(OSRRefD22_15x_0)</f>
        <v>7309.42</v>
      </c>
      <c r="E81" s="1"/>
      <c r="F81" s="5">
        <f t="shared" ref="F81:F86" si="54">IF(D$12=0,0,D81/D$12)</f>
        <v>8.905948402808897E-2</v>
      </c>
      <c r="G81" s="1"/>
      <c r="H81" s="1">
        <f>SUM(OSRRefH22_15x_0)</f>
        <v>8593</v>
      </c>
      <c r="I81" s="1"/>
      <c r="J81" s="5">
        <f t="shared" ref="J81:J86" si="55">IF(H$12=0,0,H81/H$12)</f>
        <v>0.36448082796063791</v>
      </c>
      <c r="K81" s="1"/>
      <c r="L81" s="1">
        <f t="shared" ref="L81:L86" si="56">+D81-H81</f>
        <v>-1283.58</v>
      </c>
      <c r="M81" s="1"/>
      <c r="N81" s="5">
        <f t="shared" ref="N81:N86" si="57">IF(H81=0,0,L81/H81)</f>
        <v>-0.14937507273362038</v>
      </c>
      <c r="O81" s="14"/>
      <c r="P81" s="1">
        <f>SUM(OSRRefP22_15x_0)</f>
        <v>43998.68</v>
      </c>
      <c r="Q81" s="1"/>
      <c r="R81" s="5">
        <f t="shared" ref="R81:R86" si="58">IF(P$12=0,0,P81/P$12)</f>
        <v>0.15924964527887003</v>
      </c>
      <c r="S81" s="1"/>
      <c r="T81" s="1">
        <f>SUM(OSRRefT22_15x_0)</f>
        <v>51102</v>
      </c>
      <c r="U81" s="1"/>
      <c r="V81" s="5">
        <f t="shared" ref="V81:V86" si="59">IF(T$12=0,0,T81/T$12)</f>
        <v>0.45337757510158455</v>
      </c>
      <c r="W81" s="1"/>
      <c r="X81" s="1">
        <f t="shared" ref="X81:X86" si="60">+P81-T81</f>
        <v>-7103.32</v>
      </c>
      <c r="Y81" s="1"/>
      <c r="Z81" s="5">
        <f t="shared" ref="Z81:Z86" si="61">IF(T81=0,0,X81/T81)</f>
        <v>-0.13900277875621306</v>
      </c>
    </row>
    <row r="82" spans="1:26" s="24" customFormat="1" hidden="1" outlineLevel="2" x14ac:dyDescent="0.35">
      <c r="A82" s="29"/>
      <c r="B82" s="11" t="str">
        <f>CONCATENATE("          ", "6282", " - ", "JANITORIAL/EXTERMINATOR EXPENS")</f>
        <v xml:space="preserve">          6282 - JANITORIAL/EXTERMINATOR EXPENS</v>
      </c>
      <c r="C82" s="11"/>
      <c r="D82" s="7">
        <v>1940.42</v>
      </c>
      <c r="E82" s="2"/>
      <c r="F82" s="6">
        <f t="shared" si="54"/>
        <v>2.3642478335871301E-2</v>
      </c>
      <c r="G82" s="2"/>
      <c r="H82" s="7">
        <v>1283</v>
      </c>
      <c r="I82" s="2"/>
      <c r="J82" s="6">
        <f t="shared" si="55"/>
        <v>5.4419748897183574E-2</v>
      </c>
      <c r="K82" s="2"/>
      <c r="L82" s="7">
        <f t="shared" si="56"/>
        <v>657.42000000000007</v>
      </c>
      <c r="M82" s="2"/>
      <c r="N82" s="6">
        <f t="shared" si="57"/>
        <v>0.51240841777084967</v>
      </c>
      <c r="O82" s="11"/>
      <c r="P82" s="7">
        <v>6198.11</v>
      </c>
      <c r="Q82" s="2"/>
      <c r="R82" s="6">
        <f t="shared" si="58"/>
        <v>2.2433555254371657E-2</v>
      </c>
      <c r="S82" s="2"/>
      <c r="T82" s="7">
        <v>7640</v>
      </c>
      <c r="U82" s="2"/>
      <c r="V82" s="6">
        <f t="shared" si="59"/>
        <v>6.7782174352786703E-2</v>
      </c>
      <c r="W82" s="2"/>
      <c r="X82" s="7">
        <f t="shared" si="60"/>
        <v>-1441.8900000000003</v>
      </c>
      <c r="Y82" s="2"/>
      <c r="Z82" s="6">
        <f t="shared" si="61"/>
        <v>-0.18872905759162309</v>
      </c>
    </row>
    <row r="83" spans="1:26" s="24" customFormat="1" hidden="1" outlineLevel="2" x14ac:dyDescent="0.35">
      <c r="A83" s="29"/>
      <c r="B83" s="11" t="str">
        <f>CONCATENATE("          ", "6283", " - ", "PLANT SERVICE")</f>
        <v xml:space="preserve">          6283 - PLANT SERVICE</v>
      </c>
      <c r="C83" s="11"/>
      <c r="D83" s="7"/>
      <c r="E83" s="2"/>
      <c r="F83" s="6">
        <f t="shared" si="54"/>
        <v>0</v>
      </c>
      <c r="G83" s="2"/>
      <c r="H83" s="7">
        <v>0</v>
      </c>
      <c r="I83" s="2"/>
      <c r="J83" s="6">
        <f t="shared" si="55"/>
        <v>0</v>
      </c>
      <c r="K83" s="2"/>
      <c r="L83" s="7">
        <f t="shared" si="56"/>
        <v>0</v>
      </c>
      <c r="M83" s="2"/>
      <c r="N83" s="6">
        <f t="shared" si="57"/>
        <v>0</v>
      </c>
      <c r="O83" s="11"/>
      <c r="P83" s="7"/>
      <c r="Q83" s="2"/>
      <c r="R83" s="6">
        <f t="shared" si="58"/>
        <v>0</v>
      </c>
      <c r="S83" s="2"/>
      <c r="T83" s="7">
        <v>248</v>
      </c>
      <c r="U83" s="2"/>
      <c r="V83" s="6">
        <f t="shared" si="59"/>
        <v>2.2002590627606153E-3</v>
      </c>
      <c r="W83" s="2"/>
      <c r="X83" s="7">
        <f t="shared" si="60"/>
        <v>-248</v>
      </c>
      <c r="Y83" s="2"/>
      <c r="Z83" s="6">
        <f t="shared" si="61"/>
        <v>-1</v>
      </c>
    </row>
    <row r="84" spans="1:26" s="24" customFormat="1" hidden="1" outlineLevel="2" x14ac:dyDescent="0.35">
      <c r="A84" s="29"/>
      <c r="B84" s="11" t="str">
        <f>CONCATENATE("          ", "6284", " - ", "TRASH REMOVAL EXPENSE")</f>
        <v xml:space="preserve">          6284 - TRASH REMOVAL EXPENSE</v>
      </c>
      <c r="C84" s="11"/>
      <c r="D84" s="7">
        <v>5369</v>
      </c>
      <c r="E84" s="2"/>
      <c r="F84" s="6">
        <f t="shared" si="54"/>
        <v>6.5417005692217672E-2</v>
      </c>
      <c r="G84" s="2"/>
      <c r="H84" s="7">
        <v>3261</v>
      </c>
      <c r="I84" s="2"/>
      <c r="J84" s="6">
        <f t="shared" si="55"/>
        <v>0.13831862911435358</v>
      </c>
      <c r="K84" s="2"/>
      <c r="L84" s="7">
        <f t="shared" si="56"/>
        <v>2108</v>
      </c>
      <c r="M84" s="2"/>
      <c r="N84" s="6">
        <f t="shared" si="57"/>
        <v>0.64642747623428398</v>
      </c>
      <c r="O84" s="11"/>
      <c r="P84" s="7">
        <v>24237</v>
      </c>
      <c r="Q84" s="2"/>
      <c r="R84" s="6">
        <f t="shared" si="58"/>
        <v>8.7723851093350375E-2</v>
      </c>
      <c r="S84" s="2"/>
      <c r="T84" s="7">
        <v>20619</v>
      </c>
      <c r="U84" s="2"/>
      <c r="V84" s="6">
        <f t="shared" si="59"/>
        <v>0.18293202264137551</v>
      </c>
      <c r="W84" s="2"/>
      <c r="X84" s="7">
        <f t="shared" si="60"/>
        <v>3618</v>
      </c>
      <c r="Y84" s="2"/>
      <c r="Z84" s="6">
        <f t="shared" si="61"/>
        <v>0.17546922741161064</v>
      </c>
    </row>
    <row r="85" spans="1:26" s="24" customFormat="1" hidden="1" outlineLevel="2" x14ac:dyDescent="0.35">
      <c r="A85" s="29"/>
      <c r="B85" s="11" t="str">
        <f>CONCATENATE("          ", "6285", " - ", "JANITORIAL SERVICES")</f>
        <v xml:space="preserve">          6285 - JANITORIAL SERVICES</v>
      </c>
      <c r="C85" s="11"/>
      <c r="D85" s="7"/>
      <c r="E85" s="2"/>
      <c r="F85" s="6">
        <f t="shared" si="54"/>
        <v>0</v>
      </c>
      <c r="G85" s="2"/>
      <c r="H85" s="7">
        <v>4049</v>
      </c>
      <c r="I85" s="2"/>
      <c r="J85" s="6">
        <f t="shared" si="55"/>
        <v>0.17174244994910079</v>
      </c>
      <c r="K85" s="2"/>
      <c r="L85" s="7">
        <f t="shared" si="56"/>
        <v>-4049</v>
      </c>
      <c r="M85" s="2"/>
      <c r="N85" s="6">
        <f t="shared" si="57"/>
        <v>-1</v>
      </c>
      <c r="O85" s="11"/>
      <c r="P85" s="7">
        <v>12770.81</v>
      </c>
      <c r="Q85" s="2"/>
      <c r="R85" s="6">
        <f t="shared" si="58"/>
        <v>4.6222908560526049E-2</v>
      </c>
      <c r="S85" s="2"/>
      <c r="T85" s="7">
        <v>22595</v>
      </c>
      <c r="U85" s="2"/>
      <c r="V85" s="6">
        <f t="shared" si="59"/>
        <v>0.20046311904466171</v>
      </c>
      <c r="W85" s="2"/>
      <c r="X85" s="7">
        <f t="shared" si="60"/>
        <v>-9824.19</v>
      </c>
      <c r="Y85" s="2"/>
      <c r="Z85" s="6">
        <f t="shared" si="61"/>
        <v>-0.43479486612082319</v>
      </c>
    </row>
    <row r="86" spans="1:26" s="24" customFormat="1" hidden="1" outlineLevel="2" x14ac:dyDescent="0.35">
      <c r="A86" s="29"/>
      <c r="B86" s="11" t="str">
        <f>CONCATENATE("          ", "6286", " - ", "LAUNDRY EXPENSE")</f>
        <v xml:space="preserve">          6286 - LAUNDRY EXPENSE</v>
      </c>
      <c r="C86" s="11"/>
      <c r="D86" s="7"/>
      <c r="E86" s="2"/>
      <c r="F86" s="6">
        <f t="shared" si="54"/>
        <v>0</v>
      </c>
      <c r="G86" s="2"/>
      <c r="H86" s="7">
        <v>0</v>
      </c>
      <c r="I86" s="2"/>
      <c r="J86" s="6">
        <f t="shared" si="55"/>
        <v>0</v>
      </c>
      <c r="K86" s="2"/>
      <c r="L86" s="7">
        <f t="shared" si="56"/>
        <v>0</v>
      </c>
      <c r="M86" s="2"/>
      <c r="N86" s="6">
        <f t="shared" si="57"/>
        <v>0</v>
      </c>
      <c r="O86" s="11"/>
      <c r="P86" s="7">
        <v>792.76</v>
      </c>
      <c r="Q86" s="2"/>
      <c r="R86" s="6">
        <f t="shared" si="58"/>
        <v>2.86933037062196E-3</v>
      </c>
      <c r="S86" s="2"/>
      <c r="T86" s="7">
        <v>0</v>
      </c>
      <c r="U86" s="2"/>
      <c r="V86" s="6">
        <f t="shared" si="59"/>
        <v>0</v>
      </c>
      <c r="W86" s="2"/>
      <c r="X86" s="7">
        <f t="shared" si="60"/>
        <v>792.76</v>
      </c>
      <c r="Y86" s="2"/>
      <c r="Z86" s="6">
        <f t="shared" si="61"/>
        <v>0</v>
      </c>
    </row>
    <row r="87" spans="1:26" s="28" customFormat="1" outlineLevel="1" collapsed="1" x14ac:dyDescent="0.35">
      <c r="A87" s="27"/>
      <c r="B87" s="14" t="str">
        <f>CONCATENATE("     ","Subscriptions &amp; Dues                              ")</f>
        <v xml:space="preserve">     Subscriptions &amp; Dues                              </v>
      </c>
      <c r="C87" s="14"/>
      <c r="D87" s="1">
        <f>SUM(OSRRefD22_16x_0)</f>
        <v>0</v>
      </c>
      <c r="E87" s="1"/>
      <c r="F87" s="5">
        <f t="shared" ref="F87:F89" si="62">IF(D$12=0,0,D87/D$12)</f>
        <v>0</v>
      </c>
      <c r="G87" s="1"/>
      <c r="H87" s="1">
        <f>SUM(OSRRefH22_16x_0)</f>
        <v>197</v>
      </c>
      <c r="I87" s="1"/>
      <c r="J87" s="5">
        <f t="shared" ref="J87:J89" si="63">IF(H$12=0,0,H87/H$12)</f>
        <v>8.3559552086868005E-3</v>
      </c>
      <c r="K87" s="1"/>
      <c r="L87" s="1">
        <f t="shared" ref="L87:L89" si="64">+D87-H87</f>
        <v>-197</v>
      </c>
      <c r="M87" s="1"/>
      <c r="N87" s="5">
        <f t="shared" ref="N87:N89" si="65">IF(H87=0,0,L87/H87)</f>
        <v>-1</v>
      </c>
      <c r="O87" s="14"/>
      <c r="P87" s="1">
        <f>SUM(OSRRefP22_16x_0)</f>
        <v>534.16999999999996</v>
      </c>
      <c r="Q87" s="1"/>
      <c r="R87" s="5">
        <f t="shared" ref="R87:R89" si="66">IF(P$12=0,0,P87/P$12)</f>
        <v>1.933384888333332E-3</v>
      </c>
      <c r="S87" s="1"/>
      <c r="T87" s="1">
        <f>SUM(OSRRefT22_16x_0)</f>
        <v>2279</v>
      </c>
      <c r="U87" s="1"/>
      <c r="V87" s="5">
        <f t="shared" ref="V87:V89" si="67">IF(T$12=0,0,T87/T$12)</f>
        <v>2.0219316145288074E-2</v>
      </c>
      <c r="W87" s="1"/>
      <c r="X87" s="1">
        <f t="shared" ref="X87:X89" si="68">+P87-T87</f>
        <v>-1744.83</v>
      </c>
      <c r="Y87" s="1"/>
      <c r="Z87" s="5">
        <f t="shared" ref="Z87:Z89" si="69">IF(T87=0,0,X87/T87)</f>
        <v>-0.76561211057481349</v>
      </c>
    </row>
    <row r="88" spans="1:26" s="24" customFormat="1" hidden="1" outlineLevel="2" x14ac:dyDescent="0.35">
      <c r="A88" s="29"/>
      <c r="B88" s="11" t="str">
        <f>CONCATENATE("          ", "6258", " - ", "MEMBERSHIP DUES")</f>
        <v xml:space="preserve">          6258 - MEMBERSHIP DUES</v>
      </c>
      <c r="C88" s="11"/>
      <c r="D88" s="7"/>
      <c r="E88" s="2"/>
      <c r="F88" s="6">
        <f t="shared" si="62"/>
        <v>0</v>
      </c>
      <c r="G88" s="2"/>
      <c r="H88" s="7"/>
      <c r="I88" s="2"/>
      <c r="J88" s="6">
        <f t="shared" si="63"/>
        <v>0</v>
      </c>
      <c r="K88" s="2"/>
      <c r="L88" s="7">
        <f t="shared" si="64"/>
        <v>0</v>
      </c>
      <c r="M88" s="2"/>
      <c r="N88" s="6">
        <f t="shared" si="65"/>
        <v>0</v>
      </c>
      <c r="O88" s="11"/>
      <c r="P88" s="7"/>
      <c r="Q88" s="2"/>
      <c r="R88" s="6">
        <f t="shared" si="66"/>
        <v>0</v>
      </c>
      <c r="S88" s="2"/>
      <c r="T88" s="7">
        <v>900</v>
      </c>
      <c r="U88" s="2"/>
      <c r="V88" s="6">
        <f t="shared" si="67"/>
        <v>7.9848111148570714E-3</v>
      </c>
      <c r="W88" s="2"/>
      <c r="X88" s="7">
        <f t="shared" si="68"/>
        <v>-900</v>
      </c>
      <c r="Y88" s="2"/>
      <c r="Z88" s="6">
        <f t="shared" si="69"/>
        <v>-1</v>
      </c>
    </row>
    <row r="89" spans="1:26" s="24" customFormat="1" hidden="1" outlineLevel="2" x14ac:dyDescent="0.35">
      <c r="A89" s="29"/>
      <c r="B89" s="11" t="str">
        <f>CONCATENATE("          ", "6275", " - ", "SUBSCRIPTIONS")</f>
        <v xml:space="preserve">          6275 - SUBSCRIPTIONS</v>
      </c>
      <c r="C89" s="11"/>
      <c r="D89" s="7"/>
      <c r="E89" s="2"/>
      <c r="F89" s="6">
        <f t="shared" si="62"/>
        <v>0</v>
      </c>
      <c r="G89" s="2"/>
      <c r="H89" s="7">
        <v>197</v>
      </c>
      <c r="I89" s="2"/>
      <c r="J89" s="6">
        <f t="shared" si="63"/>
        <v>8.3559552086868005E-3</v>
      </c>
      <c r="K89" s="2"/>
      <c r="L89" s="7">
        <f t="shared" si="64"/>
        <v>-197</v>
      </c>
      <c r="M89" s="2"/>
      <c r="N89" s="6">
        <f t="shared" si="65"/>
        <v>-1</v>
      </c>
      <c r="O89" s="11"/>
      <c r="P89" s="7">
        <v>534.16999999999996</v>
      </c>
      <c r="Q89" s="2"/>
      <c r="R89" s="6">
        <f t="shared" si="66"/>
        <v>1.933384888333332E-3</v>
      </c>
      <c r="S89" s="2"/>
      <c r="T89" s="7">
        <v>1379</v>
      </c>
      <c r="U89" s="2"/>
      <c r="V89" s="6">
        <f t="shared" si="67"/>
        <v>1.2234505030431003E-2</v>
      </c>
      <c r="W89" s="2"/>
      <c r="X89" s="7">
        <f t="shared" si="68"/>
        <v>-844.83</v>
      </c>
      <c r="Y89" s="2"/>
      <c r="Z89" s="6">
        <f t="shared" si="69"/>
        <v>-0.61263959390862943</v>
      </c>
    </row>
    <row r="90" spans="1:26" s="28" customFormat="1" outlineLevel="1" collapsed="1" x14ac:dyDescent="0.35">
      <c r="A90" s="27"/>
      <c r="B90" s="14" t="str">
        <f>CONCATENATE("     ","Supplies                                          ")</f>
        <v xml:space="preserve">     Supplies                                          </v>
      </c>
      <c r="C90" s="14"/>
      <c r="D90" s="1">
        <f>SUM(OSRRefD22_17x_0)</f>
        <v>116.72999999999999</v>
      </c>
      <c r="E90" s="1"/>
      <c r="F90" s="5">
        <f t="shared" ref="F90:F101" si="70">IF(D$12=0,0,D90/D$12)</f>
        <v>1.4222624463498916E-3</v>
      </c>
      <c r="G90" s="1"/>
      <c r="H90" s="1">
        <f>SUM(OSRRefH22_17x_0)</f>
        <v>2710</v>
      </c>
      <c r="I90" s="1"/>
      <c r="J90" s="5">
        <f t="shared" ref="J90:J101" si="71">IF(H$12=0,0,H90/H$12)</f>
        <v>0.11494740413980319</v>
      </c>
      <c r="K90" s="1"/>
      <c r="L90" s="1">
        <f t="shared" ref="L90:L101" si="72">+D90-H90</f>
        <v>-2593.27</v>
      </c>
      <c r="M90" s="1"/>
      <c r="N90" s="5">
        <f t="shared" ref="N90:N101" si="73">IF(H90=0,0,L90/H90)</f>
        <v>-0.95692619926199263</v>
      </c>
      <c r="O90" s="14"/>
      <c r="P90" s="1">
        <f>SUM(OSRRefP22_17x_0)</f>
        <v>-21429.59</v>
      </c>
      <c r="Q90" s="1"/>
      <c r="R90" s="5">
        <f t="shared" ref="R90:R101" si="74">IF(P$12=0,0,P90/P$12)</f>
        <v>-7.7562658833665477E-2</v>
      </c>
      <c r="S90" s="1"/>
      <c r="T90" s="1">
        <f>SUM(OSRRefT22_17x_0)</f>
        <v>17690</v>
      </c>
      <c r="U90" s="1"/>
      <c r="V90" s="5">
        <f t="shared" ref="V90:V101" si="75">IF(T$12=0,0,T90/T$12)</f>
        <v>0.15694589846869067</v>
      </c>
      <c r="W90" s="1"/>
      <c r="X90" s="1">
        <f t="shared" ref="X90:X101" si="76">+P90-T90</f>
        <v>-39119.589999999997</v>
      </c>
      <c r="Y90" s="1"/>
      <c r="Z90" s="5">
        <f t="shared" ref="Z90:Z101" si="77">IF(T90=0,0,X90/T90)</f>
        <v>-2.2113957037874505</v>
      </c>
    </row>
    <row r="91" spans="1:26" s="24" customFormat="1" hidden="1" outlineLevel="2" x14ac:dyDescent="0.35">
      <c r="A91" s="29"/>
      <c r="B91" s="11" t="str">
        <f>CONCATENATE("          ", "6234", " - ", "EXPENDABLE SUPPLIES &amp; EQUIPMEN")</f>
        <v xml:space="preserve">          6234 - EXPENDABLE SUPPLIES &amp; EQUIPMEN</v>
      </c>
      <c r="C91" s="11"/>
      <c r="D91" s="7"/>
      <c r="E91" s="2"/>
      <c r="F91" s="6">
        <f t="shared" si="70"/>
        <v>0</v>
      </c>
      <c r="G91" s="2"/>
      <c r="H91" s="7">
        <v>1008</v>
      </c>
      <c r="I91" s="2"/>
      <c r="J91" s="6">
        <f t="shared" si="71"/>
        <v>4.2755344418052253E-2</v>
      </c>
      <c r="K91" s="2"/>
      <c r="L91" s="7">
        <f t="shared" si="72"/>
        <v>-1008</v>
      </c>
      <c r="M91" s="2"/>
      <c r="N91" s="6">
        <f t="shared" si="73"/>
        <v>-1</v>
      </c>
      <c r="O91" s="11"/>
      <c r="P91" s="7">
        <v>310.91000000000003</v>
      </c>
      <c r="Q91" s="2"/>
      <c r="R91" s="6">
        <f t="shared" si="74"/>
        <v>1.1253134688052799E-3</v>
      </c>
      <c r="S91" s="2"/>
      <c r="T91" s="7">
        <v>1076</v>
      </c>
      <c r="U91" s="2"/>
      <c r="V91" s="6">
        <f t="shared" si="75"/>
        <v>9.5462852884291207E-3</v>
      </c>
      <c r="W91" s="2"/>
      <c r="X91" s="7">
        <f t="shared" si="76"/>
        <v>-765.08999999999992</v>
      </c>
      <c r="Y91" s="2"/>
      <c r="Z91" s="6">
        <f t="shared" si="77"/>
        <v>-0.71105018587360591</v>
      </c>
    </row>
    <row r="92" spans="1:26" s="24" customFormat="1" hidden="1" outlineLevel="2" x14ac:dyDescent="0.35">
      <c r="A92" s="29"/>
      <c r="B92" s="11" t="str">
        <f>CONCATENATE("          ", "6235", " - ", "COVID-19 EXPENSES")</f>
        <v xml:space="preserve">          6235 - COVID-19 EXPENSES</v>
      </c>
      <c r="C92" s="11"/>
      <c r="D92" s="7"/>
      <c r="E92" s="2"/>
      <c r="F92" s="6">
        <f t="shared" si="70"/>
        <v>0</v>
      </c>
      <c r="G92" s="2"/>
      <c r="H92" s="7">
        <v>0</v>
      </c>
      <c r="I92" s="2"/>
      <c r="J92" s="6">
        <f t="shared" si="71"/>
        <v>0</v>
      </c>
      <c r="K92" s="2"/>
      <c r="L92" s="7">
        <f t="shared" si="72"/>
        <v>0</v>
      </c>
      <c r="M92" s="2"/>
      <c r="N92" s="6">
        <f t="shared" si="73"/>
        <v>0</v>
      </c>
      <c r="O92" s="11"/>
      <c r="P92" s="7">
        <v>6881.86</v>
      </c>
      <c r="Q92" s="2"/>
      <c r="R92" s="6">
        <f t="shared" si="74"/>
        <v>2.4908332792230235E-2</v>
      </c>
      <c r="S92" s="2"/>
      <c r="T92" s="7">
        <v>0</v>
      </c>
      <c r="U92" s="2"/>
      <c r="V92" s="6">
        <f t="shared" si="75"/>
        <v>0</v>
      </c>
      <c r="W92" s="2"/>
      <c r="X92" s="7">
        <f t="shared" si="76"/>
        <v>6881.86</v>
      </c>
      <c r="Y92" s="2"/>
      <c r="Z92" s="6">
        <f t="shared" si="77"/>
        <v>0</v>
      </c>
    </row>
    <row r="93" spans="1:26" s="24" customFormat="1" hidden="1" outlineLevel="2" x14ac:dyDescent="0.35">
      <c r="A93" s="29"/>
      <c r="B93" s="11" t="str">
        <f>CONCATENATE("          ", "6237", " - ", "JANITORIAL SUPPLIES")</f>
        <v xml:space="preserve">          6237 - JANITORIAL SUPPLIES</v>
      </c>
      <c r="C93" s="11"/>
      <c r="D93" s="7"/>
      <c r="E93" s="2"/>
      <c r="F93" s="6">
        <f t="shared" si="70"/>
        <v>0</v>
      </c>
      <c r="G93" s="2"/>
      <c r="H93" s="7">
        <v>820</v>
      </c>
      <c r="I93" s="2"/>
      <c r="J93" s="6">
        <f t="shared" si="71"/>
        <v>3.4781133355955209E-2</v>
      </c>
      <c r="K93" s="2"/>
      <c r="L93" s="7">
        <f t="shared" si="72"/>
        <v>-820</v>
      </c>
      <c r="M93" s="2"/>
      <c r="N93" s="6">
        <f t="shared" si="73"/>
        <v>-1</v>
      </c>
      <c r="O93" s="11"/>
      <c r="P93" s="7">
        <v>358.91</v>
      </c>
      <c r="Q93" s="2"/>
      <c r="R93" s="6">
        <f t="shared" si="74"/>
        <v>1.2990455665269787E-3</v>
      </c>
      <c r="S93" s="2"/>
      <c r="T93" s="7">
        <v>6529</v>
      </c>
      <c r="U93" s="2"/>
      <c r="V93" s="6">
        <f t="shared" si="75"/>
        <v>5.7925368632113138E-2</v>
      </c>
      <c r="W93" s="2"/>
      <c r="X93" s="7">
        <f t="shared" si="76"/>
        <v>-6170.09</v>
      </c>
      <c r="Y93" s="2"/>
      <c r="Z93" s="6">
        <f t="shared" si="77"/>
        <v>-0.94502833512023288</v>
      </c>
    </row>
    <row r="94" spans="1:26" s="24" customFormat="1" hidden="1" outlineLevel="2" x14ac:dyDescent="0.35">
      <c r="A94" s="29"/>
      <c r="B94" s="11" t="str">
        <f>CONCATENATE("          ", "6239", " - ", "KITCHEN SUPPLIES")</f>
        <v xml:space="preserve">          6239 - KITCHEN SUPPLIES</v>
      </c>
      <c r="C94" s="11"/>
      <c r="D94" s="7"/>
      <c r="E94" s="2"/>
      <c r="F94" s="6">
        <f t="shared" si="70"/>
        <v>0</v>
      </c>
      <c r="G94" s="2"/>
      <c r="H94" s="7">
        <v>0</v>
      </c>
      <c r="I94" s="2"/>
      <c r="J94" s="6">
        <f t="shared" si="71"/>
        <v>0</v>
      </c>
      <c r="K94" s="2"/>
      <c r="L94" s="7">
        <f t="shared" si="72"/>
        <v>0</v>
      </c>
      <c r="M94" s="2"/>
      <c r="N94" s="6">
        <f t="shared" si="73"/>
        <v>0</v>
      </c>
      <c r="O94" s="11"/>
      <c r="P94" s="7">
        <v>19.829999999999998</v>
      </c>
      <c r="Q94" s="2"/>
      <c r="R94" s="6">
        <f t="shared" si="74"/>
        <v>7.1773072871276876E-5</v>
      </c>
      <c r="S94" s="2"/>
      <c r="T94" s="7">
        <v>232</v>
      </c>
      <c r="U94" s="2"/>
      <c r="V94" s="6">
        <f t="shared" si="75"/>
        <v>2.0583068651631562E-3</v>
      </c>
      <c r="W94" s="2"/>
      <c r="X94" s="7">
        <f t="shared" si="76"/>
        <v>-212.17000000000002</v>
      </c>
      <c r="Y94" s="2"/>
      <c r="Z94" s="6">
        <f t="shared" si="77"/>
        <v>-0.91452586206896558</v>
      </c>
    </row>
    <row r="95" spans="1:26" s="24" customFormat="1" hidden="1" outlineLevel="2" x14ac:dyDescent="0.35">
      <c r="A95" s="29"/>
      <c r="B95" s="11" t="str">
        <f>CONCATENATE("          ", "6241", " - ", "OFFICE EXPENSE")</f>
        <v xml:space="preserve">          6241 - OFFICE EXPENSE</v>
      </c>
      <c r="C95" s="11"/>
      <c r="D95" s="7">
        <v>51.24</v>
      </c>
      <c r="E95" s="2"/>
      <c r="F95" s="6">
        <f t="shared" si="70"/>
        <v>6.2431875054372017E-4</v>
      </c>
      <c r="G95" s="2"/>
      <c r="H95" s="7">
        <v>25</v>
      </c>
      <c r="I95" s="2"/>
      <c r="J95" s="6">
        <f t="shared" si="71"/>
        <v>1.0604004071937563E-3</v>
      </c>
      <c r="K95" s="2"/>
      <c r="L95" s="7">
        <f t="shared" si="72"/>
        <v>26.240000000000002</v>
      </c>
      <c r="M95" s="2"/>
      <c r="N95" s="6">
        <f t="shared" si="73"/>
        <v>1.0496000000000001</v>
      </c>
      <c r="O95" s="11"/>
      <c r="P95" s="7">
        <v>-29066.59</v>
      </c>
      <c r="Q95" s="2"/>
      <c r="R95" s="6">
        <f t="shared" si="74"/>
        <v>-0.1052041594649283</v>
      </c>
      <c r="S95" s="2"/>
      <c r="T95" s="7">
        <v>5437</v>
      </c>
      <c r="U95" s="2"/>
      <c r="V95" s="6">
        <f t="shared" si="75"/>
        <v>4.8237131146086555E-2</v>
      </c>
      <c r="W95" s="2"/>
      <c r="X95" s="7">
        <f t="shared" si="76"/>
        <v>-34503.589999999997</v>
      </c>
      <c r="Y95" s="2"/>
      <c r="Z95" s="6">
        <f t="shared" si="77"/>
        <v>-6.3460713628839427</v>
      </c>
    </row>
    <row r="96" spans="1:26" s="24" customFormat="1" hidden="1" outlineLevel="2" x14ac:dyDescent="0.35">
      <c r="A96" s="29"/>
      <c r="B96" s="11" t="str">
        <f>CONCATENATE("          ", "6243", " - ", "PAPER SUPPLIES")</f>
        <v xml:space="preserve">          6243 - PAPER SUPPLIES</v>
      </c>
      <c r="C96" s="11"/>
      <c r="D96" s="7">
        <v>65.489999999999995</v>
      </c>
      <c r="E96" s="2"/>
      <c r="F96" s="6">
        <f t="shared" si="70"/>
        <v>7.9794369580617154E-4</v>
      </c>
      <c r="G96" s="2"/>
      <c r="H96" s="7">
        <v>842</v>
      </c>
      <c r="I96" s="2"/>
      <c r="J96" s="6">
        <f t="shared" si="71"/>
        <v>3.5714285714285712E-2</v>
      </c>
      <c r="K96" s="2"/>
      <c r="L96" s="7">
        <f t="shared" si="72"/>
        <v>-776.51</v>
      </c>
      <c r="M96" s="2"/>
      <c r="N96" s="6">
        <f t="shared" si="73"/>
        <v>-0.92222090261282663</v>
      </c>
      <c r="O96" s="11"/>
      <c r="P96" s="7">
        <v>65.489999999999995</v>
      </c>
      <c r="Q96" s="2"/>
      <c r="R96" s="6">
        <f t="shared" si="74"/>
        <v>2.3703573082904303E-4</v>
      </c>
      <c r="S96" s="2"/>
      <c r="T96" s="7">
        <v>3990</v>
      </c>
      <c r="U96" s="2"/>
      <c r="V96" s="6">
        <f t="shared" si="75"/>
        <v>3.5399329275866351E-2</v>
      </c>
      <c r="W96" s="2"/>
      <c r="X96" s="7">
        <f t="shared" si="76"/>
        <v>-3924.51</v>
      </c>
      <c r="Y96" s="2"/>
      <c r="Z96" s="6">
        <f t="shared" si="77"/>
        <v>-0.98358646616541356</v>
      </c>
    </row>
    <row r="97" spans="1:26" s="24" customFormat="1" hidden="1" outlineLevel="2" x14ac:dyDescent="0.35">
      <c r="A97" s="29"/>
      <c r="B97" s="11" t="str">
        <f>CONCATENATE("          ", "6244", " - ", "SAFETY SUPPLY EXPENSE")</f>
        <v xml:space="preserve">          6244 - SAFETY SUPPLY EXPENSE</v>
      </c>
      <c r="C97" s="11"/>
      <c r="D97" s="7"/>
      <c r="E97" s="2"/>
      <c r="F97" s="6">
        <f t="shared" si="70"/>
        <v>0</v>
      </c>
      <c r="G97" s="2"/>
      <c r="H97" s="7">
        <v>0</v>
      </c>
      <c r="I97" s="2"/>
      <c r="J97" s="6">
        <f t="shared" si="71"/>
        <v>0</v>
      </c>
      <c r="K97" s="2"/>
      <c r="L97" s="7">
        <f t="shared" si="72"/>
        <v>0</v>
      </c>
      <c r="M97" s="2"/>
      <c r="N97" s="6">
        <f t="shared" si="73"/>
        <v>0</v>
      </c>
      <c r="O97" s="11"/>
      <c r="P97" s="7"/>
      <c r="Q97" s="2"/>
      <c r="R97" s="6">
        <f t="shared" si="74"/>
        <v>0</v>
      </c>
      <c r="S97" s="2"/>
      <c r="T97" s="7">
        <v>0</v>
      </c>
      <c r="U97" s="2"/>
      <c r="V97" s="6">
        <f t="shared" si="75"/>
        <v>0</v>
      </c>
      <c r="W97" s="2"/>
      <c r="X97" s="7">
        <f t="shared" si="76"/>
        <v>0</v>
      </c>
      <c r="Y97" s="2"/>
      <c r="Z97" s="6">
        <f t="shared" si="77"/>
        <v>0</v>
      </c>
    </row>
    <row r="98" spans="1:26" s="24" customFormat="1" hidden="1" outlineLevel="2" x14ac:dyDescent="0.35">
      <c r="A98" s="29"/>
      <c r="B98" s="11" t="str">
        <f>CONCATENATE("          ", "6245", " - ", "PRINTING")</f>
        <v xml:space="preserve">          6245 - PRINTING</v>
      </c>
      <c r="C98" s="11"/>
      <c r="D98" s="7"/>
      <c r="E98" s="2"/>
      <c r="F98" s="6">
        <f t="shared" si="70"/>
        <v>0</v>
      </c>
      <c r="G98" s="2"/>
      <c r="H98" s="7">
        <v>0</v>
      </c>
      <c r="I98" s="2"/>
      <c r="J98" s="6">
        <f t="shared" si="71"/>
        <v>0</v>
      </c>
      <c r="K98" s="2"/>
      <c r="L98" s="7">
        <f t="shared" si="72"/>
        <v>0</v>
      </c>
      <c r="M98" s="2"/>
      <c r="N98" s="6">
        <f t="shared" si="73"/>
        <v>0</v>
      </c>
      <c r="O98" s="11"/>
      <c r="P98" s="7"/>
      <c r="Q98" s="2"/>
      <c r="R98" s="6">
        <f t="shared" si="74"/>
        <v>0</v>
      </c>
      <c r="S98" s="2"/>
      <c r="T98" s="7">
        <v>0</v>
      </c>
      <c r="U98" s="2"/>
      <c r="V98" s="6">
        <f t="shared" si="75"/>
        <v>0</v>
      </c>
      <c r="W98" s="2"/>
      <c r="X98" s="7">
        <f t="shared" si="76"/>
        <v>0</v>
      </c>
      <c r="Y98" s="2"/>
      <c r="Z98" s="6">
        <f t="shared" si="77"/>
        <v>0</v>
      </c>
    </row>
    <row r="99" spans="1:26" s="24" customFormat="1" hidden="1" outlineLevel="2" x14ac:dyDescent="0.35">
      <c r="A99" s="29"/>
      <c r="B99" s="11" t="str">
        <f>CONCATENATE("          ", "6246", " - ", "REPLACEMENTS")</f>
        <v xml:space="preserve">          6246 - REPLACEMENTS</v>
      </c>
      <c r="C99" s="11"/>
      <c r="D99" s="7"/>
      <c r="E99" s="2"/>
      <c r="F99" s="6">
        <f t="shared" si="70"/>
        <v>0</v>
      </c>
      <c r="G99" s="2"/>
      <c r="H99" s="7">
        <v>0</v>
      </c>
      <c r="I99" s="2"/>
      <c r="J99" s="6">
        <f t="shared" si="71"/>
        <v>0</v>
      </c>
      <c r="K99" s="2"/>
      <c r="L99" s="7">
        <f t="shared" si="72"/>
        <v>0</v>
      </c>
      <c r="M99" s="2"/>
      <c r="N99" s="6">
        <f t="shared" si="73"/>
        <v>0</v>
      </c>
      <c r="O99" s="11"/>
      <c r="P99" s="7"/>
      <c r="Q99" s="2"/>
      <c r="R99" s="6">
        <f t="shared" si="74"/>
        <v>0</v>
      </c>
      <c r="S99" s="2"/>
      <c r="T99" s="7">
        <v>0</v>
      </c>
      <c r="U99" s="2"/>
      <c r="V99" s="6">
        <f t="shared" si="75"/>
        <v>0</v>
      </c>
      <c r="W99" s="2"/>
      <c r="X99" s="7">
        <f t="shared" si="76"/>
        <v>0</v>
      </c>
      <c r="Y99" s="2"/>
      <c r="Z99" s="6">
        <f t="shared" si="77"/>
        <v>0</v>
      </c>
    </row>
    <row r="100" spans="1:26" s="24" customFormat="1" hidden="1" outlineLevel="2" x14ac:dyDescent="0.35">
      <c r="A100" s="29"/>
      <c r="B100" s="11" t="str">
        <f>CONCATENATE("          ", "6247", " - ", "STORE SUPPLIES")</f>
        <v xml:space="preserve">          6247 - STORE SUPPLIES</v>
      </c>
      <c r="C100" s="11"/>
      <c r="D100" s="7"/>
      <c r="E100" s="2"/>
      <c r="F100" s="6">
        <f t="shared" si="70"/>
        <v>0</v>
      </c>
      <c r="G100" s="2"/>
      <c r="H100" s="7">
        <v>0</v>
      </c>
      <c r="I100" s="2"/>
      <c r="J100" s="6">
        <f t="shared" si="71"/>
        <v>0</v>
      </c>
      <c r="K100" s="2"/>
      <c r="L100" s="7">
        <f t="shared" si="72"/>
        <v>0</v>
      </c>
      <c r="M100" s="2"/>
      <c r="N100" s="6">
        <f t="shared" si="73"/>
        <v>0</v>
      </c>
      <c r="O100" s="11"/>
      <c r="P100" s="7"/>
      <c r="Q100" s="2"/>
      <c r="R100" s="6">
        <f t="shared" si="74"/>
        <v>0</v>
      </c>
      <c r="S100" s="2"/>
      <c r="T100" s="7">
        <v>411</v>
      </c>
      <c r="U100" s="2"/>
      <c r="V100" s="6">
        <f t="shared" si="75"/>
        <v>3.6463970757847296E-3</v>
      </c>
      <c r="W100" s="2"/>
      <c r="X100" s="7">
        <f t="shared" si="76"/>
        <v>-411</v>
      </c>
      <c r="Y100" s="2"/>
      <c r="Z100" s="6">
        <f t="shared" si="77"/>
        <v>-1</v>
      </c>
    </row>
    <row r="101" spans="1:26" s="24" customFormat="1" hidden="1" outlineLevel="2" x14ac:dyDescent="0.35">
      <c r="A101" s="29"/>
      <c r="B101" s="11" t="str">
        <f>CONCATENATE("          ", "6248", " - ", "UNIFORMS")</f>
        <v xml:space="preserve">          6248 - UNIFORMS</v>
      </c>
      <c r="C101" s="11"/>
      <c r="D101" s="7"/>
      <c r="E101" s="2"/>
      <c r="F101" s="6">
        <f t="shared" si="70"/>
        <v>0</v>
      </c>
      <c r="G101" s="2"/>
      <c r="H101" s="7">
        <v>15</v>
      </c>
      <c r="I101" s="2"/>
      <c r="J101" s="6">
        <f t="shared" si="71"/>
        <v>6.362402443162538E-4</v>
      </c>
      <c r="K101" s="2"/>
      <c r="L101" s="7">
        <f t="shared" si="72"/>
        <v>-15</v>
      </c>
      <c r="M101" s="2"/>
      <c r="N101" s="6">
        <f t="shared" si="73"/>
        <v>-1</v>
      </c>
      <c r="O101" s="11"/>
      <c r="P101" s="7"/>
      <c r="Q101" s="2"/>
      <c r="R101" s="6">
        <f t="shared" si="74"/>
        <v>0</v>
      </c>
      <c r="S101" s="2"/>
      <c r="T101" s="7">
        <v>15</v>
      </c>
      <c r="U101" s="2"/>
      <c r="V101" s="6">
        <f t="shared" si="75"/>
        <v>1.3308018524761786E-4</v>
      </c>
      <c r="W101" s="2"/>
      <c r="X101" s="7">
        <f t="shared" si="76"/>
        <v>-15</v>
      </c>
      <c r="Y101" s="2"/>
      <c r="Z101" s="6">
        <f t="shared" si="77"/>
        <v>-1</v>
      </c>
    </row>
    <row r="102" spans="1:26" s="28" customFormat="1" outlineLevel="1" collapsed="1" x14ac:dyDescent="0.35">
      <c r="A102" s="27"/>
      <c r="B102" s="14" t="str">
        <f>CONCATENATE("     ","Telephone/Data Lines                              ")</f>
        <v xml:space="preserve">     Telephone/Data Lines                              </v>
      </c>
      <c r="C102" s="14"/>
      <c r="D102" s="1">
        <f>SUM(OSRRefD22_18x_0)</f>
        <v>248</v>
      </c>
      <c r="E102" s="1"/>
      <c r="F102" s="5">
        <f t="shared" ref="F102:F104" si="78">IF(D$12=0,0,D102/D$12)</f>
        <v>3.0216832579009097E-3</v>
      </c>
      <c r="G102" s="1"/>
      <c r="H102" s="1">
        <f>SUM(OSRRefH22_18x_0)</f>
        <v>385</v>
      </c>
      <c r="I102" s="1"/>
      <c r="J102" s="5">
        <f t="shared" ref="J102:J104" si="79">IF(H$12=0,0,H102/H$12)</f>
        <v>1.6330166270783847E-2</v>
      </c>
      <c r="K102" s="1"/>
      <c r="L102" s="1">
        <f t="shared" ref="L102:L104" si="80">+D102-H102</f>
        <v>-137</v>
      </c>
      <c r="M102" s="1"/>
      <c r="N102" s="5">
        <f t="shared" ref="N102:N104" si="81">IF(H102=0,0,L102/H102)</f>
        <v>-0.35584415584415585</v>
      </c>
      <c r="O102" s="14"/>
      <c r="P102" s="1">
        <f>SUM(OSRRefP22_18x_0)</f>
        <v>4899.2700000000004</v>
      </c>
      <c r="Q102" s="1"/>
      <c r="R102" s="5">
        <f t="shared" ref="R102:R104" si="82">IF(P$12=0,0,P102/P$12)</f>
        <v>1.7732509466770588E-2</v>
      </c>
      <c r="S102" s="1"/>
      <c r="T102" s="1">
        <f>SUM(OSRRefT22_18x_0)</f>
        <v>2437</v>
      </c>
      <c r="U102" s="1"/>
      <c r="V102" s="5">
        <f t="shared" ref="V102:V104" si="83">IF(T$12=0,0,T102/T$12)</f>
        <v>2.1621094096562984E-2</v>
      </c>
      <c r="W102" s="1"/>
      <c r="X102" s="1">
        <f t="shared" ref="X102:X104" si="84">+P102-T102</f>
        <v>2462.2700000000004</v>
      </c>
      <c r="Y102" s="1"/>
      <c r="Z102" s="5">
        <f t="shared" ref="Z102:Z104" si="85">IF(T102=0,0,X102/T102)</f>
        <v>1.0103693065244155</v>
      </c>
    </row>
    <row r="103" spans="1:26" s="24" customFormat="1" hidden="1" outlineLevel="2" x14ac:dyDescent="0.35">
      <c r="A103" s="29"/>
      <c r="B103" s="11" t="str">
        <f>CONCATENATE("          ", "6303", " - ", "DATA PHONE LINES")</f>
        <v xml:space="preserve">          6303 - DATA PHONE LINES</v>
      </c>
      <c r="C103" s="11"/>
      <c r="D103" s="7"/>
      <c r="E103" s="2"/>
      <c r="F103" s="6">
        <f t="shared" si="78"/>
        <v>0</v>
      </c>
      <c r="G103" s="2"/>
      <c r="H103" s="7">
        <v>135</v>
      </c>
      <c r="I103" s="2"/>
      <c r="J103" s="6">
        <f t="shared" si="79"/>
        <v>5.726162198846284E-3</v>
      </c>
      <c r="K103" s="2"/>
      <c r="L103" s="7">
        <f t="shared" si="80"/>
        <v>-135</v>
      </c>
      <c r="M103" s="2"/>
      <c r="N103" s="6">
        <f t="shared" si="81"/>
        <v>-1</v>
      </c>
      <c r="O103" s="11"/>
      <c r="P103" s="7"/>
      <c r="Q103" s="2"/>
      <c r="R103" s="6">
        <f t="shared" si="82"/>
        <v>0</v>
      </c>
      <c r="S103" s="2"/>
      <c r="T103" s="7">
        <v>987</v>
      </c>
      <c r="U103" s="2"/>
      <c r="V103" s="6">
        <f t="shared" si="83"/>
        <v>8.7566761892932561E-3</v>
      </c>
      <c r="W103" s="2"/>
      <c r="X103" s="7">
        <f t="shared" si="84"/>
        <v>-987</v>
      </c>
      <c r="Y103" s="2"/>
      <c r="Z103" s="6">
        <f t="shared" si="85"/>
        <v>-1</v>
      </c>
    </row>
    <row r="104" spans="1:26" s="24" customFormat="1" hidden="1" outlineLevel="2" x14ac:dyDescent="0.35">
      <c r="A104" s="29"/>
      <c r="B104" s="11" t="str">
        <f>CONCATENATE("          ", "6309", " - ", "TELEPHONE")</f>
        <v xml:space="preserve">          6309 - TELEPHONE</v>
      </c>
      <c r="C104" s="11"/>
      <c r="D104" s="7">
        <v>248</v>
      </c>
      <c r="E104" s="2"/>
      <c r="F104" s="6">
        <f t="shared" si="78"/>
        <v>3.0216832579009097E-3</v>
      </c>
      <c r="G104" s="2"/>
      <c r="H104" s="7">
        <v>250</v>
      </c>
      <c r="I104" s="2"/>
      <c r="J104" s="6">
        <f t="shared" si="79"/>
        <v>1.0604004071937564E-2</v>
      </c>
      <c r="K104" s="2"/>
      <c r="L104" s="7">
        <f t="shared" si="80"/>
        <v>-2</v>
      </c>
      <c r="M104" s="2"/>
      <c r="N104" s="6">
        <f t="shared" si="81"/>
        <v>-8.0000000000000002E-3</v>
      </c>
      <c r="O104" s="11"/>
      <c r="P104" s="7">
        <v>4899.2700000000004</v>
      </c>
      <c r="Q104" s="2"/>
      <c r="R104" s="6">
        <f t="shared" si="82"/>
        <v>1.7732509466770588E-2</v>
      </c>
      <c r="S104" s="2"/>
      <c r="T104" s="7">
        <v>1450</v>
      </c>
      <c r="U104" s="2"/>
      <c r="V104" s="6">
        <f t="shared" si="83"/>
        <v>1.2864417907269728E-2</v>
      </c>
      <c r="W104" s="2"/>
      <c r="X104" s="7">
        <f t="shared" si="84"/>
        <v>3449.2700000000004</v>
      </c>
      <c r="Y104" s="2"/>
      <c r="Z104" s="6">
        <f t="shared" si="85"/>
        <v>2.3788068965517244</v>
      </c>
    </row>
    <row r="105" spans="1:26" s="28" customFormat="1" outlineLevel="1" collapsed="1" x14ac:dyDescent="0.35">
      <c r="A105" s="27"/>
      <c r="B105" s="14" t="str">
        <f>CONCATENATE("     ","Training                                          ")</f>
        <v xml:space="preserve">     Training                                          </v>
      </c>
      <c r="C105" s="14"/>
      <c r="D105" s="1">
        <f>SUM(OSRRefD22_19x_0)</f>
        <v>0</v>
      </c>
      <c r="E105" s="1"/>
      <c r="F105" s="5">
        <f t="shared" ref="F105:F110" si="86">IF(D$12=0,0,D105/D$12)</f>
        <v>0</v>
      </c>
      <c r="G105" s="1"/>
      <c r="H105" s="1">
        <f>SUM(OSRRefH22_19x_0)</f>
        <v>0</v>
      </c>
      <c r="I105" s="1"/>
      <c r="J105" s="5">
        <f t="shared" ref="J105:J110" si="87">IF(H$12=0,0,H105/H$12)</f>
        <v>0</v>
      </c>
      <c r="K105" s="1"/>
      <c r="L105" s="1">
        <f t="shared" ref="L105:L110" si="88">+D105-H105</f>
        <v>0</v>
      </c>
      <c r="M105" s="1"/>
      <c r="N105" s="5">
        <f t="shared" ref="N105:N110" si="89">IF(H105=0,0,L105/H105)</f>
        <v>0</v>
      </c>
      <c r="O105" s="14"/>
      <c r="P105" s="1">
        <f>SUM(OSRRefP22_19x_0)</f>
        <v>400</v>
      </c>
      <c r="Q105" s="1"/>
      <c r="R105" s="5">
        <f t="shared" ref="R105:R110" si="90">IF(P$12=0,0,P105/P$12)</f>
        <v>1.4477674810141582E-3</v>
      </c>
      <c r="S105" s="1"/>
      <c r="T105" s="1">
        <f>SUM(OSRRefT22_19x_0)</f>
        <v>0</v>
      </c>
      <c r="U105" s="1"/>
      <c r="V105" s="5">
        <f t="shared" ref="V105:V110" si="91">IF(T$12=0,0,T105/T$12)</f>
        <v>0</v>
      </c>
      <c r="W105" s="1"/>
      <c r="X105" s="1">
        <f t="shared" ref="X105:X110" si="92">+P105-T105</f>
        <v>400</v>
      </c>
      <c r="Y105" s="1"/>
      <c r="Z105" s="5">
        <f t="shared" ref="Z105:Z110" si="93">IF(T105=0,0,X105/T105)</f>
        <v>0</v>
      </c>
    </row>
    <row r="106" spans="1:26" s="24" customFormat="1" hidden="1" outlineLevel="2" x14ac:dyDescent="0.35">
      <c r="A106" s="29"/>
      <c r="B106" s="11" t="str">
        <f>CONCATENATE("          ", "6376", " - ", "TRAINING")</f>
        <v xml:space="preserve">          6376 - TRAINING</v>
      </c>
      <c r="C106" s="11"/>
      <c r="D106" s="7"/>
      <c r="E106" s="2"/>
      <c r="F106" s="6">
        <f t="shared" si="86"/>
        <v>0</v>
      </c>
      <c r="G106" s="2"/>
      <c r="H106" s="7">
        <v>0</v>
      </c>
      <c r="I106" s="2"/>
      <c r="J106" s="6">
        <f t="shared" si="87"/>
        <v>0</v>
      </c>
      <c r="K106" s="2"/>
      <c r="L106" s="7">
        <f t="shared" si="88"/>
        <v>0</v>
      </c>
      <c r="M106" s="2"/>
      <c r="N106" s="6">
        <f t="shared" si="89"/>
        <v>0</v>
      </c>
      <c r="O106" s="11"/>
      <c r="P106" s="7">
        <v>400</v>
      </c>
      <c r="Q106" s="2"/>
      <c r="R106" s="6">
        <f t="shared" si="90"/>
        <v>1.4477674810141582E-3</v>
      </c>
      <c r="S106" s="2"/>
      <c r="T106" s="7">
        <v>0</v>
      </c>
      <c r="U106" s="2"/>
      <c r="V106" s="6">
        <f t="shared" si="91"/>
        <v>0</v>
      </c>
      <c r="W106" s="2"/>
      <c r="X106" s="7">
        <f t="shared" si="92"/>
        <v>400</v>
      </c>
      <c r="Y106" s="2"/>
      <c r="Z106" s="6">
        <f t="shared" si="93"/>
        <v>0</v>
      </c>
    </row>
    <row r="107" spans="1:26" s="28" customFormat="1" outlineLevel="1" collapsed="1" x14ac:dyDescent="0.35">
      <c r="A107" s="27"/>
      <c r="B107" s="14" t="str">
        <f>CONCATENATE("     ","Travel                                            ")</f>
        <v xml:space="preserve">     Travel                                            </v>
      </c>
      <c r="C107" s="14"/>
      <c r="D107" s="1">
        <f>SUM(OSRRefD22_20x_0)</f>
        <v>0</v>
      </c>
      <c r="E107" s="1"/>
      <c r="F107" s="5">
        <f t="shared" si="86"/>
        <v>0</v>
      </c>
      <c r="G107" s="1"/>
      <c r="H107" s="1">
        <f>SUM(OSRRefH22_20x_0)</f>
        <v>0</v>
      </c>
      <c r="I107" s="1"/>
      <c r="J107" s="5">
        <f t="shared" si="87"/>
        <v>0</v>
      </c>
      <c r="K107" s="1"/>
      <c r="L107" s="1">
        <f t="shared" si="88"/>
        <v>0</v>
      </c>
      <c r="M107" s="1"/>
      <c r="N107" s="5">
        <f t="shared" si="89"/>
        <v>0</v>
      </c>
      <c r="O107" s="14"/>
      <c r="P107" s="1">
        <f>SUM(OSRRefP22_20x_0)</f>
        <v>332.21</v>
      </c>
      <c r="Q107" s="1"/>
      <c r="R107" s="5">
        <f t="shared" si="90"/>
        <v>1.2024070871692837E-3</v>
      </c>
      <c r="S107" s="1"/>
      <c r="T107" s="1">
        <f>SUM(OSRRefT22_20x_0)</f>
        <v>0</v>
      </c>
      <c r="U107" s="1"/>
      <c r="V107" s="5">
        <f t="shared" si="91"/>
        <v>0</v>
      </c>
      <c r="W107" s="1"/>
      <c r="X107" s="1">
        <f t="shared" si="92"/>
        <v>332.21</v>
      </c>
      <c r="Y107" s="1"/>
      <c r="Z107" s="5">
        <f t="shared" si="93"/>
        <v>0</v>
      </c>
    </row>
    <row r="108" spans="1:26" s="24" customFormat="1" hidden="1" outlineLevel="2" x14ac:dyDescent="0.35">
      <c r="A108" s="29"/>
      <c r="B108" s="11" t="str">
        <f>CONCATENATE("          ", "6292", " - ", "TRAVEL/CONFERENCE")</f>
        <v xml:space="preserve">          6292 - TRAVEL/CONFERENCE</v>
      </c>
      <c r="C108" s="11"/>
      <c r="D108" s="7"/>
      <c r="E108" s="2"/>
      <c r="F108" s="6">
        <f t="shared" si="86"/>
        <v>0</v>
      </c>
      <c r="G108" s="2"/>
      <c r="H108" s="7"/>
      <c r="I108" s="2"/>
      <c r="J108" s="6">
        <f t="shared" si="87"/>
        <v>0</v>
      </c>
      <c r="K108" s="2"/>
      <c r="L108" s="7">
        <f t="shared" si="88"/>
        <v>0</v>
      </c>
      <c r="M108" s="2"/>
      <c r="N108" s="6">
        <f t="shared" si="89"/>
        <v>0</v>
      </c>
      <c r="O108" s="11"/>
      <c r="P108" s="7"/>
      <c r="Q108" s="2"/>
      <c r="R108" s="6">
        <f t="shared" si="90"/>
        <v>0</v>
      </c>
      <c r="S108" s="2"/>
      <c r="T108" s="7">
        <v>0</v>
      </c>
      <c r="U108" s="2"/>
      <c r="V108" s="6">
        <f t="shared" si="91"/>
        <v>0</v>
      </c>
      <c r="W108" s="2"/>
      <c r="X108" s="7">
        <f t="shared" si="92"/>
        <v>0</v>
      </c>
      <c r="Y108" s="2"/>
      <c r="Z108" s="6">
        <f t="shared" si="93"/>
        <v>0</v>
      </c>
    </row>
    <row r="109" spans="1:26" s="24" customFormat="1" hidden="1" outlineLevel="2" x14ac:dyDescent="0.35">
      <c r="A109" s="29"/>
      <c r="B109" s="11" t="str">
        <f>CONCATENATE("          ", "6294", " - ", "TRAVEL OPERATIONAL")</f>
        <v xml:space="preserve">          6294 - TRAVEL OPERATIONAL</v>
      </c>
      <c r="C109" s="11"/>
      <c r="D109" s="7"/>
      <c r="E109" s="2"/>
      <c r="F109" s="6">
        <f t="shared" si="86"/>
        <v>0</v>
      </c>
      <c r="G109" s="2"/>
      <c r="H109" s="7"/>
      <c r="I109" s="2"/>
      <c r="J109" s="6">
        <f t="shared" si="87"/>
        <v>0</v>
      </c>
      <c r="K109" s="2"/>
      <c r="L109" s="7">
        <f t="shared" si="88"/>
        <v>0</v>
      </c>
      <c r="M109" s="2"/>
      <c r="N109" s="6">
        <f t="shared" si="89"/>
        <v>0</v>
      </c>
      <c r="O109" s="11"/>
      <c r="P109" s="7"/>
      <c r="Q109" s="2"/>
      <c r="R109" s="6">
        <f t="shared" si="90"/>
        <v>0</v>
      </c>
      <c r="S109" s="2"/>
      <c r="T109" s="7">
        <v>0</v>
      </c>
      <c r="U109" s="2"/>
      <c r="V109" s="6">
        <f t="shared" si="91"/>
        <v>0</v>
      </c>
      <c r="W109" s="2"/>
      <c r="X109" s="7">
        <f t="shared" si="92"/>
        <v>0</v>
      </c>
      <c r="Y109" s="2"/>
      <c r="Z109" s="6">
        <f t="shared" si="93"/>
        <v>0</v>
      </c>
    </row>
    <row r="110" spans="1:26" s="24" customFormat="1" hidden="1" outlineLevel="2" x14ac:dyDescent="0.35">
      <c r="A110" s="29"/>
      <c r="B110" s="11" t="str">
        <f>CONCATENATE("          ", "6298", " - ", "VEHICLE MILEAGE")</f>
        <v xml:space="preserve">          6298 - VEHICLE MILEAGE</v>
      </c>
      <c r="C110" s="11"/>
      <c r="D110" s="7"/>
      <c r="E110" s="2"/>
      <c r="F110" s="6">
        <f t="shared" si="86"/>
        <v>0</v>
      </c>
      <c r="G110" s="2"/>
      <c r="H110" s="7"/>
      <c r="I110" s="2"/>
      <c r="J110" s="6">
        <f t="shared" si="87"/>
        <v>0</v>
      </c>
      <c r="K110" s="2"/>
      <c r="L110" s="7">
        <f t="shared" si="88"/>
        <v>0</v>
      </c>
      <c r="M110" s="2"/>
      <c r="N110" s="6">
        <f t="shared" si="89"/>
        <v>0</v>
      </c>
      <c r="O110" s="11"/>
      <c r="P110" s="7">
        <v>332.21</v>
      </c>
      <c r="Q110" s="2"/>
      <c r="R110" s="6">
        <f t="shared" si="90"/>
        <v>1.2024070871692837E-3</v>
      </c>
      <c r="S110" s="2"/>
      <c r="T110" s="7"/>
      <c r="U110" s="2"/>
      <c r="V110" s="6">
        <f t="shared" si="91"/>
        <v>0</v>
      </c>
      <c r="W110" s="2"/>
      <c r="X110" s="7">
        <f t="shared" si="92"/>
        <v>332.21</v>
      </c>
      <c r="Y110" s="2"/>
      <c r="Z110" s="6">
        <f t="shared" si="93"/>
        <v>0</v>
      </c>
    </row>
    <row r="111" spans="1:26" s="28" customFormat="1" outlineLevel="1" collapsed="1" x14ac:dyDescent="0.35">
      <c r="A111" s="27"/>
      <c r="B111" s="14" t="str">
        <f>CONCATENATE("     ","Utilities                                         ")</f>
        <v xml:space="preserve">     Utilities                                         </v>
      </c>
      <c r="C111" s="14"/>
      <c r="D111" s="1">
        <f>SUM(OSRRefD22_21x_0)</f>
        <v>3660</v>
      </c>
      <c r="E111" s="1"/>
      <c r="F111" s="5">
        <f t="shared" ref="F111:F112" si="94">IF(D$12=0,0,D111/D$12)</f>
        <v>4.4594196467408587E-2</v>
      </c>
      <c r="G111" s="1"/>
      <c r="H111" s="1">
        <f>SUM(OSRRefH22_21x_0)</f>
        <v>3300</v>
      </c>
      <c r="I111" s="1"/>
      <c r="J111" s="5">
        <f t="shared" ref="J111:J112" si="95">IF(H$12=0,0,H111/H$12)</f>
        <v>0.13997285374957583</v>
      </c>
      <c r="K111" s="1"/>
      <c r="L111" s="1">
        <f t="shared" ref="L111:L112" si="96">+D111-H111</f>
        <v>360</v>
      </c>
      <c r="M111" s="1"/>
      <c r="N111" s="5">
        <f t="shared" ref="N111:N112" si="97">IF(H111=0,0,L111/H111)</f>
        <v>0.10909090909090909</v>
      </c>
      <c r="O111" s="14"/>
      <c r="P111" s="1">
        <f>SUM(OSRRefP22_21x_0)</f>
        <v>4652</v>
      </c>
      <c r="Q111" s="1"/>
      <c r="R111" s="5">
        <f t="shared" ref="R111:R112" si="98">IF(P$12=0,0,P111/P$12)</f>
        <v>1.6837535804194659E-2</v>
      </c>
      <c r="S111" s="1"/>
      <c r="T111" s="1">
        <f>SUM(OSRRefT22_21x_0)</f>
        <v>23100</v>
      </c>
      <c r="U111" s="1"/>
      <c r="V111" s="5">
        <f t="shared" ref="V111:V112" si="99">IF(T$12=0,0,T111/T$12)</f>
        <v>0.20494348528133152</v>
      </c>
      <c r="W111" s="1"/>
      <c r="X111" s="1">
        <f t="shared" ref="X111:X112" si="100">+P111-T111</f>
        <v>-18448</v>
      </c>
      <c r="Y111" s="1"/>
      <c r="Z111" s="5">
        <f t="shared" ref="Z111:Z112" si="101">IF(T111=0,0,X111/T111)</f>
        <v>-0.79861471861471867</v>
      </c>
    </row>
    <row r="112" spans="1:26" s="24" customFormat="1" hidden="1" outlineLevel="2" x14ac:dyDescent="0.35">
      <c r="A112" s="29"/>
      <c r="B112" s="11" t="str">
        <f>CONCATENATE("          ", "6274", " - ", "UTILITIES")</f>
        <v xml:space="preserve">          6274 - UTILITIES</v>
      </c>
      <c r="C112" s="11"/>
      <c r="D112" s="7">
        <v>3660</v>
      </c>
      <c r="E112" s="2"/>
      <c r="F112" s="6">
        <f t="shared" si="94"/>
        <v>4.4594196467408587E-2</v>
      </c>
      <c r="G112" s="2"/>
      <c r="H112" s="7">
        <v>3300</v>
      </c>
      <c r="I112" s="2"/>
      <c r="J112" s="6">
        <f t="shared" si="95"/>
        <v>0.13997285374957583</v>
      </c>
      <c r="K112" s="2"/>
      <c r="L112" s="7">
        <f t="shared" si="96"/>
        <v>360</v>
      </c>
      <c r="M112" s="2"/>
      <c r="N112" s="6">
        <f t="shared" si="97"/>
        <v>0.10909090909090909</v>
      </c>
      <c r="O112" s="11"/>
      <c r="P112" s="7">
        <v>4652</v>
      </c>
      <c r="Q112" s="2"/>
      <c r="R112" s="6">
        <f t="shared" si="98"/>
        <v>1.6837535804194659E-2</v>
      </c>
      <c r="S112" s="2"/>
      <c r="T112" s="7">
        <v>23100</v>
      </c>
      <c r="U112" s="2"/>
      <c r="V112" s="6">
        <f t="shared" si="99"/>
        <v>0.20494348528133152</v>
      </c>
      <c r="W112" s="2"/>
      <c r="X112" s="7">
        <f t="shared" si="100"/>
        <v>-18448</v>
      </c>
      <c r="Y112" s="2"/>
      <c r="Z112" s="6">
        <f t="shared" si="101"/>
        <v>-0.79861471861471867</v>
      </c>
    </row>
    <row r="113" spans="1:26" s="55" customFormat="1" x14ac:dyDescent="0.35">
      <c r="A113" s="36"/>
      <c r="B113" s="36"/>
      <c r="C113" s="36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6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collapsed="1" x14ac:dyDescent="0.35">
      <c r="A114" s="10"/>
      <c r="B114" s="25" t="s">
        <v>0</v>
      </c>
      <c r="C114" s="10"/>
      <c r="D114" s="4">
        <f>SUM(OSRRefD25x_0)</f>
        <v>976.87</v>
      </c>
      <c r="E114" s="4"/>
      <c r="F114" s="12">
        <f t="shared" ref="F114:F118" si="102">IF(D$12=0,0,D114/D$12)</f>
        <v>1.1902385984458313E-2</v>
      </c>
      <c r="G114" s="4"/>
      <c r="H114" s="4">
        <f>SUM(OSRRefH25x_0)</f>
        <v>6822</v>
      </c>
      <c r="I114" s="4"/>
      <c r="J114" s="12">
        <f t="shared" ref="J114:J118" si="103">IF(H$12=0,0,H114/H$12)</f>
        <v>0.28936206311503221</v>
      </c>
      <c r="K114" s="4"/>
      <c r="L114" s="4">
        <f t="shared" ref="L114:L118" si="104">+D114-H114</f>
        <v>-5845.13</v>
      </c>
      <c r="M114" s="4"/>
      <c r="N114" s="12">
        <f t="shared" ref="N114:N118" si="105">IF(H114=0,0,L114/H114)</f>
        <v>-0.85680592201700378</v>
      </c>
      <c r="O114" s="10"/>
      <c r="P114" s="4">
        <f>SUM(OSRRefP25x_0)</f>
        <v>16348.34</v>
      </c>
      <c r="Q114" s="4"/>
      <c r="R114" s="12">
        <f t="shared" ref="R114:R118" si="106">IF(P$12=0,0,P114/P$12)</f>
        <v>5.9171487551407505E-2</v>
      </c>
      <c r="S114" s="4"/>
      <c r="T114" s="4">
        <f>SUM(OSRRefT25x_0)</f>
        <v>34225</v>
      </c>
      <c r="U114" s="4"/>
      <c r="V114" s="12">
        <f t="shared" ref="V114:V118" si="107">IF(T$12=0,0,T114/T$12)</f>
        <v>0.30364462267331477</v>
      </c>
      <c r="W114" s="4"/>
      <c r="X114" s="4">
        <f t="shared" ref="X114:X118" si="108">+P114-T114</f>
        <v>-17876.66</v>
      </c>
      <c r="Y114" s="4"/>
      <c r="Z114" s="12">
        <f t="shared" ref="Z114:Z118" si="109">IF(T114=0,0,X114/T114)</f>
        <v>-0.52232753834916001</v>
      </c>
    </row>
    <row r="115" spans="1:26" s="24" customFormat="1" hidden="1" outlineLevel="1" x14ac:dyDescent="0.35">
      <c r="A115" s="51"/>
      <c r="B115" s="11" t="str">
        <f>CONCATENATE("          ", "9150", " - ", "MISC. INCOME")</f>
        <v xml:space="preserve">          9150 - MISC. INCOME</v>
      </c>
      <c r="C115" s="11"/>
      <c r="D115" s="2">
        <f t="shared" ref="D115:D116" si="110">0</f>
        <v>0</v>
      </c>
      <c r="E115" s="2"/>
      <c r="F115" s="22">
        <f t="shared" si="102"/>
        <v>0</v>
      </c>
      <c r="G115" s="2"/>
      <c r="H115" s="2">
        <v>2142</v>
      </c>
      <c r="I115" s="2"/>
      <c r="J115" s="22">
        <f t="shared" si="103"/>
        <v>9.0855106888361042E-2</v>
      </c>
      <c r="K115" s="2"/>
      <c r="L115" s="2">
        <f t="shared" si="104"/>
        <v>-2142</v>
      </c>
      <c r="M115" s="2"/>
      <c r="N115" s="22">
        <f t="shared" si="105"/>
        <v>-1</v>
      </c>
      <c r="O115" s="11"/>
      <c r="P115" s="2">
        <f>--1728.05</f>
        <v>1728.05</v>
      </c>
      <c r="Q115" s="2"/>
      <c r="R115" s="22">
        <f t="shared" si="106"/>
        <v>6.25453648891629E-3</v>
      </c>
      <c r="S115" s="2"/>
      <c r="T115" s="2">
        <v>13492</v>
      </c>
      <c r="U115" s="2"/>
      <c r="V115" s="22">
        <f t="shared" si="107"/>
        <v>0.11970119062405735</v>
      </c>
      <c r="W115" s="2"/>
      <c r="X115" s="2">
        <f t="shared" si="108"/>
        <v>-11763.95</v>
      </c>
      <c r="Y115" s="2"/>
      <c r="Z115" s="22">
        <f t="shared" si="109"/>
        <v>-0.87192039727245785</v>
      </c>
    </row>
    <row r="116" spans="1:26" s="24" customFormat="1" hidden="1" outlineLevel="1" x14ac:dyDescent="0.35">
      <c r="A116" s="51"/>
      <c r="B116" s="11" t="str">
        <f>CONCATENATE("          ", "9151", " - ", "MISC. INCOME")</f>
        <v xml:space="preserve">          9151 - MISC. INCOME</v>
      </c>
      <c r="C116" s="11"/>
      <c r="D116" s="2">
        <f t="shared" si="110"/>
        <v>0</v>
      </c>
      <c r="E116" s="2"/>
      <c r="F116" s="22">
        <f t="shared" si="102"/>
        <v>0</v>
      </c>
      <c r="G116" s="2"/>
      <c r="H116" s="2">
        <v>2657</v>
      </c>
      <c r="I116" s="2"/>
      <c r="J116" s="22">
        <f t="shared" si="103"/>
        <v>0.11269935527655242</v>
      </c>
      <c r="K116" s="2"/>
      <c r="L116" s="2">
        <f t="shared" si="104"/>
        <v>-2657</v>
      </c>
      <c r="M116" s="2"/>
      <c r="N116" s="22">
        <f t="shared" si="105"/>
        <v>-1</v>
      </c>
      <c r="O116" s="11"/>
      <c r="P116" s="2">
        <f>0</f>
        <v>0</v>
      </c>
      <c r="Q116" s="2"/>
      <c r="R116" s="22">
        <f t="shared" si="106"/>
        <v>0</v>
      </c>
      <c r="S116" s="2"/>
      <c r="T116" s="2">
        <v>13787</v>
      </c>
      <c r="U116" s="2"/>
      <c r="V116" s="22">
        <f t="shared" si="107"/>
        <v>0.1223184342672605</v>
      </c>
      <c r="W116" s="2"/>
      <c r="X116" s="2">
        <f t="shared" si="108"/>
        <v>-13787</v>
      </c>
      <c r="Y116" s="2"/>
      <c r="Z116" s="22">
        <f t="shared" si="109"/>
        <v>-1</v>
      </c>
    </row>
    <row r="117" spans="1:26" s="24" customFormat="1" hidden="1" outlineLevel="1" x14ac:dyDescent="0.35">
      <c r="A117" s="51"/>
      <c r="B117" s="11" t="str">
        <f>CONCATENATE("          ", "9160", " - ", "MISC. INCOME")</f>
        <v xml:space="preserve">          9160 - MISC. INCOME</v>
      </c>
      <c r="C117" s="11"/>
      <c r="D117" s="2">
        <f>--189.92</f>
        <v>189.92</v>
      </c>
      <c r="E117" s="2"/>
      <c r="F117" s="22">
        <f t="shared" si="102"/>
        <v>2.3140245336312126E-3</v>
      </c>
      <c r="G117" s="2"/>
      <c r="H117" s="2">
        <v>2023</v>
      </c>
      <c r="I117" s="2"/>
      <c r="J117" s="22">
        <f t="shared" si="103"/>
        <v>8.5807600950118759E-2</v>
      </c>
      <c r="K117" s="2"/>
      <c r="L117" s="2">
        <f t="shared" si="104"/>
        <v>-1833.08</v>
      </c>
      <c r="M117" s="2"/>
      <c r="N117" s="22">
        <f t="shared" si="105"/>
        <v>-0.90611962432031634</v>
      </c>
      <c r="O117" s="11"/>
      <c r="P117" s="2">
        <f>--12518.17</f>
        <v>12518.17</v>
      </c>
      <c r="Q117" s="2"/>
      <c r="R117" s="22">
        <f t="shared" si="106"/>
        <v>4.5308498619517509E-2</v>
      </c>
      <c r="S117" s="2"/>
      <c r="T117" s="2">
        <v>6946</v>
      </c>
      <c r="U117" s="2"/>
      <c r="V117" s="22">
        <f t="shared" si="107"/>
        <v>6.1624997781996912E-2</v>
      </c>
      <c r="W117" s="2"/>
      <c r="X117" s="2">
        <f t="shared" si="108"/>
        <v>5572.17</v>
      </c>
      <c r="Y117" s="2"/>
      <c r="Z117" s="22">
        <f t="shared" si="109"/>
        <v>0.80221278433630872</v>
      </c>
    </row>
    <row r="118" spans="1:26" s="24" customFormat="1" hidden="1" outlineLevel="1" x14ac:dyDescent="0.35">
      <c r="A118" s="51"/>
      <c r="B118" s="11" t="str">
        <f>CONCATENATE("          ", "9165", " - ", "OTHER INCOME")</f>
        <v xml:space="preserve">          9165 - OTHER INCOME</v>
      </c>
      <c r="C118" s="11"/>
      <c r="D118" s="2">
        <f>--786.95</f>
        <v>786.95</v>
      </c>
      <c r="E118" s="2"/>
      <c r="F118" s="22">
        <f t="shared" si="102"/>
        <v>9.5883614508270997E-3</v>
      </c>
      <c r="G118" s="2"/>
      <c r="H118" s="2"/>
      <c r="I118" s="2"/>
      <c r="J118" s="22">
        <f t="shared" si="103"/>
        <v>0</v>
      </c>
      <c r="K118" s="2"/>
      <c r="L118" s="2">
        <f t="shared" si="104"/>
        <v>786.95</v>
      </c>
      <c r="M118" s="2"/>
      <c r="N118" s="22">
        <f t="shared" si="105"/>
        <v>0</v>
      </c>
      <c r="O118" s="11"/>
      <c r="P118" s="2">
        <f>--2102.12</f>
        <v>2102.12</v>
      </c>
      <c r="Q118" s="2"/>
      <c r="R118" s="22">
        <f t="shared" si="106"/>
        <v>7.6084524429737045E-3</v>
      </c>
      <c r="S118" s="2"/>
      <c r="T118" s="2"/>
      <c r="U118" s="2"/>
      <c r="V118" s="22">
        <f t="shared" si="107"/>
        <v>0</v>
      </c>
      <c r="W118" s="2"/>
      <c r="X118" s="2">
        <f t="shared" si="108"/>
        <v>2102.12</v>
      </c>
      <c r="Y118" s="2"/>
      <c r="Z118" s="22">
        <f t="shared" si="109"/>
        <v>0</v>
      </c>
    </row>
    <row r="119" spans="1:26" x14ac:dyDescent="0.3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35">
      <c r="A120" s="10"/>
      <c r="B120" s="26" t="s">
        <v>3</v>
      </c>
      <c r="C120" s="26"/>
      <c r="D120" s="19">
        <f>+D25-D27+D114</f>
        <v>-30180.220000000012</v>
      </c>
      <c r="E120" s="13"/>
      <c r="F120" s="21">
        <f>IF(D$12=0,0,D120/D$12)</f>
        <v>-0.36772203828131544</v>
      </c>
      <c r="G120" s="13"/>
      <c r="H120" s="19">
        <f>+H25-H27+H114</f>
        <v>-90488.302224314088</v>
      </c>
      <c r="I120" s="13"/>
      <c r="J120" s="21">
        <f>IF(H$12=0,0,H120/H$12)</f>
        <v>-3.8381533009973738</v>
      </c>
      <c r="K120" s="16"/>
      <c r="L120" s="19">
        <f>+D120-H120</f>
        <v>60308.082224314072</v>
      </c>
      <c r="M120" s="16"/>
      <c r="N120" s="21">
        <f>IF(H120=0,0,L120/H120)</f>
        <v>-0.66647379541738572</v>
      </c>
      <c r="O120" s="25"/>
      <c r="P120" s="19">
        <f>+P25-P27+P114</f>
        <v>-514290.7</v>
      </c>
      <c r="Q120" s="13"/>
      <c r="R120" s="21">
        <f>IF(P$12=0,0,P120/P$12)</f>
        <v>-1.8614333781200203</v>
      </c>
      <c r="S120" s="13"/>
      <c r="T120" s="19">
        <f>+T25-T27+T114</f>
        <v>-658569.72446387564</v>
      </c>
      <c r="U120" s="13"/>
      <c r="V120" s="21">
        <f>IF(T$12=0,0,T120/T$12)</f>
        <v>-5.842838728675015</v>
      </c>
      <c r="W120" s="16"/>
      <c r="X120" s="19">
        <f>+P120-T120</f>
        <v>144279.02446387563</v>
      </c>
      <c r="Y120" s="16"/>
      <c r="Z120" s="21">
        <f>IF(T120=0,0,X120/T120)</f>
        <v>-0.21907934589815742</v>
      </c>
    </row>
    <row r="121" spans="1:26" x14ac:dyDescent="0.3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35">
      <c r="A122" s="52"/>
      <c r="B122" s="10" t="s">
        <v>14</v>
      </c>
      <c r="C122" s="10"/>
      <c r="D122" s="4">
        <v>14219.8</v>
      </c>
      <c r="E122" s="4"/>
      <c r="F122" s="12">
        <f>IF(D$12=0,0,D122/D$12)</f>
        <v>0.17325698222056191</v>
      </c>
      <c r="G122" s="4"/>
      <c r="H122" s="4">
        <v>2652</v>
      </c>
      <c r="I122" s="4"/>
      <c r="J122" s="12">
        <f>IF(H$12=0,0,H122/H$12)</f>
        <v>0.11248727519511367</v>
      </c>
      <c r="K122" s="4"/>
      <c r="L122" s="4">
        <f>+D122-H122</f>
        <v>11567.8</v>
      </c>
      <c r="M122" s="4"/>
      <c r="N122" s="12">
        <f>IF(H122=0,0,L122/H122)</f>
        <v>4.3619155354449468</v>
      </c>
      <c r="O122" s="10"/>
      <c r="P122" s="4">
        <v>50153.5</v>
      </c>
      <c r="Q122" s="4"/>
      <c r="R122" s="12">
        <f>IF(P$12=0,0,P122/P$12)</f>
        <v>0.18152651589760896</v>
      </c>
      <c r="S122" s="4"/>
      <c r="T122" s="4">
        <v>19561</v>
      </c>
      <c r="U122" s="4"/>
      <c r="V122" s="12">
        <f>IF(T$12=0,0,T122/T$12)</f>
        <v>0.17354543357524355</v>
      </c>
      <c r="W122" s="4"/>
      <c r="X122" s="4">
        <f>+P122-T122</f>
        <v>30592.5</v>
      </c>
      <c r="Y122" s="4"/>
      <c r="Z122" s="12">
        <f>IF(T122=0,0,X122/T122)</f>
        <v>1.5639537855937835</v>
      </c>
    </row>
    <row r="123" spans="1:26" x14ac:dyDescent="0.3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" thickBot="1" x14ac:dyDescent="0.4">
      <c r="A124" s="10"/>
      <c r="B124" s="26" t="s">
        <v>4</v>
      </c>
      <c r="C124" s="26"/>
      <c r="D124" s="33">
        <f>+D120-D122</f>
        <v>-44400.020000000011</v>
      </c>
      <c r="E124" s="13"/>
      <c r="F124" s="31">
        <f>IF(D$12=0,0,D124/D$12)</f>
        <v>-0.54097902050187729</v>
      </c>
      <c r="G124" s="13"/>
      <c r="H124" s="33">
        <f>+H120-H122</f>
        <v>-93140.302224314088</v>
      </c>
      <c r="I124" s="13"/>
      <c r="J124" s="31">
        <f>IF(H$12=0,0,H124/H$12)</f>
        <v>-3.9506405761924874</v>
      </c>
      <c r="K124" s="16"/>
      <c r="L124" s="33">
        <f>D124-H124</f>
        <v>48740.282224314076</v>
      </c>
      <c r="M124" s="16"/>
      <c r="N124" s="31">
        <f>IF(H124=0,0,L124/H124)</f>
        <v>-0.52329959276845173</v>
      </c>
      <c r="O124" s="25"/>
      <c r="P124" s="33">
        <f>+P120-P122</f>
        <v>-564444.19999999995</v>
      </c>
      <c r="Q124" s="13"/>
      <c r="R124" s="31">
        <f>IF(P$12=0,0,P124/P$12)</f>
        <v>-2.042959894017629</v>
      </c>
      <c r="S124" s="13"/>
      <c r="T124" s="33">
        <f>+T120-T122</f>
        <v>-678130.72446387564</v>
      </c>
      <c r="U124" s="13"/>
      <c r="V124" s="31">
        <f>IF(T$12=0,0,T124/T$12)</f>
        <v>-6.0163841622502581</v>
      </c>
      <c r="W124" s="16"/>
      <c r="X124" s="33">
        <f>P124-T124</f>
        <v>113686.52446387568</v>
      </c>
      <c r="Y124" s="16"/>
      <c r="Z124" s="31">
        <f>IF(T124=0,0,X124/T124)</f>
        <v>-0.16764691579747443</v>
      </c>
    </row>
    <row r="125" spans="1:26" ht="15" thickTop="1" x14ac:dyDescent="0.3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3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" thickBot="1" x14ac:dyDescent="0.4">
      <c r="A127" s="10"/>
      <c r="B127" s="26" t="s">
        <v>5</v>
      </c>
      <c r="C127" s="26"/>
      <c r="D127" s="34">
        <f>SUM(D124:D126)</f>
        <v>-44400.020000000011</v>
      </c>
      <c r="E127" s="13"/>
      <c r="F127" s="32">
        <f>IF(D$12=0,0,D127/D$12)</f>
        <v>-0.54097902050187729</v>
      </c>
      <c r="G127" s="13"/>
      <c r="H127" s="34">
        <f>SUM(H124:H126)</f>
        <v>-93140.302224314088</v>
      </c>
      <c r="I127" s="13"/>
      <c r="J127" s="32">
        <f>IF(H$12=0,0,H127/H$12)</f>
        <v>-3.9506405761924874</v>
      </c>
      <c r="K127" s="16"/>
      <c r="L127" s="34">
        <f>+D127-H127</f>
        <v>48740.282224314076</v>
      </c>
      <c r="M127" s="16"/>
      <c r="N127" s="32">
        <f>IF(H127=0,0,L127/H127)</f>
        <v>-0.52329959276845173</v>
      </c>
      <c r="O127" s="25"/>
      <c r="P127" s="34">
        <f>SUM(P124:P126)</f>
        <v>-564444.19999999995</v>
      </c>
      <c r="Q127" s="13"/>
      <c r="R127" s="32">
        <f>IF(P$12=0,0,P127/P$12)</f>
        <v>-2.042959894017629</v>
      </c>
      <c r="S127" s="13"/>
      <c r="T127" s="34">
        <f>SUM(T124:T126)</f>
        <v>-678130.72446387564</v>
      </c>
      <c r="U127" s="13"/>
      <c r="V127" s="32">
        <f>IF(T$12=0,0,T127/T$12)</f>
        <v>-6.0163841622502581</v>
      </c>
      <c r="W127" s="16"/>
      <c r="X127" s="34">
        <f>+P127-T127</f>
        <v>113686.52446387568</v>
      </c>
      <c r="Y127" s="16"/>
      <c r="Z127" s="32">
        <f>IF(T127=0,0,X127/T127)</f>
        <v>-0.16764691579747443</v>
      </c>
    </row>
    <row r="128" spans="1:26" ht="15" thickTop="1" x14ac:dyDescent="0.35">
      <c r="A128" s="9"/>
      <c r="C128" s="9"/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35">
      <c r="A129" s="9"/>
      <c r="B129" s="60">
        <v>44238.490198877313</v>
      </c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35">
      <c r="A130" s="9"/>
      <c r="B130" s="59" t="s">
        <v>314</v>
      </c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35">
      <c r="A131" s="9"/>
      <c r="B131" s="58"/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4" x14ac:dyDescent="0.35"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","405", " - ", "Library Starbucks")</f>
        <v>Department 405 - Library Starbucks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 t="shared" ref="P13:P14" si="5"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3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0</v>
      </c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 t="shared" si="5"/>
        <v>0</v>
      </c>
      <c r="Q14" s="2"/>
      <c r="R14" s="22"/>
      <c r="S14" s="2"/>
      <c r="T14" s="2">
        <v>0</v>
      </c>
      <c r="U14" s="2"/>
      <c r="V14" s="22"/>
      <c r="W14" s="2"/>
      <c r="X14" s="2">
        <f t="shared" si="2"/>
        <v>0</v>
      </c>
      <c r="Y14" s="2"/>
      <c r="Z14" s="22">
        <f t="shared" si="3"/>
        <v>0</v>
      </c>
    </row>
    <row r="15" spans="1:26" x14ac:dyDescent="0.3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3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0</v>
      </c>
      <c r="I17" s="2"/>
      <c r="J17" s="22">
        <f t="shared" si="7"/>
        <v>0</v>
      </c>
      <c r="K17" s="2"/>
      <c r="L17" s="2">
        <f t="shared" si="8"/>
        <v>0</v>
      </c>
      <c r="M17" s="2"/>
      <c r="N17" s="22">
        <f t="shared" si="9"/>
        <v>0</v>
      </c>
      <c r="O17" s="11"/>
      <c r="P17" s="2"/>
      <c r="Q17" s="2"/>
      <c r="R17" s="22">
        <f t="shared" si="10"/>
        <v>0</v>
      </c>
      <c r="S17" s="2"/>
      <c r="T17" s="2">
        <v>0</v>
      </c>
      <c r="U17" s="2"/>
      <c r="V17" s="22">
        <f t="shared" si="11"/>
        <v>0</v>
      </c>
      <c r="W17" s="2"/>
      <c r="X17" s="2">
        <f t="shared" si="12"/>
        <v>0</v>
      </c>
      <c r="Y17" s="2"/>
      <c r="Z17" s="22">
        <f t="shared" si="13"/>
        <v>0</v>
      </c>
    </row>
    <row r="18" spans="1:26" x14ac:dyDescent="0.3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35">
      <c r="A19" s="10"/>
      <c r="B19" s="26" t="s">
        <v>6</v>
      </c>
      <c r="C19" s="26"/>
      <c r="D19" s="19">
        <f>D12-D16</f>
        <v>0</v>
      </c>
      <c r="E19" s="13"/>
      <c r="F19" s="21">
        <f>IF(D$12=0,0,D19/D$12)</f>
        <v>0</v>
      </c>
      <c r="G19" s="13"/>
      <c r="H19" s="19">
        <f>H12-H16</f>
        <v>0</v>
      </c>
      <c r="I19" s="13"/>
      <c r="J19" s="21">
        <f>IF(H$12=0,0,H19/H$12)</f>
        <v>0</v>
      </c>
      <c r="K19" s="16"/>
      <c r="L19" s="19">
        <f>+D19-H19</f>
        <v>0</v>
      </c>
      <c r="M19" s="16"/>
      <c r="N19" s="21">
        <f>IF(H19=0,0,L19/H19)</f>
        <v>0</v>
      </c>
      <c r="O19" s="25"/>
      <c r="P19" s="19">
        <f>P12-P16</f>
        <v>0</v>
      </c>
      <c r="Q19" s="13"/>
      <c r="R19" s="21">
        <f>IF(P$12=0,0,P19/P$12)</f>
        <v>0</v>
      </c>
      <c r="S19" s="13"/>
      <c r="T19" s="19">
        <f>T12-T16</f>
        <v>0</v>
      </c>
      <c r="U19" s="13"/>
      <c r="V19" s="21">
        <f>IF(T$12=0,0,T19/T$12)</f>
        <v>0</v>
      </c>
      <c r="W19" s="16"/>
      <c r="X19" s="19">
        <f>+P19-T19</f>
        <v>0</v>
      </c>
      <c r="Y19" s="16"/>
      <c r="Z19" s="21">
        <f>IF(T19=0,0,X19/T19)</f>
        <v>0</v>
      </c>
    </row>
    <row r="20" spans="1:26" x14ac:dyDescent="0.3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35">
      <c r="A21" s="10"/>
      <c r="B21" s="25" t="s">
        <v>9</v>
      </c>
      <c r="C21" s="10"/>
      <c r="D21" s="20">
        <f>SUM(OSRRefD22x_0)</f>
        <v>5696.01</v>
      </c>
      <c r="E21" s="20"/>
      <c r="F21" s="30">
        <f t="shared" ref="F21:F30" si="14">IF(D$12=0,0,D21/D$12)</f>
        <v>0</v>
      </c>
      <c r="G21" s="20"/>
      <c r="H21" s="20">
        <f>SUM(OSRRefH22x_0)</f>
        <v>7384.333333333333</v>
      </c>
      <c r="I21" s="20"/>
      <c r="J21" s="30">
        <f t="shared" ref="J21:J30" si="15">IF(H$12=0,0,H21/H$12)</f>
        <v>0</v>
      </c>
      <c r="K21" s="4"/>
      <c r="L21" s="20">
        <f t="shared" ref="L21:L30" si="16">+D21-H21</f>
        <v>-1688.3233333333328</v>
      </c>
      <c r="M21" s="4"/>
      <c r="N21" s="30">
        <f t="shared" ref="N21:N30" si="17">IF(H21=0,0,L21/H21)</f>
        <v>-0.22863585067485209</v>
      </c>
      <c r="O21" s="10"/>
      <c r="P21" s="20">
        <f>SUM(OSRRefP22x_0)</f>
        <v>50886.05000000001</v>
      </c>
      <c r="Q21" s="20"/>
      <c r="R21" s="30">
        <f t="shared" ref="R21:R30" si="18">IF(P$12=0,0,P21/P$12)</f>
        <v>0</v>
      </c>
      <c r="S21" s="20"/>
      <c r="T21" s="20">
        <f>SUM(OSRRefT22x_0)</f>
        <v>51981.333333333328</v>
      </c>
      <c r="U21" s="20"/>
      <c r="V21" s="30">
        <f t="shared" ref="V21:V30" si="19">IF(T$12=0,0,T21/T$12)</f>
        <v>0</v>
      </c>
      <c r="W21" s="4"/>
      <c r="X21" s="20">
        <f t="shared" ref="X21:X30" si="20">+P21-T21</f>
        <v>-1095.2833333333183</v>
      </c>
      <c r="Y21" s="4"/>
      <c r="Z21" s="30">
        <f t="shared" ref="Z21:Z30" si="21">IF(T21=0,0,X21/T21)</f>
        <v>-2.1070704868414017E-2</v>
      </c>
    </row>
    <row r="22" spans="1:26" s="28" customFormat="1" outlineLevel="1" collapsed="1" x14ac:dyDescent="0.3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4"/>
      <c r="P22" s="1">
        <f>SUM(OSRRefP22_0x_0)</f>
        <v>0.83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0.83</v>
      </c>
      <c r="Y22" s="1"/>
      <c r="Z22" s="5">
        <f t="shared" si="21"/>
        <v>0</v>
      </c>
    </row>
    <row r="23" spans="1:26" s="24" customFormat="1" hidden="1" outlineLevel="2" x14ac:dyDescent="0.35">
      <c r="A23" s="29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4"/>
        <v>0</v>
      </c>
      <c r="G23" s="2"/>
      <c r="H23" s="7">
        <v>0</v>
      </c>
      <c r="I23" s="2"/>
      <c r="J23" s="6">
        <f t="shared" si="15"/>
        <v>0</v>
      </c>
      <c r="K23" s="2"/>
      <c r="L23" s="7">
        <f t="shared" si="16"/>
        <v>0</v>
      </c>
      <c r="M23" s="2"/>
      <c r="N23" s="6">
        <f t="shared" si="17"/>
        <v>0</v>
      </c>
      <c r="O23" s="11"/>
      <c r="P23" s="7">
        <v>0.83</v>
      </c>
      <c r="Q23" s="2"/>
      <c r="R23" s="6">
        <f t="shared" si="18"/>
        <v>0</v>
      </c>
      <c r="S23" s="2"/>
      <c r="T23" s="7">
        <v>0</v>
      </c>
      <c r="U23" s="2"/>
      <c r="V23" s="6">
        <f t="shared" si="19"/>
        <v>0</v>
      </c>
      <c r="W23" s="2"/>
      <c r="X23" s="7">
        <f t="shared" si="20"/>
        <v>0.83</v>
      </c>
      <c r="Y23" s="2"/>
      <c r="Z23" s="6">
        <f t="shared" si="21"/>
        <v>0</v>
      </c>
    </row>
    <row r="24" spans="1:26" s="24" customFormat="1" hidden="1" outlineLevel="2" x14ac:dyDescent="0.35">
      <c r="A24" s="29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4"/>
        <v>0</v>
      </c>
      <c r="G24" s="2"/>
      <c r="H24" s="7">
        <v>0</v>
      </c>
      <c r="I24" s="2"/>
      <c r="J24" s="6">
        <f t="shared" si="15"/>
        <v>0</v>
      </c>
      <c r="K24" s="2"/>
      <c r="L24" s="7">
        <f t="shared" si="16"/>
        <v>0</v>
      </c>
      <c r="M24" s="2"/>
      <c r="N24" s="6">
        <f t="shared" si="17"/>
        <v>0</v>
      </c>
      <c r="O24" s="11"/>
      <c r="P24" s="7"/>
      <c r="Q24" s="2"/>
      <c r="R24" s="6">
        <f t="shared" si="18"/>
        <v>0</v>
      </c>
      <c r="S24" s="2"/>
      <c r="T24" s="7">
        <v>0</v>
      </c>
      <c r="U24" s="2"/>
      <c r="V24" s="6">
        <f t="shared" si="19"/>
        <v>0</v>
      </c>
      <c r="W24" s="2"/>
      <c r="X24" s="7">
        <f t="shared" si="20"/>
        <v>0</v>
      </c>
      <c r="Y24" s="2"/>
      <c r="Z24" s="6">
        <f t="shared" si="21"/>
        <v>0</v>
      </c>
    </row>
    <row r="25" spans="1:26" s="24" customFormat="1" hidden="1" outlineLevel="2" x14ac:dyDescent="0.35">
      <c r="A25" s="29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4"/>
        <v>0</v>
      </c>
      <c r="G25" s="2"/>
      <c r="H25" s="7">
        <v>0</v>
      </c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/>
      <c r="Q25" s="2"/>
      <c r="R25" s="6">
        <f t="shared" si="18"/>
        <v>0</v>
      </c>
      <c r="S25" s="2"/>
      <c r="T25" s="7">
        <v>0</v>
      </c>
      <c r="U25" s="2"/>
      <c r="V25" s="6">
        <f t="shared" si="19"/>
        <v>0</v>
      </c>
      <c r="W25" s="2"/>
      <c r="X25" s="7">
        <f t="shared" si="20"/>
        <v>0</v>
      </c>
      <c r="Y25" s="2"/>
      <c r="Z25" s="6">
        <f t="shared" si="21"/>
        <v>0</v>
      </c>
    </row>
    <row r="26" spans="1:26" s="24" customFormat="1" hidden="1" outlineLevel="2" x14ac:dyDescent="0.3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4"/>
        <v>0</v>
      </c>
      <c r="G26" s="2"/>
      <c r="H26" s="7">
        <v>0</v>
      </c>
      <c r="I26" s="2"/>
      <c r="J26" s="6">
        <f t="shared" si="15"/>
        <v>0</v>
      </c>
      <c r="K26" s="2"/>
      <c r="L26" s="7">
        <f t="shared" si="16"/>
        <v>0</v>
      </c>
      <c r="M26" s="2"/>
      <c r="N26" s="6">
        <f t="shared" si="17"/>
        <v>0</v>
      </c>
      <c r="O26" s="11"/>
      <c r="P26" s="7"/>
      <c r="Q26" s="2"/>
      <c r="R26" s="6">
        <f t="shared" si="18"/>
        <v>0</v>
      </c>
      <c r="S26" s="2"/>
      <c r="T26" s="7">
        <v>0</v>
      </c>
      <c r="U26" s="2"/>
      <c r="V26" s="6">
        <f t="shared" si="19"/>
        <v>0</v>
      </c>
      <c r="W26" s="2"/>
      <c r="X26" s="7">
        <f t="shared" si="20"/>
        <v>0</v>
      </c>
      <c r="Y26" s="2"/>
      <c r="Z26" s="6">
        <f t="shared" si="21"/>
        <v>0</v>
      </c>
    </row>
    <row r="27" spans="1:26" s="24" customFormat="1" hidden="1" outlineLevel="2" x14ac:dyDescent="0.35">
      <c r="A27" s="29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4"/>
        <v>0</v>
      </c>
      <c r="G27" s="2"/>
      <c r="H27" s="7">
        <v>0</v>
      </c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/>
      <c r="Q27" s="2"/>
      <c r="R27" s="6">
        <f t="shared" si="18"/>
        <v>0</v>
      </c>
      <c r="S27" s="2"/>
      <c r="T27" s="7">
        <v>0</v>
      </c>
      <c r="U27" s="2"/>
      <c r="V27" s="6">
        <f t="shared" si="19"/>
        <v>0</v>
      </c>
      <c r="W27" s="2"/>
      <c r="X27" s="7">
        <f t="shared" si="20"/>
        <v>0</v>
      </c>
      <c r="Y27" s="2"/>
      <c r="Z27" s="6">
        <f t="shared" si="21"/>
        <v>0</v>
      </c>
    </row>
    <row r="28" spans="1:26" s="24" customFormat="1" hidden="1" outlineLevel="2" x14ac:dyDescent="0.35">
      <c r="A28" s="29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35">
      <c r="A29" s="29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/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0</v>
      </c>
      <c r="Y29" s="2"/>
      <c r="Z29" s="6">
        <f t="shared" si="21"/>
        <v>0</v>
      </c>
    </row>
    <row r="30" spans="1:26" s="24" customFormat="1" hidden="1" outlineLevel="2" x14ac:dyDescent="0.35">
      <c r="A30" s="29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/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0</v>
      </c>
      <c r="Y30" s="2"/>
      <c r="Z30" s="6">
        <f t="shared" si="21"/>
        <v>0</v>
      </c>
    </row>
    <row r="31" spans="1:26" s="28" customFormat="1" outlineLevel="1" collapsed="1" x14ac:dyDescent="0.3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41" si="22">IF(D$12=0,0,D31/D$12)</f>
        <v>0</v>
      </c>
      <c r="G31" s="1"/>
      <c r="H31" s="1">
        <f>SUM(OSRRefH22_1x_0)</f>
        <v>0</v>
      </c>
      <c r="I31" s="1"/>
      <c r="J31" s="5">
        <f t="shared" ref="J31:J41" si="23">IF(H$12=0,0,H31/H$12)</f>
        <v>0</v>
      </c>
      <c r="K31" s="1"/>
      <c r="L31" s="1">
        <f t="shared" ref="L31:L41" si="24">+D31-H31</f>
        <v>0</v>
      </c>
      <c r="M31" s="1"/>
      <c r="N31" s="5">
        <f t="shared" ref="N31:N41" si="25">IF(H31=0,0,L31/H31)</f>
        <v>0</v>
      </c>
      <c r="O31" s="14"/>
      <c r="P31" s="1">
        <f>SUM(OSRRefP22_1x_0)</f>
        <v>0</v>
      </c>
      <c r="Q31" s="1"/>
      <c r="R31" s="5">
        <f t="shared" ref="R31:R41" si="26">IF(P$12=0,0,P31/P$12)</f>
        <v>0</v>
      </c>
      <c r="S31" s="1"/>
      <c r="T31" s="1">
        <f>SUM(OSRRefT22_1x_0)</f>
        <v>0</v>
      </c>
      <c r="U31" s="1"/>
      <c r="V31" s="5">
        <f t="shared" ref="V31:V41" si="27">IF(T$12=0,0,T31/T$12)</f>
        <v>0</v>
      </c>
      <c r="W31" s="1"/>
      <c r="X31" s="1">
        <f t="shared" ref="X31:X41" si="28">+P31-T31</f>
        <v>0</v>
      </c>
      <c r="Y31" s="1"/>
      <c r="Z31" s="5">
        <f t="shared" ref="Z31:Z41" si="29">IF(T31=0,0,X31/T31)</f>
        <v>0</v>
      </c>
    </row>
    <row r="32" spans="1:26" s="24" customFormat="1" hidden="1" outlineLevel="2" x14ac:dyDescent="0.35">
      <c r="A32" s="29"/>
      <c r="B32" s="11" t="str">
        <f>CONCATENATE("          ", "6001", " - ", "ADMINISTRATIVE SALARIES")</f>
        <v xml:space="preserve">          6001 - ADMINISTRATIVE SALARIES</v>
      </c>
      <c r="C32" s="11"/>
      <c r="D32" s="7"/>
      <c r="E32" s="2"/>
      <c r="F32" s="6">
        <f t="shared" si="22"/>
        <v>0</v>
      </c>
      <c r="G32" s="2"/>
      <c r="H32" s="7">
        <v>0</v>
      </c>
      <c r="I32" s="2"/>
      <c r="J32" s="6">
        <f t="shared" si="23"/>
        <v>0</v>
      </c>
      <c r="K32" s="2"/>
      <c r="L32" s="7">
        <f t="shared" si="24"/>
        <v>0</v>
      </c>
      <c r="M32" s="2"/>
      <c r="N32" s="6">
        <f t="shared" si="25"/>
        <v>0</v>
      </c>
      <c r="O32" s="11"/>
      <c r="P32" s="7"/>
      <c r="Q32" s="2"/>
      <c r="R32" s="6">
        <f t="shared" si="26"/>
        <v>0</v>
      </c>
      <c r="S32" s="2"/>
      <c r="T32" s="7">
        <v>0</v>
      </c>
      <c r="U32" s="2"/>
      <c r="V32" s="6">
        <f t="shared" si="27"/>
        <v>0</v>
      </c>
      <c r="W32" s="2"/>
      <c r="X32" s="7">
        <f t="shared" si="28"/>
        <v>0</v>
      </c>
      <c r="Y32" s="2"/>
      <c r="Z32" s="6">
        <f t="shared" si="29"/>
        <v>0</v>
      </c>
    </row>
    <row r="33" spans="1:26" s="24" customFormat="1" hidden="1" outlineLevel="2" x14ac:dyDescent="0.35">
      <c r="A33" s="29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0</v>
      </c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/>
      <c r="Q33" s="2"/>
      <c r="R33" s="6">
        <f t="shared" si="26"/>
        <v>0</v>
      </c>
      <c r="S33" s="2"/>
      <c r="T33" s="7">
        <v>0</v>
      </c>
      <c r="U33" s="2"/>
      <c r="V33" s="6">
        <f t="shared" si="27"/>
        <v>0</v>
      </c>
      <c r="W33" s="2"/>
      <c r="X33" s="7">
        <f t="shared" si="28"/>
        <v>0</v>
      </c>
      <c r="Y33" s="2"/>
      <c r="Z33" s="6">
        <f t="shared" si="29"/>
        <v>0</v>
      </c>
    </row>
    <row r="34" spans="1:26" s="24" customFormat="1" hidden="1" outlineLevel="2" x14ac:dyDescent="0.35">
      <c r="A34" s="29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35">
      <c r="A35" s="29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35">
      <c r="A36" s="29"/>
      <c r="B36" s="11" t="str">
        <f>CONCATENATE("          ", "6005", " - ", "TEMPORARY WAGES-HOURLY")</f>
        <v xml:space="preserve">          6005 - TEMPORARY WAGES-HOURLY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35">
      <c r="A37" s="29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35">
      <c r="A38" s="29"/>
      <c r="B38" s="11" t="str">
        <f>CONCATENATE("          ", "6007", " - ", "STUDENT HOURLY")</f>
        <v xml:space="preserve">          6007 - STUDENT HOURLY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0</v>
      </c>
      <c r="Y38" s="2"/>
      <c r="Z38" s="6">
        <f t="shared" si="29"/>
        <v>0</v>
      </c>
    </row>
    <row r="39" spans="1:26" s="24" customFormat="1" hidden="1" outlineLevel="2" x14ac:dyDescent="0.3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35">
      <c r="A40" s="29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0</v>
      </c>
      <c r="U40" s="2"/>
      <c r="V40" s="6">
        <f t="shared" si="27"/>
        <v>0</v>
      </c>
      <c r="W40" s="2"/>
      <c r="X40" s="7">
        <f t="shared" si="28"/>
        <v>0</v>
      </c>
      <c r="Y40" s="2"/>
      <c r="Z40" s="6">
        <f t="shared" si="29"/>
        <v>0</v>
      </c>
    </row>
    <row r="41" spans="1:26" s="24" customFormat="1" hidden="1" outlineLevel="2" x14ac:dyDescent="0.35">
      <c r="A41" s="29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8" customFormat="1" outlineLevel="1" collapsed="1" x14ac:dyDescent="0.35">
      <c r="A42" s="27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SUM(OSRRefD22_2x_0)</f>
        <v>0</v>
      </c>
      <c r="E42" s="1"/>
      <c r="F42" s="5">
        <f t="shared" ref="F42:F48" si="30">IF(D$12=0,0,D42/D$12)</f>
        <v>0</v>
      </c>
      <c r="G42" s="1"/>
      <c r="H42" s="1">
        <f>SUM(OSRRefH22_2x_0)</f>
        <v>0</v>
      </c>
      <c r="I42" s="1"/>
      <c r="J42" s="5">
        <f t="shared" ref="J42:J48" si="31">IF(H$12=0,0,H42/H$12)</f>
        <v>0</v>
      </c>
      <c r="K42" s="1"/>
      <c r="L42" s="1">
        <f t="shared" ref="L42:L48" si="32">+D42-H42</f>
        <v>0</v>
      </c>
      <c r="M42" s="1"/>
      <c r="N42" s="5">
        <f t="shared" ref="N42:N48" si="33">IF(H42=0,0,L42/H42)</f>
        <v>0</v>
      </c>
      <c r="O42" s="14"/>
      <c r="P42" s="1">
        <f>SUM(OSRRefP22_2x_0)</f>
        <v>0</v>
      </c>
      <c r="Q42" s="1"/>
      <c r="R42" s="5">
        <f t="shared" ref="R42:R48" si="34">IF(P$12=0,0,P42/P$12)</f>
        <v>0</v>
      </c>
      <c r="S42" s="1"/>
      <c r="T42" s="1">
        <f>SUM(OSRRefT22_2x_0)</f>
        <v>0</v>
      </c>
      <c r="U42" s="1"/>
      <c r="V42" s="5">
        <f t="shared" ref="V42:V48" si="35">IF(T$12=0,0,T42/T$12)</f>
        <v>0</v>
      </c>
      <c r="W42" s="1"/>
      <c r="X42" s="1">
        <f t="shared" ref="X42:X48" si="36">+P42-T42</f>
        <v>0</v>
      </c>
      <c r="Y42" s="1"/>
      <c r="Z42" s="5">
        <f t="shared" ref="Z42:Z48" si="37">IF(T42=0,0,X42/T42)</f>
        <v>0</v>
      </c>
    </row>
    <row r="43" spans="1:26" s="24" customFormat="1" hidden="1" outlineLevel="2" x14ac:dyDescent="0.35">
      <c r="A43" s="29"/>
      <c r="B43" s="11" t="str">
        <f>CONCATENATE("          ", "6272", " - ", "CASH (OVER/SHORT)")</f>
        <v xml:space="preserve">          6272 - CASH (OVER/SHORT)</v>
      </c>
      <c r="C43" s="11"/>
      <c r="D43" s="7"/>
      <c r="E43" s="2"/>
      <c r="F43" s="6">
        <f t="shared" si="30"/>
        <v>0</v>
      </c>
      <c r="G43" s="2"/>
      <c r="H43" s="7">
        <v>0</v>
      </c>
      <c r="I43" s="2"/>
      <c r="J43" s="6">
        <f t="shared" si="31"/>
        <v>0</v>
      </c>
      <c r="K43" s="2"/>
      <c r="L43" s="7">
        <f t="shared" si="32"/>
        <v>0</v>
      </c>
      <c r="M43" s="2"/>
      <c r="N43" s="6">
        <f t="shared" si="33"/>
        <v>0</v>
      </c>
      <c r="O43" s="11"/>
      <c r="P43" s="7"/>
      <c r="Q43" s="2"/>
      <c r="R43" s="6">
        <f t="shared" si="34"/>
        <v>0</v>
      </c>
      <c r="S43" s="2"/>
      <c r="T43" s="7">
        <v>0</v>
      </c>
      <c r="U43" s="2"/>
      <c r="V43" s="6">
        <f t="shared" si="35"/>
        <v>0</v>
      </c>
      <c r="W43" s="2"/>
      <c r="X43" s="7">
        <f t="shared" si="36"/>
        <v>0</v>
      </c>
      <c r="Y43" s="2"/>
      <c r="Z43" s="6">
        <f t="shared" si="37"/>
        <v>0</v>
      </c>
    </row>
    <row r="44" spans="1:26" s="28" customFormat="1" outlineLevel="1" collapsed="1" x14ac:dyDescent="0.3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0</v>
      </c>
      <c r="E44" s="1"/>
      <c r="F44" s="5">
        <f t="shared" si="30"/>
        <v>0</v>
      </c>
      <c r="G44" s="1"/>
      <c r="H44" s="1">
        <f>SUM(OSRRefH22_3x_0)</f>
        <v>0</v>
      </c>
      <c r="I44" s="1"/>
      <c r="J44" s="5">
        <f t="shared" si="31"/>
        <v>0</v>
      </c>
      <c r="K44" s="1"/>
      <c r="L44" s="1">
        <f t="shared" si="32"/>
        <v>0</v>
      </c>
      <c r="M44" s="1"/>
      <c r="N44" s="5">
        <f t="shared" si="33"/>
        <v>0</v>
      </c>
      <c r="O44" s="14"/>
      <c r="P44" s="1">
        <f>SUM(OSRRefP22_3x_0)</f>
        <v>0</v>
      </c>
      <c r="Q44" s="1"/>
      <c r="R44" s="5">
        <f t="shared" si="34"/>
        <v>0</v>
      </c>
      <c r="S44" s="1"/>
      <c r="T44" s="1">
        <f>SUM(OSRRefT22_3x_0)</f>
        <v>0</v>
      </c>
      <c r="U44" s="1"/>
      <c r="V44" s="5">
        <f t="shared" si="35"/>
        <v>0</v>
      </c>
      <c r="W44" s="1"/>
      <c r="X44" s="1">
        <f t="shared" si="36"/>
        <v>0</v>
      </c>
      <c r="Y44" s="1"/>
      <c r="Z44" s="5">
        <f t="shared" si="37"/>
        <v>0</v>
      </c>
    </row>
    <row r="45" spans="1:26" s="24" customFormat="1" hidden="1" outlineLevel="2" x14ac:dyDescent="0.35">
      <c r="A45" s="29"/>
      <c r="B45" s="11" t="str">
        <f>CONCATENATE("          ", "6381", " - ", "BANK/CREDIT CARD FEES")</f>
        <v xml:space="preserve">          6381 - BANK/CREDIT CARD FEES</v>
      </c>
      <c r="C45" s="11"/>
      <c r="D45" s="7"/>
      <c r="E45" s="2"/>
      <c r="F45" s="6">
        <f t="shared" si="30"/>
        <v>0</v>
      </c>
      <c r="G45" s="2"/>
      <c r="H45" s="7">
        <v>0</v>
      </c>
      <c r="I45" s="2"/>
      <c r="J45" s="6">
        <f t="shared" si="31"/>
        <v>0</v>
      </c>
      <c r="K45" s="2"/>
      <c r="L45" s="7">
        <f t="shared" si="32"/>
        <v>0</v>
      </c>
      <c r="M45" s="2"/>
      <c r="N45" s="6">
        <f t="shared" si="33"/>
        <v>0</v>
      </c>
      <c r="O45" s="11"/>
      <c r="P45" s="7"/>
      <c r="Q45" s="2"/>
      <c r="R45" s="6">
        <f t="shared" si="34"/>
        <v>0</v>
      </c>
      <c r="S45" s="2"/>
      <c r="T45" s="7">
        <v>0</v>
      </c>
      <c r="U45" s="2"/>
      <c r="V45" s="6">
        <f t="shared" si="35"/>
        <v>0</v>
      </c>
      <c r="W45" s="2"/>
      <c r="X45" s="7">
        <f t="shared" si="36"/>
        <v>0</v>
      </c>
      <c r="Y45" s="2"/>
      <c r="Z45" s="6">
        <f t="shared" si="37"/>
        <v>0</v>
      </c>
    </row>
    <row r="46" spans="1:26" s="28" customFormat="1" outlineLevel="1" collapsed="1" x14ac:dyDescent="0.35">
      <c r="A46" s="27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SUM(OSRRefD22_4x_0)</f>
        <v>5233.01</v>
      </c>
      <c r="E46" s="1"/>
      <c r="F46" s="5">
        <f t="shared" si="30"/>
        <v>0</v>
      </c>
      <c r="G46" s="1"/>
      <c r="H46" s="1">
        <f>SUM(OSRRefH22_4x_0)</f>
        <v>5233</v>
      </c>
      <c r="I46" s="1"/>
      <c r="J46" s="5">
        <f t="shared" si="31"/>
        <v>0</v>
      </c>
      <c r="K46" s="1"/>
      <c r="L46" s="1">
        <f t="shared" si="32"/>
        <v>1.0000000000218279E-2</v>
      </c>
      <c r="M46" s="1"/>
      <c r="N46" s="5">
        <f t="shared" si="33"/>
        <v>1.910949742063497E-6</v>
      </c>
      <c r="O46" s="14"/>
      <c r="P46" s="1">
        <f>SUM(OSRRefP22_4x_0)</f>
        <v>36922.19</v>
      </c>
      <c r="Q46" s="1"/>
      <c r="R46" s="5">
        <f t="shared" si="34"/>
        <v>0</v>
      </c>
      <c r="S46" s="1"/>
      <c r="T46" s="1">
        <f>SUM(OSRRefT22_4x_0)</f>
        <v>36922</v>
      </c>
      <c r="U46" s="1"/>
      <c r="V46" s="5">
        <f t="shared" si="35"/>
        <v>0</v>
      </c>
      <c r="W46" s="1"/>
      <c r="X46" s="1">
        <f t="shared" si="36"/>
        <v>0.19000000000232831</v>
      </c>
      <c r="Y46" s="1"/>
      <c r="Z46" s="5">
        <f t="shared" si="37"/>
        <v>5.1459834245796089E-6</v>
      </c>
    </row>
    <row r="47" spans="1:26" s="24" customFormat="1" hidden="1" outlineLevel="2" x14ac:dyDescent="0.35">
      <c r="A47" s="29"/>
      <c r="B47" s="11" t="str">
        <f>CONCATENATE("          ", "6321", " - ", "BUILDING DEPRECIATION")</f>
        <v xml:space="preserve">          6321 - BUILDING DEPRECIATION</v>
      </c>
      <c r="C47" s="11"/>
      <c r="D47" s="7">
        <v>4626.5</v>
      </c>
      <c r="E47" s="2"/>
      <c r="F47" s="6">
        <f t="shared" si="30"/>
        <v>0</v>
      </c>
      <c r="G47" s="2"/>
      <c r="H47" s="7"/>
      <c r="I47" s="2"/>
      <c r="J47" s="6">
        <f t="shared" si="31"/>
        <v>0</v>
      </c>
      <c r="K47" s="2"/>
      <c r="L47" s="7">
        <f t="shared" si="32"/>
        <v>4626.5</v>
      </c>
      <c r="M47" s="2"/>
      <c r="N47" s="6">
        <f t="shared" si="33"/>
        <v>0</v>
      </c>
      <c r="O47" s="11"/>
      <c r="P47" s="7">
        <v>32385.500000000004</v>
      </c>
      <c r="Q47" s="2"/>
      <c r="R47" s="6">
        <f t="shared" si="34"/>
        <v>0</v>
      </c>
      <c r="S47" s="2"/>
      <c r="T47" s="7"/>
      <c r="U47" s="2"/>
      <c r="V47" s="6">
        <f t="shared" si="35"/>
        <v>0</v>
      </c>
      <c r="W47" s="2"/>
      <c r="X47" s="7">
        <f t="shared" si="36"/>
        <v>32385.500000000004</v>
      </c>
      <c r="Y47" s="2"/>
      <c r="Z47" s="6">
        <f t="shared" si="37"/>
        <v>0</v>
      </c>
    </row>
    <row r="48" spans="1:26" s="24" customFormat="1" hidden="1" outlineLevel="2" x14ac:dyDescent="0.35">
      <c r="A48" s="29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606.51</v>
      </c>
      <c r="E48" s="2"/>
      <c r="F48" s="6">
        <f t="shared" si="30"/>
        <v>0</v>
      </c>
      <c r="G48" s="2"/>
      <c r="H48" s="7">
        <v>5233</v>
      </c>
      <c r="I48" s="2"/>
      <c r="J48" s="6">
        <f t="shared" si="31"/>
        <v>0</v>
      </c>
      <c r="K48" s="2"/>
      <c r="L48" s="7">
        <f t="shared" si="32"/>
        <v>-4626.49</v>
      </c>
      <c r="M48" s="2"/>
      <c r="N48" s="6">
        <f t="shared" si="33"/>
        <v>-0.88409898719663671</v>
      </c>
      <c r="O48" s="11"/>
      <c r="P48" s="7">
        <v>4536.6899999999996</v>
      </c>
      <c r="Q48" s="2"/>
      <c r="R48" s="6">
        <f t="shared" si="34"/>
        <v>0</v>
      </c>
      <c r="S48" s="2"/>
      <c r="T48" s="7">
        <v>36922</v>
      </c>
      <c r="U48" s="2"/>
      <c r="V48" s="6">
        <f t="shared" si="35"/>
        <v>0</v>
      </c>
      <c r="W48" s="2"/>
      <c r="X48" s="7">
        <f t="shared" si="36"/>
        <v>-32385.31</v>
      </c>
      <c r="Y48" s="2"/>
      <c r="Z48" s="6">
        <f t="shared" si="37"/>
        <v>-0.87712772872542122</v>
      </c>
    </row>
    <row r="49" spans="1:26" s="28" customFormat="1" outlineLevel="1" collapsed="1" x14ac:dyDescent="0.35">
      <c r="A49" s="27"/>
      <c r="B49" s="14" t="str">
        <f>CONCATENATE("     ","Employees' Appreciation                           ")</f>
        <v xml:space="preserve">     Employees' Appreciation                           </v>
      </c>
      <c r="C49" s="14"/>
      <c r="D49" s="1">
        <f>SUM(OSRRefD22_5x_0)</f>
        <v>0</v>
      </c>
      <c r="E49" s="1"/>
      <c r="F49" s="5">
        <f t="shared" ref="F49:F59" si="38">IF(D$12=0,0,D49/D$12)</f>
        <v>0</v>
      </c>
      <c r="G49" s="1"/>
      <c r="H49" s="1">
        <f>SUM(OSRRefH22_5x_0)</f>
        <v>0</v>
      </c>
      <c r="I49" s="1"/>
      <c r="J49" s="5">
        <f t="shared" ref="J49:J59" si="39">IF(H$12=0,0,H49/H$12)</f>
        <v>0</v>
      </c>
      <c r="K49" s="1"/>
      <c r="L49" s="1">
        <f t="shared" ref="L49:L59" si="40">+D49-H49</f>
        <v>0</v>
      </c>
      <c r="M49" s="1"/>
      <c r="N49" s="5">
        <f t="shared" ref="N49:N59" si="41">IF(H49=0,0,L49/H49)</f>
        <v>0</v>
      </c>
      <c r="O49" s="14"/>
      <c r="P49" s="1">
        <f>SUM(OSRRefP22_5x_0)</f>
        <v>0</v>
      </c>
      <c r="Q49" s="1"/>
      <c r="R49" s="5">
        <f t="shared" ref="R49:R59" si="42">IF(P$12=0,0,P49/P$12)</f>
        <v>0</v>
      </c>
      <c r="S49" s="1"/>
      <c r="T49" s="1">
        <f>SUM(OSRRefT22_5x_0)</f>
        <v>0</v>
      </c>
      <c r="U49" s="1"/>
      <c r="V49" s="5">
        <f t="shared" ref="V49:V59" si="43">IF(T$12=0,0,T49/T$12)</f>
        <v>0</v>
      </c>
      <c r="W49" s="1"/>
      <c r="X49" s="1">
        <f t="shared" ref="X49:X59" si="44">+P49-T49</f>
        <v>0</v>
      </c>
      <c r="Y49" s="1"/>
      <c r="Z49" s="5">
        <f t="shared" ref="Z49:Z59" si="45">IF(T49=0,0,X49/T49)</f>
        <v>0</v>
      </c>
    </row>
    <row r="50" spans="1:26" s="24" customFormat="1" hidden="1" outlineLevel="2" x14ac:dyDescent="0.35">
      <c r="A50" s="29"/>
      <c r="B50" s="11" t="str">
        <f>CONCATENATE("          ", "6277", " - ", "EMPLOYEE APPRECIATION")</f>
        <v xml:space="preserve">          6277 - EMPLOYEE APPRECIATION</v>
      </c>
      <c r="C50" s="11"/>
      <c r="D50" s="7"/>
      <c r="E50" s="2"/>
      <c r="F50" s="6">
        <f t="shared" si="38"/>
        <v>0</v>
      </c>
      <c r="G50" s="2"/>
      <c r="H50" s="7"/>
      <c r="I50" s="2"/>
      <c r="J50" s="6">
        <f t="shared" si="39"/>
        <v>0</v>
      </c>
      <c r="K50" s="2"/>
      <c r="L50" s="7">
        <f t="shared" si="40"/>
        <v>0</v>
      </c>
      <c r="M50" s="2"/>
      <c r="N50" s="6">
        <f t="shared" si="41"/>
        <v>0</v>
      </c>
      <c r="O50" s="11"/>
      <c r="P50" s="7"/>
      <c r="Q50" s="2"/>
      <c r="R50" s="6">
        <f t="shared" si="42"/>
        <v>0</v>
      </c>
      <c r="S50" s="2"/>
      <c r="T50" s="7">
        <v>0</v>
      </c>
      <c r="U50" s="2"/>
      <c r="V50" s="6">
        <f t="shared" si="43"/>
        <v>0</v>
      </c>
      <c r="W50" s="2"/>
      <c r="X50" s="7">
        <f t="shared" si="44"/>
        <v>0</v>
      </c>
      <c r="Y50" s="2"/>
      <c r="Z50" s="6">
        <f t="shared" si="45"/>
        <v>0</v>
      </c>
    </row>
    <row r="51" spans="1:26" s="28" customFormat="1" outlineLevel="1" collapsed="1" x14ac:dyDescent="0.35">
      <c r="A51" s="27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SUM(OSRRefD22_6x_0)</f>
        <v>0</v>
      </c>
      <c r="E51" s="1"/>
      <c r="F51" s="5">
        <f t="shared" si="38"/>
        <v>0</v>
      </c>
      <c r="G51" s="1"/>
      <c r="H51" s="1">
        <f>SUM(OSRRefH22_6x_0)</f>
        <v>208.333333333333</v>
      </c>
      <c r="I51" s="1"/>
      <c r="J51" s="5">
        <f t="shared" si="39"/>
        <v>0</v>
      </c>
      <c r="K51" s="1"/>
      <c r="L51" s="1">
        <f t="shared" si="40"/>
        <v>-208.333333333333</v>
      </c>
      <c r="M51" s="1"/>
      <c r="N51" s="5">
        <f t="shared" si="41"/>
        <v>-1</v>
      </c>
      <c r="O51" s="14"/>
      <c r="P51" s="1">
        <f>SUM(OSRRefP22_6x_0)</f>
        <v>96.3</v>
      </c>
      <c r="Q51" s="1"/>
      <c r="R51" s="5">
        <f t="shared" si="42"/>
        <v>0</v>
      </c>
      <c r="S51" s="1"/>
      <c r="T51" s="1">
        <f>SUM(OSRRefT22_6x_0)</f>
        <v>1458.333333333331</v>
      </c>
      <c r="U51" s="1"/>
      <c r="V51" s="5">
        <f t="shared" si="43"/>
        <v>0</v>
      </c>
      <c r="W51" s="1"/>
      <c r="X51" s="1">
        <f t="shared" si="44"/>
        <v>-1362.033333333331</v>
      </c>
      <c r="Y51" s="1"/>
      <c r="Z51" s="5">
        <f t="shared" si="45"/>
        <v>-0.93396571428571418</v>
      </c>
    </row>
    <row r="52" spans="1:26" s="24" customFormat="1" hidden="1" outlineLevel="2" x14ac:dyDescent="0.35">
      <c r="A52" s="29"/>
      <c r="B52" s="11" t="str">
        <f>CONCATENATE("          ", "6351", " - ", "EQUIPMENT RENTAL")</f>
        <v xml:space="preserve">          6351 - EQUIPMENT RENTAL</v>
      </c>
      <c r="C52" s="11"/>
      <c r="D52" s="7"/>
      <c r="E52" s="2"/>
      <c r="F52" s="6">
        <f t="shared" si="38"/>
        <v>0</v>
      </c>
      <c r="G52" s="2"/>
      <c r="H52" s="7">
        <v>208.333333333333</v>
      </c>
      <c r="I52" s="2"/>
      <c r="J52" s="6">
        <f t="shared" si="39"/>
        <v>0</v>
      </c>
      <c r="K52" s="2"/>
      <c r="L52" s="7">
        <f t="shared" si="40"/>
        <v>-208.333333333333</v>
      </c>
      <c r="M52" s="2"/>
      <c r="N52" s="6">
        <f t="shared" si="41"/>
        <v>-1</v>
      </c>
      <c r="O52" s="11"/>
      <c r="P52" s="7">
        <v>96.3</v>
      </c>
      <c r="Q52" s="2"/>
      <c r="R52" s="6">
        <f t="shared" si="42"/>
        <v>0</v>
      </c>
      <c r="S52" s="2"/>
      <c r="T52" s="7">
        <v>1458.333333333331</v>
      </c>
      <c r="U52" s="2"/>
      <c r="V52" s="6">
        <f t="shared" si="43"/>
        <v>0</v>
      </c>
      <c r="W52" s="2"/>
      <c r="X52" s="7">
        <f t="shared" si="44"/>
        <v>-1362.033333333331</v>
      </c>
      <c r="Y52" s="2"/>
      <c r="Z52" s="6">
        <f t="shared" si="45"/>
        <v>-0.93396571428571418</v>
      </c>
    </row>
    <row r="53" spans="1:26" s="28" customFormat="1" outlineLevel="1" collapsed="1" x14ac:dyDescent="0.35">
      <c r="A53" s="27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SUM(OSRRefD22_7x_0)</f>
        <v>0</v>
      </c>
      <c r="E53" s="1"/>
      <c r="F53" s="5">
        <f t="shared" si="38"/>
        <v>0</v>
      </c>
      <c r="G53" s="1"/>
      <c r="H53" s="1">
        <f>SUM(OSRRefH22_7x_0)</f>
        <v>0</v>
      </c>
      <c r="I53" s="1"/>
      <c r="J53" s="5">
        <f t="shared" si="39"/>
        <v>0</v>
      </c>
      <c r="K53" s="1"/>
      <c r="L53" s="1">
        <f t="shared" si="40"/>
        <v>0</v>
      </c>
      <c r="M53" s="1"/>
      <c r="N53" s="5">
        <f t="shared" si="41"/>
        <v>0</v>
      </c>
      <c r="O53" s="14"/>
      <c r="P53" s="1">
        <f>SUM(OSRRefP22_7x_0)</f>
        <v>0</v>
      </c>
      <c r="Q53" s="1"/>
      <c r="R53" s="5">
        <f t="shared" si="42"/>
        <v>0</v>
      </c>
      <c r="S53" s="1"/>
      <c r="T53" s="1">
        <f>SUM(OSRRefT22_7x_0)</f>
        <v>0</v>
      </c>
      <c r="U53" s="1"/>
      <c r="V53" s="5">
        <f t="shared" si="43"/>
        <v>0</v>
      </c>
      <c r="W53" s="1"/>
      <c r="X53" s="1">
        <f t="shared" si="44"/>
        <v>0</v>
      </c>
      <c r="Y53" s="1"/>
      <c r="Z53" s="5">
        <f t="shared" si="45"/>
        <v>0</v>
      </c>
    </row>
    <row r="54" spans="1:26" s="24" customFormat="1" hidden="1" outlineLevel="2" x14ac:dyDescent="0.35">
      <c r="A54" s="29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38"/>
        <v>0</v>
      </c>
      <c r="G54" s="2"/>
      <c r="H54" s="7">
        <v>0</v>
      </c>
      <c r="I54" s="2"/>
      <c r="J54" s="6">
        <f t="shared" si="39"/>
        <v>0</v>
      </c>
      <c r="K54" s="2"/>
      <c r="L54" s="7">
        <f t="shared" si="40"/>
        <v>0</v>
      </c>
      <c r="M54" s="2"/>
      <c r="N54" s="6">
        <f t="shared" si="41"/>
        <v>0</v>
      </c>
      <c r="O54" s="11"/>
      <c r="P54" s="7">
        <v>0</v>
      </c>
      <c r="Q54" s="2"/>
      <c r="R54" s="6">
        <f t="shared" si="42"/>
        <v>0</v>
      </c>
      <c r="S54" s="2"/>
      <c r="T54" s="7">
        <v>0</v>
      </c>
      <c r="U54" s="2"/>
      <c r="V54" s="6">
        <f t="shared" si="43"/>
        <v>0</v>
      </c>
      <c r="W54" s="2"/>
      <c r="X54" s="7">
        <f t="shared" si="44"/>
        <v>0</v>
      </c>
      <c r="Y54" s="2"/>
      <c r="Z54" s="6">
        <f t="shared" si="45"/>
        <v>0</v>
      </c>
    </row>
    <row r="55" spans="1:26" s="28" customFormat="1" outlineLevel="1" collapsed="1" x14ac:dyDescent="0.35">
      <c r="A55" s="27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0</v>
      </c>
      <c r="E55" s="1"/>
      <c r="F55" s="5">
        <f t="shared" si="38"/>
        <v>0</v>
      </c>
      <c r="G55" s="1"/>
      <c r="H55" s="1">
        <f>SUM(OSRRefH22_8x_0)</f>
        <v>1943</v>
      </c>
      <c r="I55" s="1"/>
      <c r="J55" s="5">
        <f t="shared" si="39"/>
        <v>0</v>
      </c>
      <c r="K55" s="1"/>
      <c r="L55" s="1">
        <f t="shared" si="40"/>
        <v>-1943</v>
      </c>
      <c r="M55" s="1"/>
      <c r="N55" s="5">
        <f t="shared" si="41"/>
        <v>-1</v>
      </c>
      <c r="O55" s="14"/>
      <c r="P55" s="1">
        <f>SUM(OSRRefP22_8x_0)</f>
        <v>11100</v>
      </c>
      <c r="Q55" s="1"/>
      <c r="R55" s="5">
        <f t="shared" si="42"/>
        <v>0</v>
      </c>
      <c r="S55" s="1"/>
      <c r="T55" s="1">
        <f>SUM(OSRRefT22_8x_0)</f>
        <v>13601</v>
      </c>
      <c r="U55" s="1"/>
      <c r="V55" s="5">
        <f t="shared" si="43"/>
        <v>0</v>
      </c>
      <c r="W55" s="1"/>
      <c r="X55" s="1">
        <f t="shared" si="44"/>
        <v>-2501</v>
      </c>
      <c r="Y55" s="1"/>
      <c r="Z55" s="5">
        <f t="shared" si="45"/>
        <v>-0.18388353797514889</v>
      </c>
    </row>
    <row r="56" spans="1:26" s="24" customFormat="1" hidden="1" outlineLevel="2" x14ac:dyDescent="0.35">
      <c r="A56" s="29"/>
      <c r="B56" s="11" t="str">
        <f>CONCATENATE("          ", "6273", " - ", "RENT")</f>
        <v xml:space="preserve">          6273 - RENT</v>
      </c>
      <c r="C56" s="11"/>
      <c r="D56" s="7"/>
      <c r="E56" s="2"/>
      <c r="F56" s="6">
        <f t="shared" si="38"/>
        <v>0</v>
      </c>
      <c r="G56" s="2"/>
      <c r="H56" s="7">
        <v>1943</v>
      </c>
      <c r="I56" s="2"/>
      <c r="J56" s="6">
        <f t="shared" si="39"/>
        <v>0</v>
      </c>
      <c r="K56" s="2"/>
      <c r="L56" s="7">
        <f t="shared" si="40"/>
        <v>-1943</v>
      </c>
      <c r="M56" s="2"/>
      <c r="N56" s="6">
        <f t="shared" si="41"/>
        <v>-1</v>
      </c>
      <c r="O56" s="11"/>
      <c r="P56" s="7">
        <v>11100</v>
      </c>
      <c r="Q56" s="2"/>
      <c r="R56" s="6">
        <f t="shared" si="42"/>
        <v>0</v>
      </c>
      <c r="S56" s="2"/>
      <c r="T56" s="7">
        <v>13601</v>
      </c>
      <c r="U56" s="2"/>
      <c r="V56" s="6">
        <f t="shared" si="43"/>
        <v>0</v>
      </c>
      <c r="W56" s="2"/>
      <c r="X56" s="7">
        <f t="shared" si="44"/>
        <v>-2501</v>
      </c>
      <c r="Y56" s="2"/>
      <c r="Z56" s="6">
        <f t="shared" si="45"/>
        <v>-0.18388353797514889</v>
      </c>
    </row>
    <row r="57" spans="1:26" s="28" customFormat="1" outlineLevel="1" collapsed="1" x14ac:dyDescent="0.35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0</v>
      </c>
      <c r="E57" s="1"/>
      <c r="F57" s="5">
        <f t="shared" si="38"/>
        <v>0</v>
      </c>
      <c r="G57" s="1"/>
      <c r="H57" s="1">
        <f>SUM(OSRRefH22_9x_0)</f>
        <v>0</v>
      </c>
      <c r="I57" s="1"/>
      <c r="J57" s="5">
        <f t="shared" si="39"/>
        <v>0</v>
      </c>
      <c r="K57" s="1"/>
      <c r="L57" s="1">
        <f t="shared" si="40"/>
        <v>0</v>
      </c>
      <c r="M57" s="1"/>
      <c r="N57" s="5">
        <f t="shared" si="41"/>
        <v>0</v>
      </c>
      <c r="O57" s="14"/>
      <c r="P57" s="1">
        <f>SUM(OSRRefP22_9x_0)</f>
        <v>765.3</v>
      </c>
      <c r="Q57" s="1"/>
      <c r="R57" s="5">
        <f t="shared" si="42"/>
        <v>0</v>
      </c>
      <c r="S57" s="1"/>
      <c r="T57" s="1">
        <f>SUM(OSRRefT22_9x_0)</f>
        <v>0</v>
      </c>
      <c r="U57" s="1"/>
      <c r="V57" s="5">
        <f t="shared" si="43"/>
        <v>0</v>
      </c>
      <c r="W57" s="1"/>
      <c r="X57" s="1">
        <f t="shared" si="44"/>
        <v>765.3</v>
      </c>
      <c r="Y57" s="1"/>
      <c r="Z57" s="5">
        <f t="shared" si="45"/>
        <v>0</v>
      </c>
    </row>
    <row r="58" spans="1:26" s="24" customFormat="1" hidden="1" outlineLevel="2" x14ac:dyDescent="0.35">
      <c r="A58" s="29"/>
      <c r="B58" s="11" t="str">
        <f>CONCATENATE("          ", "6373", " - ", "MAINTENANCE CONTRACTS")</f>
        <v xml:space="preserve">          6373 - MAINTENANCE CONTRACTS</v>
      </c>
      <c r="C58" s="11"/>
      <c r="D58" s="7"/>
      <c r="E58" s="2"/>
      <c r="F58" s="6">
        <f t="shared" si="38"/>
        <v>0</v>
      </c>
      <c r="G58" s="2"/>
      <c r="H58" s="7">
        <v>0</v>
      </c>
      <c r="I58" s="2"/>
      <c r="J58" s="6">
        <f t="shared" si="39"/>
        <v>0</v>
      </c>
      <c r="K58" s="2"/>
      <c r="L58" s="7">
        <f t="shared" si="40"/>
        <v>0</v>
      </c>
      <c r="M58" s="2"/>
      <c r="N58" s="6">
        <f t="shared" si="41"/>
        <v>0</v>
      </c>
      <c r="O58" s="11"/>
      <c r="P58" s="7">
        <v>223.3</v>
      </c>
      <c r="Q58" s="2"/>
      <c r="R58" s="6">
        <f t="shared" si="42"/>
        <v>0</v>
      </c>
      <c r="S58" s="2"/>
      <c r="T58" s="7">
        <v>0</v>
      </c>
      <c r="U58" s="2"/>
      <c r="V58" s="6">
        <f t="shared" si="43"/>
        <v>0</v>
      </c>
      <c r="W58" s="2"/>
      <c r="X58" s="7">
        <f t="shared" si="44"/>
        <v>223.3</v>
      </c>
      <c r="Y58" s="2"/>
      <c r="Z58" s="6">
        <f t="shared" si="45"/>
        <v>0</v>
      </c>
    </row>
    <row r="59" spans="1:26" s="24" customFormat="1" hidden="1" outlineLevel="2" x14ac:dyDescent="0.35">
      <c r="A59" s="29"/>
      <c r="B59" s="11" t="str">
        <f>CONCATENATE("          ", "6375", " - ", "OUTSIDE REPAIRS &amp; MAINTENANCE")</f>
        <v xml:space="preserve">          6375 - OUTSIDE REPAIRS &amp; MAINTENANCE</v>
      </c>
      <c r="C59" s="11"/>
      <c r="D59" s="7"/>
      <c r="E59" s="2"/>
      <c r="F59" s="6">
        <f t="shared" si="38"/>
        <v>0</v>
      </c>
      <c r="G59" s="2"/>
      <c r="H59" s="7">
        <v>0</v>
      </c>
      <c r="I59" s="2"/>
      <c r="J59" s="6">
        <f t="shared" si="39"/>
        <v>0</v>
      </c>
      <c r="K59" s="2"/>
      <c r="L59" s="7">
        <f t="shared" si="40"/>
        <v>0</v>
      </c>
      <c r="M59" s="2"/>
      <c r="N59" s="6">
        <f t="shared" si="41"/>
        <v>0</v>
      </c>
      <c r="O59" s="11"/>
      <c r="P59" s="7">
        <v>542</v>
      </c>
      <c r="Q59" s="2"/>
      <c r="R59" s="6">
        <f t="shared" si="42"/>
        <v>0</v>
      </c>
      <c r="S59" s="2"/>
      <c r="T59" s="7">
        <v>0</v>
      </c>
      <c r="U59" s="2"/>
      <c r="V59" s="6">
        <f t="shared" si="43"/>
        <v>0</v>
      </c>
      <c r="W59" s="2"/>
      <c r="X59" s="7">
        <f t="shared" si="44"/>
        <v>542</v>
      </c>
      <c r="Y59" s="2"/>
      <c r="Z59" s="6">
        <f t="shared" si="45"/>
        <v>0</v>
      </c>
    </row>
    <row r="60" spans="1:26" s="28" customFormat="1" outlineLevel="1" collapsed="1" x14ac:dyDescent="0.35">
      <c r="A60" s="27"/>
      <c r="B60" s="14" t="str">
        <f>CONCATENATE("     ","Royalty &amp; Commissions                             ")</f>
        <v xml:space="preserve">     Royalty &amp; Commissions                             </v>
      </c>
      <c r="C60" s="14"/>
      <c r="D60" s="1">
        <f>SUM(OSRRefD22_10x_0)</f>
        <v>0</v>
      </c>
      <c r="E60" s="1"/>
      <c r="F60" s="5">
        <f t="shared" ref="F60:F66" si="46">IF(D$12=0,0,D60/D$12)</f>
        <v>0</v>
      </c>
      <c r="G60" s="1"/>
      <c r="H60" s="1">
        <f>SUM(OSRRefH22_10x_0)</f>
        <v>0</v>
      </c>
      <c r="I60" s="1"/>
      <c r="J60" s="5">
        <f t="shared" ref="J60:J66" si="47">IF(H$12=0,0,H60/H$12)</f>
        <v>0</v>
      </c>
      <c r="K60" s="1"/>
      <c r="L60" s="1">
        <f t="shared" ref="L60:L66" si="48">+D60-H60</f>
        <v>0</v>
      </c>
      <c r="M60" s="1"/>
      <c r="N60" s="5">
        <f t="shared" ref="N60:N66" si="49">IF(H60=0,0,L60/H60)</f>
        <v>0</v>
      </c>
      <c r="O60" s="14"/>
      <c r="P60" s="1">
        <f>SUM(OSRRefP22_10x_0)</f>
        <v>0</v>
      </c>
      <c r="Q60" s="1"/>
      <c r="R60" s="5">
        <f t="shared" ref="R60:R66" si="50">IF(P$12=0,0,P60/P$12)</f>
        <v>0</v>
      </c>
      <c r="S60" s="1"/>
      <c r="T60" s="1">
        <f>SUM(OSRRefT22_10x_0)</f>
        <v>0</v>
      </c>
      <c r="U60" s="1"/>
      <c r="V60" s="5">
        <f t="shared" ref="V60:V66" si="51">IF(T$12=0,0,T60/T$12)</f>
        <v>0</v>
      </c>
      <c r="W60" s="1"/>
      <c r="X60" s="1">
        <f t="shared" ref="X60:X66" si="52">+P60-T60</f>
        <v>0</v>
      </c>
      <c r="Y60" s="1"/>
      <c r="Z60" s="5">
        <f t="shared" ref="Z60:Z66" si="53">IF(T60=0,0,X60/T60)</f>
        <v>0</v>
      </c>
    </row>
    <row r="61" spans="1:26" s="24" customFormat="1" hidden="1" outlineLevel="2" x14ac:dyDescent="0.35">
      <c r="A61" s="29"/>
      <c r="B61" s="11" t="str">
        <f>CONCATENATE("          ", "6259", " - ", "ROYALTY &amp; COMMISSIONS")</f>
        <v xml:space="preserve">          6259 - ROYALTY &amp; COMMISSIONS</v>
      </c>
      <c r="C61" s="11"/>
      <c r="D61" s="7"/>
      <c r="E61" s="2"/>
      <c r="F61" s="6">
        <f t="shared" si="46"/>
        <v>0</v>
      </c>
      <c r="G61" s="2"/>
      <c r="H61" s="7">
        <v>0</v>
      </c>
      <c r="I61" s="2"/>
      <c r="J61" s="6">
        <f t="shared" si="47"/>
        <v>0</v>
      </c>
      <c r="K61" s="2"/>
      <c r="L61" s="7">
        <f t="shared" si="48"/>
        <v>0</v>
      </c>
      <c r="M61" s="2"/>
      <c r="N61" s="6">
        <f t="shared" si="49"/>
        <v>0</v>
      </c>
      <c r="O61" s="11"/>
      <c r="P61" s="7"/>
      <c r="Q61" s="2"/>
      <c r="R61" s="6">
        <f t="shared" si="50"/>
        <v>0</v>
      </c>
      <c r="S61" s="2"/>
      <c r="T61" s="7">
        <v>0</v>
      </c>
      <c r="U61" s="2"/>
      <c r="V61" s="6">
        <f t="shared" si="51"/>
        <v>0</v>
      </c>
      <c r="W61" s="2"/>
      <c r="X61" s="7">
        <f t="shared" si="52"/>
        <v>0</v>
      </c>
      <c r="Y61" s="2"/>
      <c r="Z61" s="6">
        <f t="shared" si="53"/>
        <v>0</v>
      </c>
    </row>
    <row r="62" spans="1:26" s="28" customFormat="1" outlineLevel="1" collapsed="1" x14ac:dyDescent="0.35">
      <c r="A62" s="27"/>
      <c r="B62" s="14" t="str">
        <f>CONCATENATE("     ","Services                                          ")</f>
        <v xml:space="preserve">     Services                                          </v>
      </c>
      <c r="C62" s="14"/>
      <c r="D62" s="1">
        <f>SUM(OSRRefD22_11x_0)</f>
        <v>115</v>
      </c>
      <c r="E62" s="1"/>
      <c r="F62" s="5">
        <f t="shared" si="46"/>
        <v>0</v>
      </c>
      <c r="G62" s="1"/>
      <c r="H62" s="1">
        <f>SUM(OSRRefH22_11x_0)</f>
        <v>0</v>
      </c>
      <c r="I62" s="1"/>
      <c r="J62" s="5">
        <f t="shared" si="47"/>
        <v>0</v>
      </c>
      <c r="K62" s="1"/>
      <c r="L62" s="1">
        <f t="shared" si="48"/>
        <v>115</v>
      </c>
      <c r="M62" s="1"/>
      <c r="N62" s="5">
        <f t="shared" si="49"/>
        <v>0</v>
      </c>
      <c r="O62" s="14"/>
      <c r="P62" s="1">
        <f>SUM(OSRRefP22_11x_0)</f>
        <v>460</v>
      </c>
      <c r="Q62" s="1"/>
      <c r="R62" s="5">
        <f t="shared" si="50"/>
        <v>0</v>
      </c>
      <c r="S62" s="1"/>
      <c r="T62" s="1">
        <f>SUM(OSRRefT22_11x_0)</f>
        <v>0</v>
      </c>
      <c r="U62" s="1"/>
      <c r="V62" s="5">
        <f t="shared" si="51"/>
        <v>0</v>
      </c>
      <c r="W62" s="1"/>
      <c r="X62" s="1">
        <f t="shared" si="52"/>
        <v>460</v>
      </c>
      <c r="Y62" s="1"/>
      <c r="Z62" s="5">
        <f t="shared" si="53"/>
        <v>0</v>
      </c>
    </row>
    <row r="63" spans="1:26" s="24" customFormat="1" hidden="1" outlineLevel="2" x14ac:dyDescent="0.35">
      <c r="A63" s="29"/>
      <c r="B63" s="11" t="str">
        <f>CONCATENATE("          ", "6282", " - ", "JANITORIAL/EXTERMINATOR EXPENS")</f>
        <v xml:space="preserve">          6282 - JANITORIAL/EXTERMINATOR EXPENS</v>
      </c>
      <c r="C63" s="11"/>
      <c r="D63" s="7"/>
      <c r="E63" s="2"/>
      <c r="F63" s="6">
        <f t="shared" si="46"/>
        <v>0</v>
      </c>
      <c r="G63" s="2"/>
      <c r="H63" s="7">
        <v>0</v>
      </c>
      <c r="I63" s="2"/>
      <c r="J63" s="6">
        <f t="shared" si="47"/>
        <v>0</v>
      </c>
      <c r="K63" s="2"/>
      <c r="L63" s="7">
        <f t="shared" si="48"/>
        <v>0</v>
      </c>
      <c r="M63" s="2"/>
      <c r="N63" s="6">
        <f t="shared" si="49"/>
        <v>0</v>
      </c>
      <c r="O63" s="11"/>
      <c r="P63" s="7"/>
      <c r="Q63" s="2"/>
      <c r="R63" s="6">
        <f t="shared" si="50"/>
        <v>0</v>
      </c>
      <c r="S63" s="2"/>
      <c r="T63" s="7">
        <v>0</v>
      </c>
      <c r="U63" s="2"/>
      <c r="V63" s="6">
        <f t="shared" si="51"/>
        <v>0</v>
      </c>
      <c r="W63" s="2"/>
      <c r="X63" s="7">
        <f t="shared" si="52"/>
        <v>0</v>
      </c>
      <c r="Y63" s="2"/>
      <c r="Z63" s="6">
        <f t="shared" si="53"/>
        <v>0</v>
      </c>
    </row>
    <row r="64" spans="1:26" s="24" customFormat="1" hidden="1" outlineLevel="2" x14ac:dyDescent="0.35">
      <c r="A64" s="29"/>
      <c r="B64" s="11" t="str">
        <f>CONCATENATE("          ", "6284", " - ", "TRASH REMOVAL EXPENSE")</f>
        <v xml:space="preserve">          6284 - TRASH REMOVAL EXPENSE</v>
      </c>
      <c r="C64" s="11"/>
      <c r="D64" s="7">
        <v>115</v>
      </c>
      <c r="E64" s="2"/>
      <c r="F64" s="6">
        <f t="shared" si="46"/>
        <v>0</v>
      </c>
      <c r="G64" s="2"/>
      <c r="H64" s="7">
        <v>0</v>
      </c>
      <c r="I64" s="2"/>
      <c r="J64" s="6">
        <f t="shared" si="47"/>
        <v>0</v>
      </c>
      <c r="K64" s="2"/>
      <c r="L64" s="7">
        <f t="shared" si="48"/>
        <v>115</v>
      </c>
      <c r="M64" s="2"/>
      <c r="N64" s="6">
        <f t="shared" si="49"/>
        <v>0</v>
      </c>
      <c r="O64" s="11"/>
      <c r="P64" s="7">
        <v>460</v>
      </c>
      <c r="Q64" s="2"/>
      <c r="R64" s="6">
        <f t="shared" si="50"/>
        <v>0</v>
      </c>
      <c r="S64" s="2"/>
      <c r="T64" s="7">
        <v>0</v>
      </c>
      <c r="U64" s="2"/>
      <c r="V64" s="6">
        <f t="shared" si="51"/>
        <v>0</v>
      </c>
      <c r="W64" s="2"/>
      <c r="X64" s="7">
        <f t="shared" si="52"/>
        <v>460</v>
      </c>
      <c r="Y64" s="2"/>
      <c r="Z64" s="6">
        <f t="shared" si="53"/>
        <v>0</v>
      </c>
    </row>
    <row r="65" spans="1:26" s="24" customFormat="1" hidden="1" outlineLevel="2" x14ac:dyDescent="0.35">
      <c r="A65" s="29"/>
      <c r="B65" s="11" t="str">
        <f>CONCATENATE("          ", "6285", " - ", "JANITORIAL SERVICES")</f>
        <v xml:space="preserve">          6285 - JANITORIAL SERVICES</v>
      </c>
      <c r="C65" s="11"/>
      <c r="D65" s="7"/>
      <c r="E65" s="2"/>
      <c r="F65" s="6">
        <f t="shared" si="46"/>
        <v>0</v>
      </c>
      <c r="G65" s="2"/>
      <c r="H65" s="7">
        <v>0</v>
      </c>
      <c r="I65" s="2"/>
      <c r="J65" s="6">
        <f t="shared" si="47"/>
        <v>0</v>
      </c>
      <c r="K65" s="2"/>
      <c r="L65" s="7">
        <f t="shared" si="48"/>
        <v>0</v>
      </c>
      <c r="M65" s="2"/>
      <c r="N65" s="6">
        <f t="shared" si="49"/>
        <v>0</v>
      </c>
      <c r="O65" s="11"/>
      <c r="P65" s="7"/>
      <c r="Q65" s="2"/>
      <c r="R65" s="6">
        <f t="shared" si="50"/>
        <v>0</v>
      </c>
      <c r="S65" s="2"/>
      <c r="T65" s="7">
        <v>0</v>
      </c>
      <c r="U65" s="2"/>
      <c r="V65" s="6">
        <f t="shared" si="51"/>
        <v>0</v>
      </c>
      <c r="W65" s="2"/>
      <c r="X65" s="7">
        <f t="shared" si="52"/>
        <v>0</v>
      </c>
      <c r="Y65" s="2"/>
      <c r="Z65" s="6">
        <f t="shared" si="53"/>
        <v>0</v>
      </c>
    </row>
    <row r="66" spans="1:26" s="24" customFormat="1" hidden="1" outlineLevel="2" x14ac:dyDescent="0.35">
      <c r="A66" s="29"/>
      <c r="B66" s="11" t="str">
        <f>CONCATENATE("          ", "6286", " - ", "LAUNDRY EXPENSE")</f>
        <v xml:space="preserve">          6286 - LAUNDRY EXPENSE</v>
      </c>
      <c r="C66" s="11"/>
      <c r="D66" s="7"/>
      <c r="E66" s="2"/>
      <c r="F66" s="6">
        <f t="shared" si="46"/>
        <v>0</v>
      </c>
      <c r="G66" s="2"/>
      <c r="H66" s="7">
        <v>0</v>
      </c>
      <c r="I66" s="2"/>
      <c r="J66" s="6">
        <f t="shared" si="47"/>
        <v>0</v>
      </c>
      <c r="K66" s="2"/>
      <c r="L66" s="7">
        <f t="shared" si="48"/>
        <v>0</v>
      </c>
      <c r="M66" s="2"/>
      <c r="N66" s="6">
        <f t="shared" si="49"/>
        <v>0</v>
      </c>
      <c r="O66" s="11"/>
      <c r="P66" s="7"/>
      <c r="Q66" s="2"/>
      <c r="R66" s="6">
        <f t="shared" si="50"/>
        <v>0</v>
      </c>
      <c r="S66" s="2"/>
      <c r="T66" s="7">
        <v>0</v>
      </c>
      <c r="U66" s="2"/>
      <c r="V66" s="6">
        <f t="shared" si="51"/>
        <v>0</v>
      </c>
      <c r="W66" s="2"/>
      <c r="X66" s="7">
        <f t="shared" si="52"/>
        <v>0</v>
      </c>
      <c r="Y66" s="2"/>
      <c r="Z66" s="6">
        <f t="shared" si="53"/>
        <v>0</v>
      </c>
    </row>
    <row r="67" spans="1:26" s="28" customFormat="1" outlineLevel="1" collapsed="1" x14ac:dyDescent="0.35">
      <c r="A67" s="27"/>
      <c r="B67" s="14" t="str">
        <f>CONCATENATE("     ","Subscriptions &amp; Dues                              ")</f>
        <v xml:space="preserve">     Subscriptions &amp; Dues                              </v>
      </c>
      <c r="C67" s="14"/>
      <c r="D67" s="1">
        <f>SUM(OSRRefD22_12x_0)</f>
        <v>0</v>
      </c>
      <c r="E67" s="1"/>
      <c r="F67" s="5">
        <f t="shared" ref="F67:F78" si="54">IF(D$12=0,0,D67/D$12)</f>
        <v>0</v>
      </c>
      <c r="G67" s="1"/>
      <c r="H67" s="1">
        <f>SUM(OSRRefH22_12x_0)</f>
        <v>0</v>
      </c>
      <c r="I67" s="1"/>
      <c r="J67" s="5">
        <f t="shared" ref="J67:J78" si="55">IF(H$12=0,0,H67/H$12)</f>
        <v>0</v>
      </c>
      <c r="K67" s="1"/>
      <c r="L67" s="1">
        <f t="shared" ref="L67:L78" si="56">+D67-H67</f>
        <v>0</v>
      </c>
      <c r="M67" s="1"/>
      <c r="N67" s="5">
        <f t="shared" ref="N67:N78" si="57">IF(H67=0,0,L67/H67)</f>
        <v>0</v>
      </c>
      <c r="O67" s="14"/>
      <c r="P67" s="1">
        <f>SUM(OSRRefP22_12x_0)</f>
        <v>0</v>
      </c>
      <c r="Q67" s="1"/>
      <c r="R67" s="5">
        <f t="shared" ref="R67:R78" si="58">IF(P$12=0,0,P67/P$12)</f>
        <v>0</v>
      </c>
      <c r="S67" s="1"/>
      <c r="T67" s="1">
        <f>SUM(OSRRefT22_12x_0)</f>
        <v>0</v>
      </c>
      <c r="U67" s="1"/>
      <c r="V67" s="5">
        <f t="shared" ref="V67:V78" si="59">IF(T$12=0,0,T67/T$12)</f>
        <v>0</v>
      </c>
      <c r="W67" s="1"/>
      <c r="X67" s="1">
        <f t="shared" ref="X67:X78" si="60">+P67-T67</f>
        <v>0</v>
      </c>
      <c r="Y67" s="1"/>
      <c r="Z67" s="5">
        <f t="shared" ref="Z67:Z78" si="61">IF(T67=0,0,X67/T67)</f>
        <v>0</v>
      </c>
    </row>
    <row r="68" spans="1:26" s="24" customFormat="1" hidden="1" outlineLevel="2" x14ac:dyDescent="0.35">
      <c r="A68" s="29"/>
      <c r="B68" s="11" t="str">
        <f>CONCATENATE("          ", "6275", " - ", "SUBSCRIPTIONS")</f>
        <v xml:space="preserve">          6275 - SUBSCRIPTIONS</v>
      </c>
      <c r="C68" s="11"/>
      <c r="D68" s="7"/>
      <c r="E68" s="2"/>
      <c r="F68" s="6">
        <f t="shared" si="54"/>
        <v>0</v>
      </c>
      <c r="G68" s="2"/>
      <c r="H68" s="7">
        <v>0</v>
      </c>
      <c r="I68" s="2"/>
      <c r="J68" s="6">
        <f t="shared" si="55"/>
        <v>0</v>
      </c>
      <c r="K68" s="2"/>
      <c r="L68" s="7">
        <f t="shared" si="56"/>
        <v>0</v>
      </c>
      <c r="M68" s="2"/>
      <c r="N68" s="6">
        <f t="shared" si="57"/>
        <v>0</v>
      </c>
      <c r="O68" s="11"/>
      <c r="P68" s="7"/>
      <c r="Q68" s="2"/>
      <c r="R68" s="6">
        <f t="shared" si="58"/>
        <v>0</v>
      </c>
      <c r="S68" s="2"/>
      <c r="T68" s="7">
        <v>0</v>
      </c>
      <c r="U68" s="2"/>
      <c r="V68" s="6">
        <f t="shared" si="59"/>
        <v>0</v>
      </c>
      <c r="W68" s="2"/>
      <c r="X68" s="7">
        <f t="shared" si="60"/>
        <v>0</v>
      </c>
      <c r="Y68" s="2"/>
      <c r="Z68" s="6">
        <f t="shared" si="61"/>
        <v>0</v>
      </c>
    </row>
    <row r="69" spans="1:26" s="28" customFormat="1" outlineLevel="1" collapsed="1" x14ac:dyDescent="0.35">
      <c r="A69" s="27"/>
      <c r="B69" s="14" t="str">
        <f>CONCATENATE("     ","Supplies                                          ")</f>
        <v xml:space="preserve">     Supplies                                          </v>
      </c>
      <c r="C69" s="14"/>
      <c r="D69" s="1">
        <f>SUM(OSRRefD22_13x_0)</f>
        <v>0</v>
      </c>
      <c r="E69" s="1"/>
      <c r="F69" s="5">
        <f t="shared" si="54"/>
        <v>0</v>
      </c>
      <c r="G69" s="1"/>
      <c r="H69" s="1">
        <f>SUM(OSRRefH22_13x_0)</f>
        <v>0</v>
      </c>
      <c r="I69" s="1"/>
      <c r="J69" s="5">
        <f t="shared" si="55"/>
        <v>0</v>
      </c>
      <c r="K69" s="1"/>
      <c r="L69" s="1">
        <f t="shared" si="56"/>
        <v>0</v>
      </c>
      <c r="M69" s="1"/>
      <c r="N69" s="5">
        <f t="shared" si="57"/>
        <v>0</v>
      </c>
      <c r="O69" s="14"/>
      <c r="P69" s="1">
        <f>SUM(OSRRefP22_13x_0)</f>
        <v>72</v>
      </c>
      <c r="Q69" s="1"/>
      <c r="R69" s="5">
        <f t="shared" si="58"/>
        <v>0</v>
      </c>
      <c r="S69" s="1"/>
      <c r="T69" s="1">
        <f>SUM(OSRRefT22_13x_0)</f>
        <v>0</v>
      </c>
      <c r="U69" s="1"/>
      <c r="V69" s="5">
        <f t="shared" si="59"/>
        <v>0</v>
      </c>
      <c r="W69" s="1"/>
      <c r="X69" s="1">
        <f t="shared" si="60"/>
        <v>72</v>
      </c>
      <c r="Y69" s="1"/>
      <c r="Z69" s="5">
        <f t="shared" si="61"/>
        <v>0</v>
      </c>
    </row>
    <row r="70" spans="1:26" s="24" customFormat="1" hidden="1" outlineLevel="2" x14ac:dyDescent="0.35">
      <c r="A70" s="29"/>
      <c r="B70" s="11" t="str">
        <f>CONCATENATE("          ", "6235", " - ", "COVID-19 EXPENSES")</f>
        <v xml:space="preserve">          6235 - COVID-19 EXPENSES</v>
      </c>
      <c r="C70" s="11"/>
      <c r="D70" s="7"/>
      <c r="E70" s="2"/>
      <c r="F70" s="6">
        <f t="shared" si="54"/>
        <v>0</v>
      </c>
      <c r="G70" s="2"/>
      <c r="H70" s="7">
        <v>0</v>
      </c>
      <c r="I70" s="2"/>
      <c r="J70" s="6">
        <f t="shared" si="55"/>
        <v>0</v>
      </c>
      <c r="K70" s="2"/>
      <c r="L70" s="7">
        <f t="shared" si="56"/>
        <v>0</v>
      </c>
      <c r="M70" s="2"/>
      <c r="N70" s="6">
        <f t="shared" si="57"/>
        <v>0</v>
      </c>
      <c r="O70" s="11"/>
      <c r="P70" s="7"/>
      <c r="Q70" s="2"/>
      <c r="R70" s="6">
        <f t="shared" si="58"/>
        <v>0</v>
      </c>
      <c r="S70" s="2"/>
      <c r="T70" s="7">
        <v>0</v>
      </c>
      <c r="U70" s="2"/>
      <c r="V70" s="6">
        <f t="shared" si="59"/>
        <v>0</v>
      </c>
      <c r="W70" s="2"/>
      <c r="X70" s="7">
        <f t="shared" si="60"/>
        <v>0</v>
      </c>
      <c r="Y70" s="2"/>
      <c r="Z70" s="6">
        <f t="shared" si="61"/>
        <v>0</v>
      </c>
    </row>
    <row r="71" spans="1:26" s="24" customFormat="1" hidden="1" outlineLevel="2" x14ac:dyDescent="0.35">
      <c r="A71" s="29"/>
      <c r="B71" s="11" t="str">
        <f>CONCATENATE("          ", "6237", " - ", "JANITORIAL SUPPLIES")</f>
        <v xml:space="preserve">          6237 - JANITORIAL SUPPLIES</v>
      </c>
      <c r="C71" s="11"/>
      <c r="D71" s="7"/>
      <c r="E71" s="2"/>
      <c r="F71" s="6">
        <f t="shared" si="54"/>
        <v>0</v>
      </c>
      <c r="G71" s="2"/>
      <c r="H71" s="7">
        <v>0</v>
      </c>
      <c r="I71" s="2"/>
      <c r="J71" s="6">
        <f t="shared" si="55"/>
        <v>0</v>
      </c>
      <c r="K71" s="2"/>
      <c r="L71" s="7">
        <f t="shared" si="56"/>
        <v>0</v>
      </c>
      <c r="M71" s="2"/>
      <c r="N71" s="6">
        <f t="shared" si="57"/>
        <v>0</v>
      </c>
      <c r="O71" s="11"/>
      <c r="P71" s="7">
        <v>72</v>
      </c>
      <c r="Q71" s="2"/>
      <c r="R71" s="6">
        <f t="shared" si="58"/>
        <v>0</v>
      </c>
      <c r="S71" s="2"/>
      <c r="T71" s="7">
        <v>0</v>
      </c>
      <c r="U71" s="2"/>
      <c r="V71" s="6">
        <f t="shared" si="59"/>
        <v>0</v>
      </c>
      <c r="W71" s="2"/>
      <c r="X71" s="7">
        <f t="shared" si="60"/>
        <v>72</v>
      </c>
      <c r="Y71" s="2"/>
      <c r="Z71" s="6">
        <f t="shared" si="61"/>
        <v>0</v>
      </c>
    </row>
    <row r="72" spans="1:26" s="24" customFormat="1" hidden="1" outlineLevel="2" x14ac:dyDescent="0.35">
      <c r="A72" s="29"/>
      <c r="B72" s="11" t="str">
        <f>CONCATENATE("          ", "6239", " - ", "KITCHEN SUPPLIES")</f>
        <v xml:space="preserve">          6239 - KITCHEN SUPPLIES</v>
      </c>
      <c r="C72" s="11"/>
      <c r="D72" s="7"/>
      <c r="E72" s="2"/>
      <c r="F72" s="6">
        <f t="shared" si="54"/>
        <v>0</v>
      </c>
      <c r="G72" s="2"/>
      <c r="H72" s="7">
        <v>0</v>
      </c>
      <c r="I72" s="2"/>
      <c r="J72" s="6">
        <f t="shared" si="55"/>
        <v>0</v>
      </c>
      <c r="K72" s="2"/>
      <c r="L72" s="7">
        <f t="shared" si="56"/>
        <v>0</v>
      </c>
      <c r="M72" s="2"/>
      <c r="N72" s="6">
        <f t="shared" si="57"/>
        <v>0</v>
      </c>
      <c r="O72" s="11"/>
      <c r="P72" s="7"/>
      <c r="Q72" s="2"/>
      <c r="R72" s="6">
        <f t="shared" si="58"/>
        <v>0</v>
      </c>
      <c r="S72" s="2"/>
      <c r="T72" s="7">
        <v>0</v>
      </c>
      <c r="U72" s="2"/>
      <c r="V72" s="6">
        <f t="shared" si="59"/>
        <v>0</v>
      </c>
      <c r="W72" s="2"/>
      <c r="X72" s="7">
        <f t="shared" si="60"/>
        <v>0</v>
      </c>
      <c r="Y72" s="2"/>
      <c r="Z72" s="6">
        <f t="shared" si="61"/>
        <v>0</v>
      </c>
    </row>
    <row r="73" spans="1:26" s="24" customFormat="1" hidden="1" outlineLevel="2" x14ac:dyDescent="0.35">
      <c r="A73" s="29"/>
      <c r="B73" s="11" t="str">
        <f>CONCATENATE("          ", "6241", " - ", "OFFICE EXPENSE")</f>
        <v xml:space="preserve">          6241 - OFFICE EXPENSE</v>
      </c>
      <c r="C73" s="11"/>
      <c r="D73" s="7"/>
      <c r="E73" s="2"/>
      <c r="F73" s="6">
        <f t="shared" si="54"/>
        <v>0</v>
      </c>
      <c r="G73" s="2"/>
      <c r="H73" s="7">
        <v>0</v>
      </c>
      <c r="I73" s="2"/>
      <c r="J73" s="6">
        <f t="shared" si="55"/>
        <v>0</v>
      </c>
      <c r="K73" s="2"/>
      <c r="L73" s="7">
        <f t="shared" si="56"/>
        <v>0</v>
      </c>
      <c r="M73" s="2"/>
      <c r="N73" s="6">
        <f t="shared" si="57"/>
        <v>0</v>
      </c>
      <c r="O73" s="11"/>
      <c r="P73" s="7"/>
      <c r="Q73" s="2"/>
      <c r="R73" s="6">
        <f t="shared" si="58"/>
        <v>0</v>
      </c>
      <c r="S73" s="2"/>
      <c r="T73" s="7">
        <v>0</v>
      </c>
      <c r="U73" s="2"/>
      <c r="V73" s="6">
        <f t="shared" si="59"/>
        <v>0</v>
      </c>
      <c r="W73" s="2"/>
      <c r="X73" s="7">
        <f t="shared" si="60"/>
        <v>0</v>
      </c>
      <c r="Y73" s="2"/>
      <c r="Z73" s="6">
        <f t="shared" si="61"/>
        <v>0</v>
      </c>
    </row>
    <row r="74" spans="1:26" s="24" customFormat="1" hidden="1" outlineLevel="2" x14ac:dyDescent="0.35">
      <c r="A74" s="29"/>
      <c r="B74" s="11" t="str">
        <f>CONCATENATE("          ", "6243", " - ", "PAPER SUPPLIES")</f>
        <v xml:space="preserve">          6243 - PAPER SUPPLIES</v>
      </c>
      <c r="C74" s="11"/>
      <c r="D74" s="7"/>
      <c r="E74" s="2"/>
      <c r="F74" s="6">
        <f t="shared" si="54"/>
        <v>0</v>
      </c>
      <c r="G74" s="2"/>
      <c r="H74" s="7">
        <v>0</v>
      </c>
      <c r="I74" s="2"/>
      <c r="J74" s="6">
        <f t="shared" si="55"/>
        <v>0</v>
      </c>
      <c r="K74" s="2"/>
      <c r="L74" s="7">
        <f t="shared" si="56"/>
        <v>0</v>
      </c>
      <c r="M74" s="2"/>
      <c r="N74" s="6">
        <f t="shared" si="57"/>
        <v>0</v>
      </c>
      <c r="O74" s="11"/>
      <c r="P74" s="7"/>
      <c r="Q74" s="2"/>
      <c r="R74" s="6">
        <f t="shared" si="58"/>
        <v>0</v>
      </c>
      <c r="S74" s="2"/>
      <c r="T74" s="7">
        <v>0</v>
      </c>
      <c r="U74" s="2"/>
      <c r="V74" s="6">
        <f t="shared" si="59"/>
        <v>0</v>
      </c>
      <c r="W74" s="2"/>
      <c r="X74" s="7">
        <f t="shared" si="60"/>
        <v>0</v>
      </c>
      <c r="Y74" s="2"/>
      <c r="Z74" s="6">
        <f t="shared" si="61"/>
        <v>0</v>
      </c>
    </row>
    <row r="75" spans="1:26" s="24" customFormat="1" hidden="1" outlineLevel="2" x14ac:dyDescent="0.35">
      <c r="A75" s="29"/>
      <c r="B75" s="11" t="str">
        <f>CONCATENATE("          ", "6245", " - ", "PRINTING")</f>
        <v xml:space="preserve">          6245 - PRINTING</v>
      </c>
      <c r="C75" s="11"/>
      <c r="D75" s="7"/>
      <c r="E75" s="2"/>
      <c r="F75" s="6">
        <f t="shared" si="54"/>
        <v>0</v>
      </c>
      <c r="G75" s="2"/>
      <c r="H75" s="7">
        <v>0</v>
      </c>
      <c r="I75" s="2"/>
      <c r="J75" s="6">
        <f t="shared" si="55"/>
        <v>0</v>
      </c>
      <c r="K75" s="2"/>
      <c r="L75" s="7">
        <f t="shared" si="56"/>
        <v>0</v>
      </c>
      <c r="M75" s="2"/>
      <c r="N75" s="6">
        <f t="shared" si="57"/>
        <v>0</v>
      </c>
      <c r="O75" s="11"/>
      <c r="P75" s="7"/>
      <c r="Q75" s="2"/>
      <c r="R75" s="6">
        <f t="shared" si="58"/>
        <v>0</v>
      </c>
      <c r="S75" s="2"/>
      <c r="T75" s="7">
        <v>0</v>
      </c>
      <c r="U75" s="2"/>
      <c r="V75" s="6">
        <f t="shared" si="59"/>
        <v>0</v>
      </c>
      <c r="W75" s="2"/>
      <c r="X75" s="7">
        <f t="shared" si="60"/>
        <v>0</v>
      </c>
      <c r="Y75" s="2"/>
      <c r="Z75" s="6">
        <f t="shared" si="61"/>
        <v>0</v>
      </c>
    </row>
    <row r="76" spans="1:26" s="24" customFormat="1" hidden="1" outlineLevel="2" x14ac:dyDescent="0.35">
      <c r="A76" s="29"/>
      <c r="B76" s="11" t="str">
        <f>CONCATENATE("          ", "6246", " - ", "REPLACEMENTS")</f>
        <v xml:space="preserve">          6246 - REPLACEMENTS</v>
      </c>
      <c r="C76" s="11"/>
      <c r="D76" s="7"/>
      <c r="E76" s="2"/>
      <c r="F76" s="6">
        <f t="shared" si="54"/>
        <v>0</v>
      </c>
      <c r="G76" s="2"/>
      <c r="H76" s="7">
        <v>0</v>
      </c>
      <c r="I76" s="2"/>
      <c r="J76" s="6">
        <f t="shared" si="55"/>
        <v>0</v>
      </c>
      <c r="K76" s="2"/>
      <c r="L76" s="7">
        <f t="shared" si="56"/>
        <v>0</v>
      </c>
      <c r="M76" s="2"/>
      <c r="N76" s="6">
        <f t="shared" si="57"/>
        <v>0</v>
      </c>
      <c r="O76" s="11"/>
      <c r="P76" s="7"/>
      <c r="Q76" s="2"/>
      <c r="R76" s="6">
        <f t="shared" si="58"/>
        <v>0</v>
      </c>
      <c r="S76" s="2"/>
      <c r="T76" s="7">
        <v>0</v>
      </c>
      <c r="U76" s="2"/>
      <c r="V76" s="6">
        <f t="shared" si="59"/>
        <v>0</v>
      </c>
      <c r="W76" s="2"/>
      <c r="X76" s="7">
        <f t="shared" si="60"/>
        <v>0</v>
      </c>
      <c r="Y76" s="2"/>
      <c r="Z76" s="6">
        <f t="shared" si="61"/>
        <v>0</v>
      </c>
    </row>
    <row r="77" spans="1:26" s="24" customFormat="1" hidden="1" outlineLevel="2" x14ac:dyDescent="0.35">
      <c r="A77" s="29"/>
      <c r="B77" s="11" t="str">
        <f>CONCATENATE("          ", "6247", " - ", "STORE SUPPLIES")</f>
        <v xml:space="preserve">          6247 - STORE SUPPLIES</v>
      </c>
      <c r="C77" s="11"/>
      <c r="D77" s="7"/>
      <c r="E77" s="2"/>
      <c r="F77" s="6">
        <f t="shared" si="54"/>
        <v>0</v>
      </c>
      <c r="G77" s="2"/>
      <c r="H77" s="7">
        <v>0</v>
      </c>
      <c r="I77" s="2"/>
      <c r="J77" s="6">
        <f t="shared" si="55"/>
        <v>0</v>
      </c>
      <c r="K77" s="2"/>
      <c r="L77" s="7">
        <f t="shared" si="56"/>
        <v>0</v>
      </c>
      <c r="M77" s="2"/>
      <c r="N77" s="6">
        <f t="shared" si="57"/>
        <v>0</v>
      </c>
      <c r="O77" s="11"/>
      <c r="P77" s="7"/>
      <c r="Q77" s="2"/>
      <c r="R77" s="6">
        <f t="shared" si="58"/>
        <v>0</v>
      </c>
      <c r="S77" s="2"/>
      <c r="T77" s="7">
        <v>0</v>
      </c>
      <c r="U77" s="2"/>
      <c r="V77" s="6">
        <f t="shared" si="59"/>
        <v>0</v>
      </c>
      <c r="W77" s="2"/>
      <c r="X77" s="7">
        <f t="shared" si="60"/>
        <v>0</v>
      </c>
      <c r="Y77" s="2"/>
      <c r="Z77" s="6">
        <f t="shared" si="61"/>
        <v>0</v>
      </c>
    </row>
    <row r="78" spans="1:26" s="24" customFormat="1" hidden="1" outlineLevel="2" x14ac:dyDescent="0.35">
      <c r="A78" s="29"/>
      <c r="B78" s="11" t="str">
        <f>CONCATENATE("          ", "6248", " - ", "UNIFORMS")</f>
        <v xml:space="preserve">          6248 - UNIFORMS</v>
      </c>
      <c r="C78" s="11"/>
      <c r="D78" s="7"/>
      <c r="E78" s="2"/>
      <c r="F78" s="6">
        <f t="shared" si="54"/>
        <v>0</v>
      </c>
      <c r="G78" s="2"/>
      <c r="H78" s="7"/>
      <c r="I78" s="2"/>
      <c r="J78" s="6">
        <f t="shared" si="55"/>
        <v>0</v>
      </c>
      <c r="K78" s="2"/>
      <c r="L78" s="7">
        <f t="shared" si="56"/>
        <v>0</v>
      </c>
      <c r="M78" s="2"/>
      <c r="N78" s="6">
        <f t="shared" si="57"/>
        <v>0</v>
      </c>
      <c r="O78" s="11"/>
      <c r="P78" s="7"/>
      <c r="Q78" s="2"/>
      <c r="R78" s="6">
        <f t="shared" si="58"/>
        <v>0</v>
      </c>
      <c r="S78" s="2"/>
      <c r="T78" s="7">
        <v>0</v>
      </c>
      <c r="U78" s="2"/>
      <c r="V78" s="6">
        <f t="shared" si="59"/>
        <v>0</v>
      </c>
      <c r="W78" s="2"/>
      <c r="X78" s="7">
        <f t="shared" si="60"/>
        <v>0</v>
      </c>
      <c r="Y78" s="2"/>
      <c r="Z78" s="6">
        <f t="shared" si="61"/>
        <v>0</v>
      </c>
    </row>
    <row r="79" spans="1:26" s="28" customFormat="1" outlineLevel="1" collapsed="1" x14ac:dyDescent="0.35">
      <c r="A79" s="27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SUM(OSRRefD22_14x_0)</f>
        <v>0</v>
      </c>
      <c r="E79" s="1"/>
      <c r="F79" s="5">
        <f t="shared" ref="F79:F86" si="62">IF(D$12=0,0,D79/D$12)</f>
        <v>0</v>
      </c>
      <c r="G79" s="1"/>
      <c r="H79" s="1">
        <f>SUM(OSRRefH22_14x_0)</f>
        <v>0</v>
      </c>
      <c r="I79" s="1"/>
      <c r="J79" s="5">
        <f t="shared" ref="J79:J86" si="63">IF(H$12=0,0,H79/H$12)</f>
        <v>0</v>
      </c>
      <c r="K79" s="1"/>
      <c r="L79" s="1">
        <f t="shared" ref="L79:L86" si="64">+D79-H79</f>
        <v>0</v>
      </c>
      <c r="M79" s="1"/>
      <c r="N79" s="5">
        <f t="shared" ref="N79:N86" si="65">IF(H79=0,0,L79/H79)</f>
        <v>0</v>
      </c>
      <c r="O79" s="14"/>
      <c r="P79" s="1">
        <f>SUM(OSRRefP22_14x_0)</f>
        <v>77.430000000000007</v>
      </c>
      <c r="Q79" s="1"/>
      <c r="R79" s="5">
        <f t="shared" ref="R79:R86" si="66">IF(P$12=0,0,P79/P$12)</f>
        <v>0</v>
      </c>
      <c r="S79" s="1"/>
      <c r="T79" s="1">
        <f>SUM(OSRRefT22_14x_0)</f>
        <v>0</v>
      </c>
      <c r="U79" s="1"/>
      <c r="V79" s="5">
        <f t="shared" ref="V79:V86" si="67">IF(T$12=0,0,T79/T$12)</f>
        <v>0</v>
      </c>
      <c r="W79" s="1"/>
      <c r="X79" s="1">
        <f t="shared" ref="X79:X86" si="68">+P79-T79</f>
        <v>77.430000000000007</v>
      </c>
      <c r="Y79" s="1"/>
      <c r="Z79" s="5">
        <f t="shared" ref="Z79:Z86" si="69">IF(T79=0,0,X79/T79)</f>
        <v>0</v>
      </c>
    </row>
    <row r="80" spans="1:26" s="24" customFormat="1" hidden="1" outlineLevel="2" x14ac:dyDescent="0.35">
      <c r="A80" s="29"/>
      <c r="B80" s="11" t="str">
        <f>CONCATENATE("          ", "6309", " - ", "TELEPHONE")</f>
        <v xml:space="preserve">          6309 - TELEPHONE</v>
      </c>
      <c r="C80" s="11"/>
      <c r="D80" s="7"/>
      <c r="E80" s="2"/>
      <c r="F80" s="6">
        <f t="shared" si="62"/>
        <v>0</v>
      </c>
      <c r="G80" s="2"/>
      <c r="H80" s="7">
        <v>0</v>
      </c>
      <c r="I80" s="2"/>
      <c r="J80" s="6">
        <f t="shared" si="63"/>
        <v>0</v>
      </c>
      <c r="K80" s="2"/>
      <c r="L80" s="7">
        <f t="shared" si="64"/>
        <v>0</v>
      </c>
      <c r="M80" s="2"/>
      <c r="N80" s="6">
        <f t="shared" si="65"/>
        <v>0</v>
      </c>
      <c r="O80" s="11"/>
      <c r="P80" s="7">
        <v>77.430000000000007</v>
      </c>
      <c r="Q80" s="2"/>
      <c r="R80" s="6">
        <f t="shared" si="66"/>
        <v>0</v>
      </c>
      <c r="S80" s="2"/>
      <c r="T80" s="7">
        <v>0</v>
      </c>
      <c r="U80" s="2"/>
      <c r="V80" s="6">
        <f t="shared" si="67"/>
        <v>0</v>
      </c>
      <c r="W80" s="2"/>
      <c r="X80" s="7">
        <f t="shared" si="68"/>
        <v>77.430000000000007</v>
      </c>
      <c r="Y80" s="2"/>
      <c r="Z80" s="6">
        <f t="shared" si="69"/>
        <v>0</v>
      </c>
    </row>
    <row r="81" spans="1:26" s="28" customFormat="1" outlineLevel="1" collapsed="1" x14ac:dyDescent="0.35">
      <c r="A81" s="27"/>
      <c r="B81" s="14" t="str">
        <f>CONCATENATE("     ","Training                                          ")</f>
        <v xml:space="preserve">     Training                                          </v>
      </c>
      <c r="C81" s="14"/>
      <c r="D81" s="1">
        <f>SUM(OSRRefD22_15x_0)</f>
        <v>0</v>
      </c>
      <c r="E81" s="1"/>
      <c r="F81" s="5">
        <f t="shared" si="62"/>
        <v>0</v>
      </c>
      <c r="G81" s="1"/>
      <c r="H81" s="1">
        <f>SUM(OSRRefH22_15x_0)</f>
        <v>0</v>
      </c>
      <c r="I81" s="1"/>
      <c r="J81" s="5">
        <f t="shared" si="63"/>
        <v>0</v>
      </c>
      <c r="K81" s="1"/>
      <c r="L81" s="1">
        <f t="shared" si="64"/>
        <v>0</v>
      </c>
      <c r="M81" s="1"/>
      <c r="N81" s="5">
        <f t="shared" si="65"/>
        <v>0</v>
      </c>
      <c r="O81" s="14"/>
      <c r="P81" s="1">
        <f>SUM(OSRRefP22_15x_0)</f>
        <v>0</v>
      </c>
      <c r="Q81" s="1"/>
      <c r="R81" s="5">
        <f t="shared" si="66"/>
        <v>0</v>
      </c>
      <c r="S81" s="1"/>
      <c r="T81" s="1">
        <f>SUM(OSRRefT22_15x_0)</f>
        <v>0</v>
      </c>
      <c r="U81" s="1"/>
      <c r="V81" s="5">
        <f t="shared" si="67"/>
        <v>0</v>
      </c>
      <c r="W81" s="1"/>
      <c r="X81" s="1">
        <f t="shared" si="68"/>
        <v>0</v>
      </c>
      <c r="Y81" s="1"/>
      <c r="Z81" s="5">
        <f t="shared" si="69"/>
        <v>0</v>
      </c>
    </row>
    <row r="82" spans="1:26" s="24" customFormat="1" hidden="1" outlineLevel="2" x14ac:dyDescent="0.35">
      <c r="A82" s="29"/>
      <c r="B82" s="11" t="str">
        <f>CONCATENATE("          ", "6376", " - ", "TRAINING")</f>
        <v xml:space="preserve">          6376 - TRAINING</v>
      </c>
      <c r="C82" s="11"/>
      <c r="D82" s="7"/>
      <c r="E82" s="2"/>
      <c r="F82" s="6">
        <f t="shared" si="62"/>
        <v>0</v>
      </c>
      <c r="G82" s="2"/>
      <c r="H82" s="7">
        <v>0</v>
      </c>
      <c r="I82" s="2"/>
      <c r="J82" s="6">
        <f t="shared" si="63"/>
        <v>0</v>
      </c>
      <c r="K82" s="2"/>
      <c r="L82" s="7">
        <f t="shared" si="64"/>
        <v>0</v>
      </c>
      <c r="M82" s="2"/>
      <c r="N82" s="6">
        <f t="shared" si="65"/>
        <v>0</v>
      </c>
      <c r="O82" s="11"/>
      <c r="P82" s="7"/>
      <c r="Q82" s="2"/>
      <c r="R82" s="6">
        <f t="shared" si="66"/>
        <v>0</v>
      </c>
      <c r="S82" s="2"/>
      <c r="T82" s="7">
        <v>0</v>
      </c>
      <c r="U82" s="2"/>
      <c r="V82" s="6">
        <f t="shared" si="67"/>
        <v>0</v>
      </c>
      <c r="W82" s="2"/>
      <c r="X82" s="7">
        <f t="shared" si="68"/>
        <v>0</v>
      </c>
      <c r="Y82" s="2"/>
      <c r="Z82" s="6">
        <f t="shared" si="69"/>
        <v>0</v>
      </c>
    </row>
    <row r="83" spans="1:26" s="28" customFormat="1" outlineLevel="1" collapsed="1" x14ac:dyDescent="0.35">
      <c r="A83" s="27"/>
      <c r="B83" s="14" t="str">
        <f>CONCATENATE("     ","Travel                                            ")</f>
        <v xml:space="preserve">     Travel                                            </v>
      </c>
      <c r="C83" s="14"/>
      <c r="D83" s="1">
        <f>SUM(OSRRefD22_16x_0)</f>
        <v>0</v>
      </c>
      <c r="E83" s="1"/>
      <c r="F83" s="5">
        <f t="shared" si="62"/>
        <v>0</v>
      </c>
      <c r="G83" s="1"/>
      <c r="H83" s="1">
        <f>SUM(OSRRefH22_16x_0)</f>
        <v>0</v>
      </c>
      <c r="I83" s="1"/>
      <c r="J83" s="5">
        <f t="shared" si="63"/>
        <v>0</v>
      </c>
      <c r="K83" s="1"/>
      <c r="L83" s="1">
        <f t="shared" si="64"/>
        <v>0</v>
      </c>
      <c r="M83" s="1"/>
      <c r="N83" s="5">
        <f t="shared" si="65"/>
        <v>0</v>
      </c>
      <c r="O83" s="14"/>
      <c r="P83" s="1">
        <f>SUM(OSRRefP22_16x_0)</f>
        <v>0</v>
      </c>
      <c r="Q83" s="1"/>
      <c r="R83" s="5">
        <f t="shared" si="66"/>
        <v>0</v>
      </c>
      <c r="S83" s="1"/>
      <c r="T83" s="1">
        <f>SUM(OSRRefT22_16x_0)</f>
        <v>0</v>
      </c>
      <c r="U83" s="1"/>
      <c r="V83" s="5">
        <f t="shared" si="67"/>
        <v>0</v>
      </c>
      <c r="W83" s="1"/>
      <c r="X83" s="1">
        <f t="shared" si="68"/>
        <v>0</v>
      </c>
      <c r="Y83" s="1"/>
      <c r="Z83" s="5">
        <f t="shared" si="69"/>
        <v>0</v>
      </c>
    </row>
    <row r="84" spans="1:26" s="24" customFormat="1" hidden="1" outlineLevel="2" x14ac:dyDescent="0.35">
      <c r="A84" s="29"/>
      <c r="B84" s="11" t="str">
        <f>CONCATENATE("          ", "6292", " - ", "TRAVEL/CONFERENCE")</f>
        <v xml:space="preserve">          6292 - TRAVEL/CONFERENCE</v>
      </c>
      <c r="C84" s="11"/>
      <c r="D84" s="7"/>
      <c r="E84" s="2"/>
      <c r="F84" s="6">
        <f t="shared" si="62"/>
        <v>0</v>
      </c>
      <c r="G84" s="2"/>
      <c r="H84" s="7"/>
      <c r="I84" s="2"/>
      <c r="J84" s="6">
        <f t="shared" si="63"/>
        <v>0</v>
      </c>
      <c r="K84" s="2"/>
      <c r="L84" s="7">
        <f t="shared" si="64"/>
        <v>0</v>
      </c>
      <c r="M84" s="2"/>
      <c r="N84" s="6">
        <f t="shared" si="65"/>
        <v>0</v>
      </c>
      <c r="O84" s="11"/>
      <c r="P84" s="7"/>
      <c r="Q84" s="2"/>
      <c r="R84" s="6">
        <f t="shared" si="66"/>
        <v>0</v>
      </c>
      <c r="S84" s="2"/>
      <c r="T84" s="7">
        <v>0</v>
      </c>
      <c r="U84" s="2"/>
      <c r="V84" s="6">
        <f t="shared" si="67"/>
        <v>0</v>
      </c>
      <c r="W84" s="2"/>
      <c r="X84" s="7">
        <f t="shared" si="68"/>
        <v>0</v>
      </c>
      <c r="Y84" s="2"/>
      <c r="Z84" s="6">
        <f t="shared" si="69"/>
        <v>0</v>
      </c>
    </row>
    <row r="85" spans="1:26" s="28" customFormat="1" outlineLevel="1" collapsed="1" x14ac:dyDescent="0.35">
      <c r="A85" s="27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SUM(OSRRefD22_17x_0)</f>
        <v>348</v>
      </c>
      <c r="E85" s="1"/>
      <c r="F85" s="5">
        <f t="shared" si="62"/>
        <v>0</v>
      </c>
      <c r="G85" s="1"/>
      <c r="H85" s="1">
        <f>SUM(OSRRefH22_17x_0)</f>
        <v>0</v>
      </c>
      <c r="I85" s="1"/>
      <c r="J85" s="5">
        <f t="shared" si="63"/>
        <v>0</v>
      </c>
      <c r="K85" s="1"/>
      <c r="L85" s="1">
        <f t="shared" si="64"/>
        <v>348</v>
      </c>
      <c r="M85" s="1"/>
      <c r="N85" s="5">
        <f t="shared" si="65"/>
        <v>0</v>
      </c>
      <c r="O85" s="14"/>
      <c r="P85" s="1">
        <f>SUM(OSRRefP22_17x_0)</f>
        <v>1392</v>
      </c>
      <c r="Q85" s="1"/>
      <c r="R85" s="5">
        <f t="shared" si="66"/>
        <v>0</v>
      </c>
      <c r="S85" s="1"/>
      <c r="T85" s="1">
        <f>SUM(OSRRefT22_17x_0)</f>
        <v>0</v>
      </c>
      <c r="U85" s="1"/>
      <c r="V85" s="5">
        <f t="shared" si="67"/>
        <v>0</v>
      </c>
      <c r="W85" s="1"/>
      <c r="X85" s="1">
        <f t="shared" si="68"/>
        <v>1392</v>
      </c>
      <c r="Y85" s="1"/>
      <c r="Z85" s="5">
        <f t="shared" si="69"/>
        <v>0</v>
      </c>
    </row>
    <row r="86" spans="1:26" s="24" customFormat="1" hidden="1" outlineLevel="2" x14ac:dyDescent="0.35">
      <c r="A86" s="29"/>
      <c r="B86" s="11" t="str">
        <f>CONCATENATE("          ", "6274", " - ", "UTILITIES")</f>
        <v xml:space="preserve">          6274 - UTILITIES</v>
      </c>
      <c r="C86" s="11"/>
      <c r="D86" s="7">
        <v>348</v>
      </c>
      <c r="E86" s="2"/>
      <c r="F86" s="6">
        <f t="shared" si="62"/>
        <v>0</v>
      </c>
      <c r="G86" s="2"/>
      <c r="H86" s="7">
        <v>0</v>
      </c>
      <c r="I86" s="2"/>
      <c r="J86" s="6">
        <f t="shared" si="63"/>
        <v>0</v>
      </c>
      <c r="K86" s="2"/>
      <c r="L86" s="7">
        <f t="shared" si="64"/>
        <v>348</v>
      </c>
      <c r="M86" s="2"/>
      <c r="N86" s="6">
        <f t="shared" si="65"/>
        <v>0</v>
      </c>
      <c r="O86" s="11"/>
      <c r="P86" s="7">
        <v>1392</v>
      </c>
      <c r="Q86" s="2"/>
      <c r="R86" s="6">
        <f t="shared" si="66"/>
        <v>0</v>
      </c>
      <c r="S86" s="2"/>
      <c r="T86" s="7">
        <v>0</v>
      </c>
      <c r="U86" s="2"/>
      <c r="V86" s="6">
        <f t="shared" si="67"/>
        <v>0</v>
      </c>
      <c r="W86" s="2"/>
      <c r="X86" s="7">
        <f t="shared" si="68"/>
        <v>1392</v>
      </c>
      <c r="Y86" s="2"/>
      <c r="Z86" s="6">
        <f t="shared" si="69"/>
        <v>0</v>
      </c>
    </row>
    <row r="87" spans="1:26" s="55" customFormat="1" x14ac:dyDescent="0.3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35">
      <c r="A88" s="10"/>
      <c r="B88" s="25" t="s">
        <v>0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3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35">
      <c r="A90" s="10"/>
      <c r="B90" s="26" t="s">
        <v>3</v>
      </c>
      <c r="C90" s="26"/>
      <c r="D90" s="19">
        <f>+D19-D21+D88</f>
        <v>-5696.01</v>
      </c>
      <c r="E90" s="13"/>
      <c r="F90" s="21">
        <f>IF(D$12=0,0,D90/D$12)</f>
        <v>0</v>
      </c>
      <c r="G90" s="13"/>
      <c r="H90" s="19">
        <f>+H19-H21+H88</f>
        <v>-7384.333333333333</v>
      </c>
      <c r="I90" s="13"/>
      <c r="J90" s="21">
        <f>IF(H$12=0,0,H90/H$12)</f>
        <v>0</v>
      </c>
      <c r="K90" s="16"/>
      <c r="L90" s="19">
        <f>+D90-H90</f>
        <v>1688.3233333333328</v>
      </c>
      <c r="M90" s="16"/>
      <c r="N90" s="21">
        <f>IF(H90=0,0,L90/H90)</f>
        <v>-0.22863585067485209</v>
      </c>
      <c r="O90" s="25"/>
      <c r="P90" s="19">
        <f>+P19-P21+P88</f>
        <v>-50886.05000000001</v>
      </c>
      <c r="Q90" s="13"/>
      <c r="R90" s="21">
        <f>IF(P$12=0,0,P90/P$12)</f>
        <v>0</v>
      </c>
      <c r="S90" s="13"/>
      <c r="T90" s="19">
        <f>+T19-T21+T88</f>
        <v>-51981.333333333328</v>
      </c>
      <c r="U90" s="13"/>
      <c r="V90" s="21">
        <f>IF(T$12=0,0,T90/T$12)</f>
        <v>0</v>
      </c>
      <c r="W90" s="16"/>
      <c r="X90" s="19">
        <f>+P90-T90</f>
        <v>1095.2833333333183</v>
      </c>
      <c r="Y90" s="16"/>
      <c r="Z90" s="21">
        <f>IF(T90=0,0,X90/T90)</f>
        <v>-2.1070704868414017E-2</v>
      </c>
    </row>
    <row r="91" spans="1:26" x14ac:dyDescent="0.3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35">
      <c r="A92" s="52"/>
      <c r="B92" s="10" t="s">
        <v>14</v>
      </c>
      <c r="C92" s="10"/>
      <c r="D92" s="4"/>
      <c r="E92" s="4"/>
      <c r="F92" s="12">
        <f>IF(D$12=0,0,D92/D$12)</f>
        <v>0</v>
      </c>
      <c r="G92" s="4"/>
      <c r="H92" s="4"/>
      <c r="I92" s="4"/>
      <c r="J92" s="12">
        <f>IF(H$12=0,0,H92/H$12)</f>
        <v>0</v>
      </c>
      <c r="K92" s="4"/>
      <c r="L92" s="4">
        <f>+D92-H92</f>
        <v>0</v>
      </c>
      <c r="M92" s="4"/>
      <c r="N92" s="12">
        <f>IF(H92=0,0,L92/H92)</f>
        <v>0</v>
      </c>
      <c r="O92" s="10"/>
      <c r="P92" s="4"/>
      <c r="Q92" s="4"/>
      <c r="R92" s="12">
        <f>IF(P$12=0,0,P92/P$12)</f>
        <v>0</v>
      </c>
      <c r="S92" s="4"/>
      <c r="T92" s="4"/>
      <c r="U92" s="4"/>
      <c r="V92" s="12">
        <f>IF(T$12=0,0,T92/T$12)</f>
        <v>0</v>
      </c>
      <c r="W92" s="4"/>
      <c r="X92" s="4">
        <f>+P92-T92</f>
        <v>0</v>
      </c>
      <c r="Y92" s="4"/>
      <c r="Z92" s="12">
        <f>IF(T92=0,0,X92/T92)</f>
        <v>0</v>
      </c>
    </row>
    <row r="93" spans="1:26" x14ac:dyDescent="0.3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" thickBot="1" x14ac:dyDescent="0.4">
      <c r="A94" s="10"/>
      <c r="B94" s="26" t="s">
        <v>4</v>
      </c>
      <c r="C94" s="26"/>
      <c r="D94" s="33">
        <f>+D90-D92</f>
        <v>-5696.01</v>
      </c>
      <c r="E94" s="13"/>
      <c r="F94" s="31">
        <f>IF(D$12=0,0,D94/D$12)</f>
        <v>0</v>
      </c>
      <c r="G94" s="13"/>
      <c r="H94" s="33">
        <f>+H90-H92</f>
        <v>-7384.333333333333</v>
      </c>
      <c r="I94" s="13"/>
      <c r="J94" s="31">
        <f>IF(H$12=0,0,H94/H$12)</f>
        <v>0</v>
      </c>
      <c r="K94" s="16"/>
      <c r="L94" s="33">
        <f>D94-H94</f>
        <v>1688.3233333333328</v>
      </c>
      <c r="M94" s="16"/>
      <c r="N94" s="31">
        <f>IF(H94=0,0,L94/H94)</f>
        <v>-0.22863585067485209</v>
      </c>
      <c r="O94" s="25"/>
      <c r="P94" s="33">
        <f>+P90-P92</f>
        <v>-50886.05000000001</v>
      </c>
      <c r="Q94" s="13"/>
      <c r="R94" s="31">
        <f>IF(P$12=0,0,P94/P$12)</f>
        <v>0</v>
      </c>
      <c r="S94" s="13"/>
      <c r="T94" s="33">
        <f>+T90-T92</f>
        <v>-51981.333333333328</v>
      </c>
      <c r="U94" s="13"/>
      <c r="V94" s="31">
        <f>IF(T$12=0,0,T94/T$12)</f>
        <v>0</v>
      </c>
      <c r="W94" s="16"/>
      <c r="X94" s="33">
        <f>P94-T94</f>
        <v>1095.2833333333183</v>
      </c>
      <c r="Y94" s="16"/>
      <c r="Z94" s="31">
        <f>IF(T94=0,0,X94/T94)</f>
        <v>-2.1070704868414017E-2</v>
      </c>
    </row>
    <row r="95" spans="1:26" ht="15" thickTop="1" x14ac:dyDescent="0.3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3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" thickBot="1" x14ac:dyDescent="0.4">
      <c r="A97" s="10"/>
      <c r="B97" s="26" t="s">
        <v>5</v>
      </c>
      <c r="C97" s="26"/>
      <c r="D97" s="34">
        <f>SUM(D94:D96)</f>
        <v>-5696.01</v>
      </c>
      <c r="E97" s="13"/>
      <c r="F97" s="32">
        <f>IF(D$12=0,0,D97/D$12)</f>
        <v>0</v>
      </c>
      <c r="G97" s="13"/>
      <c r="H97" s="34">
        <f>SUM(H94:H96)</f>
        <v>-7384.333333333333</v>
      </c>
      <c r="I97" s="13"/>
      <c r="J97" s="32">
        <f>IF(H$12=0,0,H97/H$12)</f>
        <v>0</v>
      </c>
      <c r="K97" s="16"/>
      <c r="L97" s="34">
        <f>+D97-H97</f>
        <v>1688.3233333333328</v>
      </c>
      <c r="M97" s="16"/>
      <c r="N97" s="32">
        <f>IF(H97=0,0,L97/H97)</f>
        <v>-0.22863585067485209</v>
      </c>
      <c r="O97" s="25"/>
      <c r="P97" s="34">
        <f>SUM(P94:P96)</f>
        <v>-50886.05000000001</v>
      </c>
      <c r="Q97" s="13"/>
      <c r="R97" s="32">
        <f>IF(P$12=0,0,P97/P$12)</f>
        <v>0</v>
      </c>
      <c r="S97" s="13"/>
      <c r="T97" s="34">
        <f>SUM(T94:T96)</f>
        <v>-51981.333333333328</v>
      </c>
      <c r="U97" s="13"/>
      <c r="V97" s="32">
        <f>IF(T$12=0,0,T97/T$12)</f>
        <v>0</v>
      </c>
      <c r="W97" s="16"/>
      <c r="X97" s="34">
        <f>+P97-T97</f>
        <v>1095.2833333333183</v>
      </c>
      <c r="Y97" s="16"/>
      <c r="Z97" s="32">
        <f>IF(T97=0,0,X97/T97)</f>
        <v>-2.1070704868414017E-2</v>
      </c>
    </row>
    <row r="98" spans="1:26" ht="15" thickTop="1" x14ac:dyDescent="0.35">
      <c r="A98" s="9"/>
      <c r="C98" s="9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6" x14ac:dyDescent="0.35">
      <c r="A99" s="9"/>
      <c r="B99" s="60">
        <v>44238.490648842591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35">
      <c r="A100" s="9"/>
      <c r="B100" s="59" t="s">
        <v>314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35">
      <c r="A101" s="9"/>
      <c r="B101" s="58"/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35"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","406", " - ", "OPA! Greek")</f>
        <v>Department 406 - OPA! Greek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6" t="s">
        <v>6</v>
      </c>
      <c r="C16" s="26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6"/>
      <c r="L16" s="19">
        <f>+D16-H16</f>
        <v>0</v>
      </c>
      <c r="M16" s="16"/>
      <c r="N16" s="21">
        <f>IF(H16=0,0,L16/H16)</f>
        <v>0</v>
      </c>
      <c r="O16" s="25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6"/>
      <c r="X16" s="19">
        <f>+P16-T16</f>
        <v>0</v>
      </c>
      <c r="Y16" s="16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5" t="s">
        <v>9</v>
      </c>
      <c r="C18" s="10"/>
      <c r="D18" s="20">
        <f>SUM(OSRRefD22x_0)</f>
        <v>119.55</v>
      </c>
      <c r="E18" s="20"/>
      <c r="F18" s="30">
        <f t="shared" ref="F18:F28" si="0">IF(D$12=0,0,D18/D$12)</f>
        <v>0</v>
      </c>
      <c r="G18" s="20"/>
      <c r="H18" s="20">
        <f>SUM(OSRRefH22x_0)</f>
        <v>435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-315.45</v>
      </c>
      <c r="M18" s="4"/>
      <c r="N18" s="30">
        <f t="shared" ref="N18:N28" si="3">IF(H18=0,0,L18/H18)</f>
        <v>-0.72517241379310338</v>
      </c>
      <c r="O18" s="10"/>
      <c r="P18" s="20">
        <f>SUM(OSRRefP22x_0)</f>
        <v>1864.0500000000002</v>
      </c>
      <c r="Q18" s="20"/>
      <c r="R18" s="30">
        <f t="shared" ref="R18:R28" si="4">IF(P$12=0,0,P18/P$12)</f>
        <v>0</v>
      </c>
      <c r="S18" s="20"/>
      <c r="T18" s="20">
        <f>SUM(OSRRefT22x_0)</f>
        <v>3045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-1180.9499999999998</v>
      </c>
      <c r="Y18" s="4"/>
      <c r="Z18" s="30">
        <f t="shared" ref="Z18:Z28" si="7">IF(T18=0,0,X18/T18)</f>
        <v>-0.38783251231527088</v>
      </c>
    </row>
    <row r="19" spans="1:26" s="28" customFormat="1" outlineLevel="1" collapsed="1" x14ac:dyDescent="0.3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660.8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660.8</v>
      </c>
      <c r="Y19" s="1"/>
      <c r="Z19" s="5">
        <f t="shared" si="7"/>
        <v>0</v>
      </c>
    </row>
    <row r="20" spans="1:26" s="24" customFormat="1" hidden="1" outlineLevel="2" x14ac:dyDescent="0.35">
      <c r="A20" s="29"/>
      <c r="B20" s="11" t="str">
        <f>CONCATENATE("          ", "6113", " - ", "GROUP INSURANCE")</f>
        <v xml:space="preserve">          6113 - GROUP INSURANCE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660.8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660.8</v>
      </c>
      <c r="Y20" s="2"/>
      <c r="Z20" s="6">
        <f t="shared" si="7"/>
        <v>0</v>
      </c>
    </row>
    <row r="21" spans="1:26" s="28" customFormat="1" outlineLevel="1" collapsed="1" x14ac:dyDescent="0.35">
      <c r="A21" s="27"/>
      <c r="B21" s="14" t="str">
        <f>CONCATENATE("     ","Depreciation                                      ")</f>
        <v xml:space="preserve">     Depreciation                                      </v>
      </c>
      <c r="C21" s="14"/>
      <c r="D21" s="1">
        <f>SUM(OSRRefD22_1x_0)</f>
        <v>119.55</v>
      </c>
      <c r="E21" s="1"/>
      <c r="F21" s="5">
        <f t="shared" si="0"/>
        <v>0</v>
      </c>
      <c r="G21" s="1"/>
      <c r="H21" s="1">
        <f>SUM(OSRRefH22_1x_0)</f>
        <v>435</v>
      </c>
      <c r="I21" s="1"/>
      <c r="J21" s="5">
        <f t="shared" si="1"/>
        <v>0</v>
      </c>
      <c r="K21" s="1"/>
      <c r="L21" s="1">
        <f t="shared" si="2"/>
        <v>-315.45</v>
      </c>
      <c r="M21" s="1"/>
      <c r="N21" s="5">
        <f t="shared" si="3"/>
        <v>-0.72517241379310338</v>
      </c>
      <c r="O21" s="14"/>
      <c r="P21" s="1">
        <f>SUM(OSRRefP22_1x_0)</f>
        <v>836.85</v>
      </c>
      <c r="Q21" s="1"/>
      <c r="R21" s="5">
        <f t="shared" si="4"/>
        <v>0</v>
      </c>
      <c r="S21" s="1"/>
      <c r="T21" s="1">
        <f>SUM(OSRRefT22_1x_0)</f>
        <v>3045</v>
      </c>
      <c r="U21" s="1"/>
      <c r="V21" s="5">
        <f t="shared" si="5"/>
        <v>0</v>
      </c>
      <c r="W21" s="1"/>
      <c r="X21" s="1">
        <f t="shared" si="6"/>
        <v>-2208.15</v>
      </c>
      <c r="Y21" s="1"/>
      <c r="Z21" s="5">
        <f t="shared" si="7"/>
        <v>-0.72517241379310349</v>
      </c>
    </row>
    <row r="22" spans="1:26" s="24" customFormat="1" hidden="1" outlineLevel="2" x14ac:dyDescent="0.35">
      <c r="A22" s="29"/>
      <c r="B22" s="11" t="str">
        <f>CONCATENATE("          ", "6322", " - ", "EQUIPMENT DEPRECIATION EXPENSE")</f>
        <v xml:space="preserve">          6322 - EQUIPMENT DEPRECIATION EXPENSE</v>
      </c>
      <c r="C22" s="11"/>
      <c r="D22" s="7">
        <v>119.55</v>
      </c>
      <c r="E22" s="2"/>
      <c r="F22" s="6">
        <f t="shared" si="0"/>
        <v>0</v>
      </c>
      <c r="G22" s="2"/>
      <c r="H22" s="7">
        <v>435</v>
      </c>
      <c r="I22" s="2"/>
      <c r="J22" s="6">
        <f t="shared" si="1"/>
        <v>0</v>
      </c>
      <c r="K22" s="2"/>
      <c r="L22" s="7">
        <f t="shared" si="2"/>
        <v>-315.45</v>
      </c>
      <c r="M22" s="2"/>
      <c r="N22" s="6">
        <f t="shared" si="3"/>
        <v>-0.72517241379310338</v>
      </c>
      <c r="O22" s="11"/>
      <c r="P22" s="7">
        <v>836.85</v>
      </c>
      <c r="Q22" s="2"/>
      <c r="R22" s="6">
        <f t="shared" si="4"/>
        <v>0</v>
      </c>
      <c r="S22" s="2"/>
      <c r="T22" s="7">
        <v>3045</v>
      </c>
      <c r="U22" s="2"/>
      <c r="V22" s="6">
        <f t="shared" si="5"/>
        <v>0</v>
      </c>
      <c r="W22" s="2"/>
      <c r="X22" s="7">
        <f t="shared" si="6"/>
        <v>-2208.15</v>
      </c>
      <c r="Y22" s="2"/>
      <c r="Z22" s="6">
        <f t="shared" si="7"/>
        <v>-0.72517241379310349</v>
      </c>
    </row>
    <row r="23" spans="1:26" s="28" customFormat="1" outlineLevel="1" collapsed="1" x14ac:dyDescent="0.35">
      <c r="A23" s="27"/>
      <c r="B23" s="14" t="str">
        <f>CONCATENATE("     ","Equipment Rental                                  ")</f>
        <v xml:space="preserve">     Equipment Rental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64.02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64.02</v>
      </c>
      <c r="Y23" s="1"/>
      <c r="Z23" s="5">
        <f t="shared" si="7"/>
        <v>0</v>
      </c>
    </row>
    <row r="24" spans="1:26" s="24" customFormat="1" hidden="1" outlineLevel="2" x14ac:dyDescent="0.35">
      <c r="A24" s="29"/>
      <c r="B24" s="11" t="str">
        <f>CONCATENATE("          ", "6351", " - ", "EQUIPMENT RENTAL")</f>
        <v xml:space="preserve">          6351 - EQUIPMENT RENTAL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64.02</v>
      </c>
      <c r="Q24" s="2"/>
      <c r="R24" s="6">
        <f t="shared" si="4"/>
        <v>0</v>
      </c>
      <c r="S24" s="2"/>
      <c r="T24" s="7"/>
      <c r="U24" s="2"/>
      <c r="V24" s="6">
        <f t="shared" si="5"/>
        <v>0</v>
      </c>
      <c r="W24" s="2"/>
      <c r="X24" s="7">
        <f t="shared" si="6"/>
        <v>64.02</v>
      </c>
      <c r="Y24" s="2"/>
      <c r="Z24" s="6">
        <f t="shared" si="7"/>
        <v>0</v>
      </c>
    </row>
    <row r="25" spans="1:26" s="28" customFormat="1" outlineLevel="1" collapsed="1" x14ac:dyDescent="0.35">
      <c r="A25" s="27"/>
      <c r="B25" s="14" t="str">
        <f>CONCATENATE("     ","Repair and Maintenance                            ")</f>
        <v xml:space="preserve">     Repair and Maintenance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217.18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217.18</v>
      </c>
      <c r="Y25" s="1"/>
      <c r="Z25" s="5">
        <f t="shared" si="7"/>
        <v>0</v>
      </c>
    </row>
    <row r="26" spans="1:26" s="24" customFormat="1" hidden="1" outlineLevel="2" x14ac:dyDescent="0.35">
      <c r="A26" s="29"/>
      <c r="B26" s="11" t="str">
        <f>CONCATENATE("          ", "6373", " - ", "MAINTENANCE CONTRACTS")</f>
        <v xml:space="preserve">          6373 - MAINTENANCE CONTRACTS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217.18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217.18</v>
      </c>
      <c r="Y26" s="2"/>
      <c r="Z26" s="6">
        <f t="shared" si="7"/>
        <v>0</v>
      </c>
    </row>
    <row r="27" spans="1:26" s="28" customFormat="1" outlineLevel="1" collapsed="1" x14ac:dyDescent="0.35">
      <c r="A27" s="27"/>
      <c r="B27" s="14" t="str">
        <f>CONCATENATE("     ","Telephone/Data Lines                              ")</f>
        <v xml:space="preserve">     Telephone/Data Lines                              </v>
      </c>
      <c r="C27" s="14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0</v>
      </c>
      <c r="M27" s="1"/>
      <c r="N27" s="5">
        <f t="shared" si="3"/>
        <v>0</v>
      </c>
      <c r="O27" s="14"/>
      <c r="P27" s="1">
        <f>SUM(OSRRefP22_4x_0)</f>
        <v>85.2</v>
      </c>
      <c r="Q27" s="1"/>
      <c r="R27" s="5">
        <f t="shared" si="4"/>
        <v>0</v>
      </c>
      <c r="S27" s="1"/>
      <c r="T27" s="1">
        <f>SUM(OSRRefT22_4x_0)</f>
        <v>0</v>
      </c>
      <c r="U27" s="1"/>
      <c r="V27" s="5">
        <f t="shared" si="5"/>
        <v>0</v>
      </c>
      <c r="W27" s="1"/>
      <c r="X27" s="1">
        <f t="shared" si="6"/>
        <v>85.2</v>
      </c>
      <c r="Y27" s="1"/>
      <c r="Z27" s="5">
        <f t="shared" si="7"/>
        <v>0</v>
      </c>
    </row>
    <row r="28" spans="1:26" s="24" customFormat="1" hidden="1" outlineLevel="2" x14ac:dyDescent="0.35">
      <c r="A28" s="29"/>
      <c r="B28" s="11" t="str">
        <f>CONCATENATE("          ", "6309", " - ", "TELEPHONE")</f>
        <v xml:space="preserve">          6309 - TELEPHONE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85.2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85.2</v>
      </c>
      <c r="Y28" s="2"/>
      <c r="Z28" s="6">
        <f t="shared" si="7"/>
        <v>0</v>
      </c>
    </row>
    <row r="29" spans="1:26" s="55" customFormat="1" x14ac:dyDescent="0.35">
      <c r="A29" s="36"/>
      <c r="B29" s="36"/>
      <c r="C29" s="36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35">
      <c r="A30" s="10"/>
      <c r="B30" s="25" t="s">
        <v>0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3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35">
      <c r="A32" s="10"/>
      <c r="B32" s="26" t="s">
        <v>3</v>
      </c>
      <c r="C32" s="26"/>
      <c r="D32" s="19">
        <f>+D16-D18+D30</f>
        <v>-119.55</v>
      </c>
      <c r="E32" s="13"/>
      <c r="F32" s="21">
        <f>IF(D$12=0,0,D32/D$12)</f>
        <v>0</v>
      </c>
      <c r="G32" s="13"/>
      <c r="H32" s="19">
        <f>+H16-H18+H30</f>
        <v>-435</v>
      </c>
      <c r="I32" s="13"/>
      <c r="J32" s="21">
        <f>IF(H$12=0,0,H32/H$12)</f>
        <v>0</v>
      </c>
      <c r="K32" s="16"/>
      <c r="L32" s="19">
        <f>+D32-H32</f>
        <v>315.45</v>
      </c>
      <c r="M32" s="16"/>
      <c r="N32" s="21">
        <f>IF(H32=0,0,L32/H32)</f>
        <v>-0.72517241379310338</v>
      </c>
      <c r="O32" s="25"/>
      <c r="P32" s="19">
        <f>+P16-P18+P30</f>
        <v>-1864.0500000000002</v>
      </c>
      <c r="Q32" s="13"/>
      <c r="R32" s="21">
        <f>IF(P$12=0,0,P32/P$12)</f>
        <v>0</v>
      </c>
      <c r="S32" s="13"/>
      <c r="T32" s="19">
        <f>+T16-T18+T30</f>
        <v>-3045</v>
      </c>
      <c r="U32" s="13"/>
      <c r="V32" s="21">
        <f>IF(T$12=0,0,T32/T$12)</f>
        <v>0</v>
      </c>
      <c r="W32" s="16"/>
      <c r="X32" s="19">
        <f>+P32-T32</f>
        <v>1180.9499999999998</v>
      </c>
      <c r="Y32" s="16"/>
      <c r="Z32" s="21">
        <f>IF(T32=0,0,X32/T32)</f>
        <v>-0.38783251231527088</v>
      </c>
    </row>
    <row r="33" spans="1:26" x14ac:dyDescent="0.3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35">
      <c r="A34" s="52"/>
      <c r="B34" s="10" t="s">
        <v>14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3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4</v>
      </c>
      <c r="C36" s="26"/>
      <c r="D36" s="33">
        <f>+D32-D34</f>
        <v>-119.55</v>
      </c>
      <c r="E36" s="13"/>
      <c r="F36" s="31">
        <f>IF(D$12=0,0,D36/D$12)</f>
        <v>0</v>
      </c>
      <c r="G36" s="13"/>
      <c r="H36" s="33">
        <f>+H32-H34</f>
        <v>-435</v>
      </c>
      <c r="I36" s="13"/>
      <c r="J36" s="31">
        <f>IF(H$12=0,0,H36/H$12)</f>
        <v>0</v>
      </c>
      <c r="K36" s="16"/>
      <c r="L36" s="33">
        <f>D36-H36</f>
        <v>315.45</v>
      </c>
      <c r="M36" s="16"/>
      <c r="N36" s="31">
        <f>IF(H36=0,0,L36/H36)</f>
        <v>-0.72517241379310338</v>
      </c>
      <c r="O36" s="25"/>
      <c r="P36" s="33">
        <f>+P32-P34</f>
        <v>-1864.0500000000002</v>
      </c>
      <c r="Q36" s="13"/>
      <c r="R36" s="31">
        <f>IF(P$12=0,0,P36/P$12)</f>
        <v>0</v>
      </c>
      <c r="S36" s="13"/>
      <c r="T36" s="33">
        <f>+T32-T34</f>
        <v>-3045</v>
      </c>
      <c r="U36" s="13"/>
      <c r="V36" s="31">
        <f>IF(T$12=0,0,T36/T$12)</f>
        <v>0</v>
      </c>
      <c r="W36" s="16"/>
      <c r="X36" s="33">
        <f>P36-T36</f>
        <v>1180.9499999999998</v>
      </c>
      <c r="Y36" s="16"/>
      <c r="Z36" s="31">
        <f>IF(T36=0,0,X36/T36)</f>
        <v>-0.38783251231527088</v>
      </c>
    </row>
    <row r="37" spans="1:26" ht="15" thickTop="1" x14ac:dyDescent="0.3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3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" thickBot="1" x14ac:dyDescent="0.4">
      <c r="A39" s="10"/>
      <c r="B39" s="26" t="s">
        <v>5</v>
      </c>
      <c r="C39" s="26"/>
      <c r="D39" s="34">
        <f>SUM(D36:D38)</f>
        <v>-119.55</v>
      </c>
      <c r="E39" s="13"/>
      <c r="F39" s="32">
        <f>IF(D$12=0,0,D39/D$12)</f>
        <v>0</v>
      </c>
      <c r="G39" s="13"/>
      <c r="H39" s="34">
        <f>SUM(H36:H38)</f>
        <v>-435</v>
      </c>
      <c r="I39" s="13"/>
      <c r="J39" s="32">
        <f>IF(H$12=0,0,H39/H$12)</f>
        <v>0</v>
      </c>
      <c r="K39" s="16"/>
      <c r="L39" s="34">
        <f>+D39-H39</f>
        <v>315.45</v>
      </c>
      <c r="M39" s="16"/>
      <c r="N39" s="32">
        <f>IF(H39=0,0,L39/H39)</f>
        <v>-0.72517241379310338</v>
      </c>
      <c r="O39" s="25"/>
      <c r="P39" s="34">
        <f>SUM(P36:P38)</f>
        <v>-1864.0500000000002</v>
      </c>
      <c r="Q39" s="13"/>
      <c r="R39" s="32">
        <f>IF(P$12=0,0,P39/P$12)</f>
        <v>0</v>
      </c>
      <c r="S39" s="13"/>
      <c r="T39" s="34">
        <f>SUM(T36:T38)</f>
        <v>-3045</v>
      </c>
      <c r="U39" s="13"/>
      <c r="V39" s="32">
        <f>IF(T$12=0,0,T39/T$12)</f>
        <v>0</v>
      </c>
      <c r="W39" s="16"/>
      <c r="X39" s="34">
        <f>+P39-T39</f>
        <v>1180.9499999999998</v>
      </c>
      <c r="Y39" s="16"/>
      <c r="Z39" s="32">
        <f>IF(T39=0,0,X39/T39)</f>
        <v>-0.38783251231527088</v>
      </c>
    </row>
    <row r="40" spans="1:26" ht="15" thickTop="1" x14ac:dyDescent="0.35">
      <c r="A40" s="9"/>
      <c r="C40" s="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A41" s="9"/>
      <c r="B41" s="60">
        <v>44238.490660960648</v>
      </c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35">
      <c r="A42" s="9"/>
      <c r="B42" s="59" t="s">
        <v>314</v>
      </c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35">
      <c r="A43" s="9"/>
      <c r="B43" s="58"/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35"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","411", " - ", "University Dining")</f>
        <v>Department 411 - University Dining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6" t="s">
        <v>6</v>
      </c>
      <c r="C16" s="26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6"/>
      <c r="L16" s="19">
        <f>+D16-H16</f>
        <v>0</v>
      </c>
      <c r="M16" s="16"/>
      <c r="N16" s="21">
        <f>IF(H16=0,0,L16/H16)</f>
        <v>0</v>
      </c>
      <c r="O16" s="25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6"/>
      <c r="X16" s="19">
        <f>+P16-T16</f>
        <v>0</v>
      </c>
      <c r="Y16" s="16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5" t="s">
        <v>9</v>
      </c>
      <c r="C18" s="10"/>
      <c r="D18" s="20">
        <f>SUM(OSRRefD22x_0)</f>
        <v>37456.579999999994</v>
      </c>
      <c r="E18" s="20"/>
      <c r="F18" s="30">
        <f t="shared" ref="F18:F28" si="0">IF(D$12=0,0,D18/D$12)</f>
        <v>0</v>
      </c>
      <c r="G18" s="20"/>
      <c r="H18" s="20">
        <f>SUM(OSRRefH22x_0)</f>
        <v>18113.076923076922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19343.503076923073</v>
      </c>
      <c r="M18" s="4"/>
      <c r="N18" s="30">
        <f t="shared" ref="N18:N28" si="3">IF(H18=0,0,L18/H18)</f>
        <v>1.0679302671253237</v>
      </c>
      <c r="O18" s="10"/>
      <c r="P18" s="20">
        <f>SUM(OSRRefP22x_0)</f>
        <v>189852.84000000003</v>
      </c>
      <c r="Q18" s="20"/>
      <c r="R18" s="30">
        <f t="shared" ref="R18:R28" si="4">IF(P$12=0,0,P18/P$12)</f>
        <v>0</v>
      </c>
      <c r="S18" s="20"/>
      <c r="T18" s="20">
        <f>SUM(OSRRefT22x_0)</f>
        <v>125626.07692307692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64226.763076923104</v>
      </c>
      <c r="Y18" s="4"/>
      <c r="Z18" s="30">
        <f t="shared" ref="Z18:Z28" si="7">IF(T18=0,0,X18/T18)</f>
        <v>0.51125343280639335</v>
      </c>
    </row>
    <row r="19" spans="1:26" s="28" customFormat="1" outlineLevel="1" collapsed="1" x14ac:dyDescent="0.3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6174.2999999999993</v>
      </c>
      <c r="E19" s="1"/>
      <c r="F19" s="5">
        <f t="shared" si="0"/>
        <v>0</v>
      </c>
      <c r="G19" s="1"/>
      <c r="H19" s="1">
        <f>SUM(OSRRefH22_0x_0)</f>
        <v>3333.0769230769201</v>
      </c>
      <c r="I19" s="1"/>
      <c r="J19" s="5">
        <f t="shared" si="1"/>
        <v>0</v>
      </c>
      <c r="K19" s="1"/>
      <c r="L19" s="1">
        <f t="shared" si="2"/>
        <v>2841.2230769230791</v>
      </c>
      <c r="M19" s="1"/>
      <c r="N19" s="5">
        <f t="shared" si="3"/>
        <v>0.85243249480729433</v>
      </c>
      <c r="O19" s="14"/>
      <c r="P19" s="1">
        <f>SUM(OSRRefP22_0x_0)</f>
        <v>42373.81</v>
      </c>
      <c r="Q19" s="1"/>
      <c r="R19" s="5">
        <f t="shared" si="4"/>
        <v>0</v>
      </c>
      <c r="S19" s="1"/>
      <c r="T19" s="1">
        <f>SUM(OSRRefT22_0x_0)</f>
        <v>22053.076923076918</v>
      </c>
      <c r="U19" s="1"/>
      <c r="V19" s="5">
        <f t="shared" si="5"/>
        <v>0</v>
      </c>
      <c r="W19" s="1"/>
      <c r="X19" s="1">
        <f t="shared" si="6"/>
        <v>20320.733076923079</v>
      </c>
      <c r="Y19" s="1"/>
      <c r="Z19" s="5">
        <f t="shared" si="7"/>
        <v>0.92144661481042267</v>
      </c>
    </row>
    <row r="20" spans="1:26" s="24" customFormat="1" hidden="1" outlineLevel="2" x14ac:dyDescent="0.35">
      <c r="A20" s="29"/>
      <c r="B20" s="11" t="str">
        <f>CONCATENATE("          ", "6111", " - ", "F.I.C.A.")</f>
        <v xml:space="preserve">          6111 - F.I.C.A.</v>
      </c>
      <c r="C20" s="11"/>
      <c r="D20" s="7">
        <v>852.54</v>
      </c>
      <c r="E20" s="2"/>
      <c r="F20" s="6">
        <f t="shared" si="0"/>
        <v>0</v>
      </c>
      <c r="G20" s="2"/>
      <c r="H20" s="7">
        <v>0</v>
      </c>
      <c r="I20" s="2"/>
      <c r="J20" s="6">
        <f t="shared" si="1"/>
        <v>0</v>
      </c>
      <c r="K20" s="2"/>
      <c r="L20" s="7">
        <f t="shared" si="2"/>
        <v>852.54</v>
      </c>
      <c r="M20" s="2"/>
      <c r="N20" s="6">
        <f t="shared" si="3"/>
        <v>0</v>
      </c>
      <c r="O20" s="11"/>
      <c r="P20" s="7">
        <v>6188.63</v>
      </c>
      <c r="Q20" s="2"/>
      <c r="R20" s="6">
        <f t="shared" si="4"/>
        <v>0</v>
      </c>
      <c r="S20" s="2"/>
      <c r="T20" s="7">
        <v>0</v>
      </c>
      <c r="U20" s="2"/>
      <c r="V20" s="6">
        <f t="shared" si="5"/>
        <v>0</v>
      </c>
      <c r="W20" s="2"/>
      <c r="X20" s="7">
        <f t="shared" si="6"/>
        <v>6188.63</v>
      </c>
      <c r="Y20" s="2"/>
      <c r="Z20" s="6">
        <f t="shared" si="7"/>
        <v>0</v>
      </c>
    </row>
    <row r="21" spans="1:26" s="24" customFormat="1" hidden="1" outlineLevel="2" x14ac:dyDescent="0.3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-21.55</v>
      </c>
      <c r="E21" s="2"/>
      <c r="F21" s="6">
        <f t="shared" si="0"/>
        <v>0</v>
      </c>
      <c r="G21" s="2"/>
      <c r="H21" s="7">
        <v>0</v>
      </c>
      <c r="I21" s="2"/>
      <c r="J21" s="6">
        <f t="shared" si="1"/>
        <v>0</v>
      </c>
      <c r="K21" s="2"/>
      <c r="L21" s="7">
        <f t="shared" si="2"/>
        <v>-21.55</v>
      </c>
      <c r="M21" s="2"/>
      <c r="N21" s="6">
        <f t="shared" si="3"/>
        <v>0</v>
      </c>
      <c r="O21" s="11"/>
      <c r="P21" s="7">
        <v>403.52</v>
      </c>
      <c r="Q21" s="2"/>
      <c r="R21" s="6">
        <f t="shared" si="4"/>
        <v>0</v>
      </c>
      <c r="S21" s="2"/>
      <c r="T21" s="7">
        <v>0</v>
      </c>
      <c r="U21" s="2"/>
      <c r="V21" s="6">
        <f t="shared" si="5"/>
        <v>0</v>
      </c>
      <c r="W21" s="2"/>
      <c r="X21" s="7">
        <f t="shared" si="6"/>
        <v>403.52</v>
      </c>
      <c r="Y21" s="2"/>
      <c r="Z21" s="6">
        <f t="shared" si="7"/>
        <v>0</v>
      </c>
    </row>
    <row r="22" spans="1:26" s="24" customFormat="1" hidden="1" outlineLevel="2" x14ac:dyDescent="0.35">
      <c r="A22" s="29"/>
      <c r="B22" s="11" t="str">
        <f>CONCATENATE("          ", "6113", " - ", "GROUP INSURANCE")</f>
        <v xml:space="preserve">          6113 - GROUP INSURANCE</v>
      </c>
      <c r="C22" s="11"/>
      <c r="D22" s="7">
        <v>1920.87</v>
      </c>
      <c r="E22" s="2"/>
      <c r="F22" s="6">
        <f t="shared" si="0"/>
        <v>0</v>
      </c>
      <c r="G22" s="2"/>
      <c r="H22" s="7">
        <v>2983.0769230769201</v>
      </c>
      <c r="I22" s="2"/>
      <c r="J22" s="6">
        <f t="shared" si="1"/>
        <v>0</v>
      </c>
      <c r="K22" s="2"/>
      <c r="L22" s="7">
        <f t="shared" si="2"/>
        <v>-1062.2069230769202</v>
      </c>
      <c r="M22" s="2"/>
      <c r="N22" s="6">
        <f t="shared" si="3"/>
        <v>-0.35607761732851928</v>
      </c>
      <c r="O22" s="11"/>
      <c r="P22" s="7">
        <v>12491.34</v>
      </c>
      <c r="Q22" s="2"/>
      <c r="R22" s="6">
        <f t="shared" si="4"/>
        <v>0</v>
      </c>
      <c r="S22" s="2"/>
      <c r="T22" s="7">
        <v>19603.076923076918</v>
      </c>
      <c r="U22" s="2"/>
      <c r="V22" s="6">
        <f t="shared" si="5"/>
        <v>0</v>
      </c>
      <c r="W22" s="2"/>
      <c r="X22" s="7">
        <f t="shared" si="6"/>
        <v>-7111.7369230769182</v>
      </c>
      <c r="Y22" s="2"/>
      <c r="Z22" s="6">
        <f t="shared" si="7"/>
        <v>-0.36278676816826227</v>
      </c>
    </row>
    <row r="23" spans="1:26" s="24" customFormat="1" hidden="1" outlineLevel="2" x14ac:dyDescent="0.3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57.76</v>
      </c>
      <c r="E23" s="2"/>
      <c r="F23" s="6">
        <f t="shared" si="0"/>
        <v>0</v>
      </c>
      <c r="G23" s="2"/>
      <c r="H23" s="7">
        <v>0</v>
      </c>
      <c r="I23" s="2"/>
      <c r="J23" s="6">
        <f t="shared" si="1"/>
        <v>0</v>
      </c>
      <c r="K23" s="2"/>
      <c r="L23" s="7">
        <f t="shared" si="2"/>
        <v>57.76</v>
      </c>
      <c r="M23" s="2"/>
      <c r="N23" s="6">
        <f t="shared" si="3"/>
        <v>0</v>
      </c>
      <c r="O23" s="11"/>
      <c r="P23" s="7">
        <v>253.03</v>
      </c>
      <c r="Q23" s="2"/>
      <c r="R23" s="6">
        <f t="shared" si="4"/>
        <v>0</v>
      </c>
      <c r="S23" s="2"/>
      <c r="T23" s="7">
        <v>0</v>
      </c>
      <c r="U23" s="2"/>
      <c r="V23" s="6">
        <f t="shared" si="5"/>
        <v>0</v>
      </c>
      <c r="W23" s="2"/>
      <c r="X23" s="7">
        <f t="shared" si="6"/>
        <v>253.03</v>
      </c>
      <c r="Y23" s="2"/>
      <c r="Z23" s="6">
        <f t="shared" si="7"/>
        <v>0</v>
      </c>
    </row>
    <row r="24" spans="1:26" s="24" customFormat="1" hidden="1" outlineLevel="2" x14ac:dyDescent="0.35">
      <c r="A24" s="29"/>
      <c r="B24" s="11" t="str">
        <f>CONCATENATE("          ", "6115", " - ", "P.E.R.S.")</f>
        <v xml:space="preserve">          6115 - P.E.R.S.</v>
      </c>
      <c r="C24" s="11"/>
      <c r="D24" s="7">
        <v>1831.58</v>
      </c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1831.58</v>
      </c>
      <c r="M24" s="2"/>
      <c r="N24" s="6">
        <f t="shared" si="3"/>
        <v>0</v>
      </c>
      <c r="O24" s="11"/>
      <c r="P24" s="7">
        <v>10818.79</v>
      </c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10818.79</v>
      </c>
      <c r="Y24" s="2"/>
      <c r="Z24" s="6">
        <f t="shared" si="7"/>
        <v>0</v>
      </c>
    </row>
    <row r="25" spans="1:26" s="24" customFormat="1" hidden="1" outlineLevel="2" x14ac:dyDescent="0.3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35">
      <c r="A26" s="29"/>
      <c r="B26" s="11" t="str">
        <f>CONCATENATE("          ", "6118", " - ", "VACATION")</f>
        <v xml:space="preserve">          6118 - VACATION</v>
      </c>
      <c r="C26" s="11"/>
      <c r="D26" s="7">
        <v>1022.52</v>
      </c>
      <c r="E26" s="2"/>
      <c r="F26" s="6">
        <f t="shared" si="0"/>
        <v>0</v>
      </c>
      <c r="G26" s="2"/>
      <c r="H26" s="7">
        <v>0</v>
      </c>
      <c r="I26" s="2"/>
      <c r="J26" s="6">
        <f t="shared" si="1"/>
        <v>0</v>
      </c>
      <c r="K26" s="2"/>
      <c r="L26" s="7">
        <f t="shared" si="2"/>
        <v>1022.52</v>
      </c>
      <c r="M26" s="2"/>
      <c r="N26" s="6">
        <f t="shared" si="3"/>
        <v>0</v>
      </c>
      <c r="O26" s="11"/>
      <c r="P26" s="7">
        <v>7861.04</v>
      </c>
      <c r="Q26" s="2"/>
      <c r="R26" s="6">
        <f t="shared" si="4"/>
        <v>0</v>
      </c>
      <c r="S26" s="2"/>
      <c r="T26" s="7">
        <v>0</v>
      </c>
      <c r="U26" s="2"/>
      <c r="V26" s="6">
        <f t="shared" si="5"/>
        <v>0</v>
      </c>
      <c r="W26" s="2"/>
      <c r="X26" s="7">
        <f t="shared" si="6"/>
        <v>7861.04</v>
      </c>
      <c r="Y26" s="2"/>
      <c r="Z26" s="6">
        <f t="shared" si="7"/>
        <v>0</v>
      </c>
    </row>
    <row r="27" spans="1:26" s="24" customFormat="1" hidden="1" outlineLevel="2" x14ac:dyDescent="0.35">
      <c r="A27" s="29"/>
      <c r="B27" s="11" t="str">
        <f>CONCATENATE("          ", "6119", " - ", "SICK LEAVE")</f>
        <v xml:space="preserve">          6119 - SICK LEAVE</v>
      </c>
      <c r="C27" s="11"/>
      <c r="D27" s="7">
        <v>510.58</v>
      </c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510.58</v>
      </c>
      <c r="M27" s="2"/>
      <c r="N27" s="6">
        <f t="shared" si="3"/>
        <v>0</v>
      </c>
      <c r="O27" s="11"/>
      <c r="P27" s="7">
        <v>3925.29</v>
      </c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3925.29</v>
      </c>
      <c r="Y27" s="2"/>
      <c r="Z27" s="6">
        <f t="shared" si="7"/>
        <v>0</v>
      </c>
    </row>
    <row r="28" spans="1:26" s="24" customFormat="1" hidden="1" outlineLevel="2" x14ac:dyDescent="0.35">
      <c r="A28" s="29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>
        <v>350</v>
      </c>
      <c r="I28" s="2"/>
      <c r="J28" s="6">
        <f t="shared" si="1"/>
        <v>0</v>
      </c>
      <c r="K28" s="2"/>
      <c r="L28" s="7">
        <f t="shared" si="2"/>
        <v>-350</v>
      </c>
      <c r="M28" s="2"/>
      <c r="N28" s="6">
        <f t="shared" si="3"/>
        <v>-1</v>
      </c>
      <c r="O28" s="11"/>
      <c r="P28" s="7">
        <v>432.17</v>
      </c>
      <c r="Q28" s="2"/>
      <c r="R28" s="6">
        <f t="shared" si="4"/>
        <v>0</v>
      </c>
      <c r="S28" s="2"/>
      <c r="T28" s="7">
        <v>2450</v>
      </c>
      <c r="U28" s="2"/>
      <c r="V28" s="6">
        <f t="shared" si="5"/>
        <v>0</v>
      </c>
      <c r="W28" s="2"/>
      <c r="X28" s="7">
        <f t="shared" si="6"/>
        <v>-2017.83</v>
      </c>
      <c r="Y28" s="2"/>
      <c r="Z28" s="6">
        <f t="shared" si="7"/>
        <v>-0.82360408163265308</v>
      </c>
    </row>
    <row r="29" spans="1:26" s="28" customFormat="1" outlineLevel="1" collapsed="1" x14ac:dyDescent="0.3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13911.28</v>
      </c>
      <c r="E29" s="1"/>
      <c r="F29" s="5">
        <f t="shared" ref="F29:F39" si="8">IF(D$12=0,0,D29/D$12)</f>
        <v>0</v>
      </c>
      <c r="G29" s="1"/>
      <c r="H29" s="1">
        <f>SUM(OSRRefH22_1x_0)</f>
        <v>0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13911.28</v>
      </c>
      <c r="M29" s="1"/>
      <c r="N29" s="5">
        <f t="shared" ref="N29:N39" si="11">IF(H29=0,0,L29/H29)</f>
        <v>0</v>
      </c>
      <c r="O29" s="14"/>
      <c r="P29" s="1">
        <f>SUM(OSRRefP22_1x_0)</f>
        <v>78976.079999999987</v>
      </c>
      <c r="Q29" s="1"/>
      <c r="R29" s="5">
        <f t="shared" ref="R29:R39" si="12">IF(P$12=0,0,P29/P$12)</f>
        <v>0</v>
      </c>
      <c r="S29" s="1"/>
      <c r="T29" s="1">
        <f>SUM(OSRRefT22_1x_0)</f>
        <v>0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78976.079999999987</v>
      </c>
      <c r="Y29" s="1"/>
      <c r="Z29" s="5">
        <f t="shared" ref="Z29:Z39" si="15">IF(T29=0,0,X29/T29)</f>
        <v>0</v>
      </c>
    </row>
    <row r="30" spans="1:26" s="24" customFormat="1" hidden="1" outlineLevel="2" x14ac:dyDescent="0.3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>
        <v>13911.28</v>
      </c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13911.28</v>
      </c>
      <c r="M30" s="2"/>
      <c r="N30" s="6">
        <f t="shared" si="11"/>
        <v>0</v>
      </c>
      <c r="O30" s="11"/>
      <c r="P30" s="7">
        <v>76591.079999999987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76591.079999999987</v>
      </c>
      <c r="Y30" s="2"/>
      <c r="Z30" s="6">
        <f t="shared" si="15"/>
        <v>0</v>
      </c>
    </row>
    <row r="31" spans="1:26" s="24" customFormat="1" hidden="1" outlineLevel="2" x14ac:dyDescent="0.35">
      <c r="A31" s="29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>
        <v>2080</v>
      </c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2080</v>
      </c>
      <c r="Y31" s="2"/>
      <c r="Z31" s="6">
        <f t="shared" si="15"/>
        <v>0</v>
      </c>
    </row>
    <row r="32" spans="1:26" s="24" customFormat="1" hidden="1" outlineLevel="2" x14ac:dyDescent="0.35">
      <c r="A32" s="29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35">
      <c r="A33" s="29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3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>
        <v>305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305</v>
      </c>
      <c r="Y34" s="2"/>
      <c r="Z34" s="6">
        <f t="shared" si="15"/>
        <v>0</v>
      </c>
    </row>
    <row r="35" spans="1:26" s="24" customFormat="1" hidden="1" outlineLevel="2" x14ac:dyDescent="0.3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35">
      <c r="A36" s="29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3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35">
      <c r="A38" s="29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35">
      <c r="A39" s="29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35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0</v>
      </c>
      <c r="M40" s="1"/>
      <c r="N40" s="5">
        <f t="shared" ref="N40:N46" si="19">IF(H40=0,0,L40/H40)</f>
        <v>0</v>
      </c>
      <c r="O40" s="14"/>
      <c r="P40" s="1">
        <f>SUM(OSRRefP22_2x_0)</f>
        <v>0</v>
      </c>
      <c r="Q40" s="1"/>
      <c r="R40" s="5">
        <f t="shared" ref="R40:R46" si="20">IF(P$12=0,0,P40/P$12)</f>
        <v>0</v>
      </c>
      <c r="S40" s="1"/>
      <c r="T40" s="1">
        <f>SUM(OSRRefT22_2x_0)</f>
        <v>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0</v>
      </c>
      <c r="Y40" s="1"/>
      <c r="Z40" s="5">
        <f t="shared" ref="Z40:Z46" si="23">IF(T40=0,0,X40/T40)</f>
        <v>0</v>
      </c>
    </row>
    <row r="41" spans="1:26" s="24" customFormat="1" hidden="1" outlineLevel="2" x14ac:dyDescent="0.35">
      <c r="A41" s="29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>
        <v>0</v>
      </c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/>
      <c r="Q41" s="2"/>
      <c r="R41" s="6">
        <f t="shared" si="20"/>
        <v>0</v>
      </c>
      <c r="S41" s="2"/>
      <c r="T41" s="7">
        <v>0</v>
      </c>
      <c r="U41" s="2"/>
      <c r="V41" s="6">
        <f t="shared" si="21"/>
        <v>0</v>
      </c>
      <c r="W41" s="2"/>
      <c r="X41" s="7">
        <f t="shared" si="22"/>
        <v>0</v>
      </c>
      <c r="Y41" s="2"/>
      <c r="Z41" s="6">
        <f t="shared" si="23"/>
        <v>0</v>
      </c>
    </row>
    <row r="42" spans="1:26" s="28" customFormat="1" outlineLevel="1" collapsed="1" x14ac:dyDescent="0.3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SUM(OSRRefD22_3x_0)</f>
        <v>492.67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492.67</v>
      </c>
      <c r="M42" s="1"/>
      <c r="N42" s="5">
        <f t="shared" si="19"/>
        <v>0</v>
      </c>
      <c r="O42" s="14"/>
      <c r="P42" s="1">
        <f>SUM(OSRRefP22_3x_0)</f>
        <v>2680.58</v>
      </c>
      <c r="Q42" s="1"/>
      <c r="R42" s="5">
        <f t="shared" si="20"/>
        <v>0</v>
      </c>
      <c r="S42" s="1"/>
      <c r="T42" s="1">
        <f>SUM(OSRRefT22_3x_0)</f>
        <v>0</v>
      </c>
      <c r="U42" s="1"/>
      <c r="V42" s="5">
        <f t="shared" si="21"/>
        <v>0</v>
      </c>
      <c r="W42" s="1"/>
      <c r="X42" s="1">
        <f t="shared" si="22"/>
        <v>2680.58</v>
      </c>
      <c r="Y42" s="1"/>
      <c r="Z42" s="5">
        <f t="shared" si="23"/>
        <v>0</v>
      </c>
    </row>
    <row r="43" spans="1:26" s="24" customFormat="1" hidden="1" outlineLevel="2" x14ac:dyDescent="0.35">
      <c r="A43" s="29"/>
      <c r="B43" s="11" t="str">
        <f>CONCATENATE("          ", "6381", " - ", "BANK/CREDIT CARD FEES")</f>
        <v xml:space="preserve">          6381 - BANK/CREDIT CARD FEES</v>
      </c>
      <c r="C43" s="11"/>
      <c r="D43" s="7">
        <v>492.67</v>
      </c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492.67</v>
      </c>
      <c r="M43" s="2"/>
      <c r="N43" s="6">
        <f t="shared" si="19"/>
        <v>0</v>
      </c>
      <c r="O43" s="11"/>
      <c r="P43" s="7">
        <v>2680.58</v>
      </c>
      <c r="Q43" s="2"/>
      <c r="R43" s="6">
        <f t="shared" si="20"/>
        <v>0</v>
      </c>
      <c r="S43" s="2"/>
      <c r="T43" s="7"/>
      <c r="U43" s="2"/>
      <c r="V43" s="6">
        <f t="shared" si="21"/>
        <v>0</v>
      </c>
      <c r="W43" s="2"/>
      <c r="X43" s="7">
        <f t="shared" si="22"/>
        <v>2680.58</v>
      </c>
      <c r="Y43" s="2"/>
      <c r="Z43" s="6">
        <f t="shared" si="23"/>
        <v>0</v>
      </c>
    </row>
    <row r="44" spans="1:26" s="28" customFormat="1" outlineLevel="1" collapsed="1" x14ac:dyDescent="0.3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SUM(OSRRefD22_4x_0)</f>
        <v>6779.8600000000006</v>
      </c>
      <c r="E44" s="1"/>
      <c r="F44" s="5">
        <f t="shared" si="16"/>
        <v>0</v>
      </c>
      <c r="G44" s="1"/>
      <c r="H44" s="1">
        <f>SUM(OSRRefH22_4x_0)</f>
        <v>6744</v>
      </c>
      <c r="I44" s="1"/>
      <c r="J44" s="5">
        <f t="shared" si="17"/>
        <v>0</v>
      </c>
      <c r="K44" s="1"/>
      <c r="L44" s="1">
        <f t="shared" si="18"/>
        <v>35.860000000000582</v>
      </c>
      <c r="M44" s="1"/>
      <c r="N44" s="5">
        <f t="shared" si="19"/>
        <v>5.3173190984579745E-3</v>
      </c>
      <c r="O44" s="14"/>
      <c r="P44" s="1">
        <f>SUM(OSRRefP22_4x_0)</f>
        <v>48243.209999999992</v>
      </c>
      <c r="Q44" s="1"/>
      <c r="R44" s="5">
        <f t="shared" si="20"/>
        <v>0</v>
      </c>
      <c r="S44" s="1"/>
      <c r="T44" s="1">
        <f>SUM(OSRRefT22_4x_0)</f>
        <v>47994</v>
      </c>
      <c r="U44" s="1"/>
      <c r="V44" s="5">
        <f t="shared" si="21"/>
        <v>0</v>
      </c>
      <c r="W44" s="1"/>
      <c r="X44" s="1">
        <f t="shared" si="22"/>
        <v>249.20999999999185</v>
      </c>
      <c r="Y44" s="1"/>
      <c r="Z44" s="5">
        <f t="shared" si="23"/>
        <v>5.1925240655080187E-3</v>
      </c>
    </row>
    <row r="45" spans="1:26" s="24" customFormat="1" hidden="1" outlineLevel="2" x14ac:dyDescent="0.35">
      <c r="A45" s="29"/>
      <c r="B45" s="11" t="str">
        <f>CONCATENATE("          ", "6321", " - ", "BUILDING DEPRECIATION")</f>
        <v xml:space="preserve">          6321 - BUILDING DEPRECIATION</v>
      </c>
      <c r="C45" s="11"/>
      <c r="D45" s="7">
        <v>1822.68</v>
      </c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1822.68</v>
      </c>
      <c r="M45" s="2"/>
      <c r="N45" s="6">
        <f t="shared" si="19"/>
        <v>0</v>
      </c>
      <c r="O45" s="11"/>
      <c r="P45" s="7">
        <v>13542.95</v>
      </c>
      <c r="Q45" s="2"/>
      <c r="R45" s="6">
        <f t="shared" si="20"/>
        <v>0</v>
      </c>
      <c r="S45" s="2"/>
      <c r="T45" s="7"/>
      <c r="U45" s="2"/>
      <c r="V45" s="6">
        <f t="shared" si="21"/>
        <v>0</v>
      </c>
      <c r="W45" s="2"/>
      <c r="X45" s="7">
        <f t="shared" si="22"/>
        <v>13542.95</v>
      </c>
      <c r="Y45" s="2"/>
      <c r="Z45" s="6">
        <f t="shared" si="23"/>
        <v>0</v>
      </c>
    </row>
    <row r="46" spans="1:26" s="24" customFormat="1" hidden="1" outlineLevel="2" x14ac:dyDescent="0.35">
      <c r="A46" s="29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4957.18</v>
      </c>
      <c r="E46" s="2"/>
      <c r="F46" s="6">
        <f t="shared" si="16"/>
        <v>0</v>
      </c>
      <c r="G46" s="2"/>
      <c r="H46" s="7">
        <v>6744</v>
      </c>
      <c r="I46" s="2"/>
      <c r="J46" s="6">
        <f t="shared" si="17"/>
        <v>0</v>
      </c>
      <c r="K46" s="2"/>
      <c r="L46" s="7">
        <f t="shared" si="18"/>
        <v>-1786.8199999999997</v>
      </c>
      <c r="M46" s="2"/>
      <c r="N46" s="6">
        <f t="shared" si="19"/>
        <v>-0.26494958481613279</v>
      </c>
      <c r="O46" s="11"/>
      <c r="P46" s="7">
        <v>34700.259999999995</v>
      </c>
      <c r="Q46" s="2"/>
      <c r="R46" s="6">
        <f t="shared" si="20"/>
        <v>0</v>
      </c>
      <c r="S46" s="2"/>
      <c r="T46" s="7">
        <v>47994</v>
      </c>
      <c r="U46" s="2"/>
      <c r="V46" s="6">
        <f t="shared" si="21"/>
        <v>0</v>
      </c>
      <c r="W46" s="2"/>
      <c r="X46" s="7">
        <f t="shared" si="22"/>
        <v>-13293.740000000005</v>
      </c>
      <c r="Y46" s="2"/>
      <c r="Z46" s="6">
        <f t="shared" si="23"/>
        <v>-0.27698754010918042</v>
      </c>
    </row>
    <row r="47" spans="1:26" s="28" customFormat="1" outlineLevel="1" collapsed="1" x14ac:dyDescent="0.35">
      <c r="A47" s="27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SUM(OSRRefD22_5x_0)</f>
        <v>91.26</v>
      </c>
      <c r="E47" s="1"/>
      <c r="F47" s="5">
        <f t="shared" ref="F47:F57" si="24">IF(D$12=0,0,D47/D$12)</f>
        <v>0</v>
      </c>
      <c r="G47" s="1"/>
      <c r="H47" s="1">
        <f>SUM(OSRRefH22_5x_0)</f>
        <v>0</v>
      </c>
      <c r="I47" s="1"/>
      <c r="J47" s="5">
        <f t="shared" ref="J47:J57" si="25">IF(H$12=0,0,H47/H$12)</f>
        <v>0</v>
      </c>
      <c r="K47" s="1"/>
      <c r="L47" s="1">
        <f t="shared" ref="L47:L57" si="26">+D47-H47</f>
        <v>91.26</v>
      </c>
      <c r="M47" s="1"/>
      <c r="N47" s="5">
        <f t="shared" ref="N47:N57" si="27">IF(H47=0,0,L47/H47)</f>
        <v>0</v>
      </c>
      <c r="O47" s="14"/>
      <c r="P47" s="1">
        <f>SUM(OSRRefP22_5x_0)</f>
        <v>2928.23</v>
      </c>
      <c r="Q47" s="1"/>
      <c r="R47" s="5">
        <f t="shared" ref="R47:R57" si="28">IF(P$12=0,0,P47/P$12)</f>
        <v>0</v>
      </c>
      <c r="S47" s="1"/>
      <c r="T47" s="1">
        <f>SUM(OSRRefT22_5x_0)</f>
        <v>0</v>
      </c>
      <c r="U47" s="1"/>
      <c r="V47" s="5">
        <f t="shared" ref="V47:V57" si="29">IF(T$12=0,0,T47/T$12)</f>
        <v>0</v>
      </c>
      <c r="W47" s="1"/>
      <c r="X47" s="1">
        <f t="shared" ref="X47:X57" si="30">+P47-T47</f>
        <v>2928.23</v>
      </c>
      <c r="Y47" s="1"/>
      <c r="Z47" s="5">
        <f t="shared" ref="Z47:Z57" si="31">IF(T47=0,0,X47/T47)</f>
        <v>0</v>
      </c>
    </row>
    <row r="48" spans="1:26" s="24" customFormat="1" hidden="1" outlineLevel="2" x14ac:dyDescent="0.35">
      <c r="A48" s="29"/>
      <c r="B48" s="11" t="str">
        <f>CONCATENATE("          ", "6351", " - ", "EQUIPMENT RENTAL")</f>
        <v xml:space="preserve">          6351 - EQUIPMENT RENTAL</v>
      </c>
      <c r="C48" s="11"/>
      <c r="D48" s="7">
        <v>91.26</v>
      </c>
      <c r="E48" s="2"/>
      <c r="F48" s="6">
        <f t="shared" si="24"/>
        <v>0</v>
      </c>
      <c r="G48" s="2"/>
      <c r="H48" s="7">
        <v>0</v>
      </c>
      <c r="I48" s="2"/>
      <c r="J48" s="6">
        <f t="shared" si="25"/>
        <v>0</v>
      </c>
      <c r="K48" s="2"/>
      <c r="L48" s="7">
        <f t="shared" si="26"/>
        <v>91.26</v>
      </c>
      <c r="M48" s="2"/>
      <c r="N48" s="6">
        <f t="shared" si="27"/>
        <v>0</v>
      </c>
      <c r="O48" s="11"/>
      <c r="P48" s="7">
        <v>2928.23</v>
      </c>
      <c r="Q48" s="2"/>
      <c r="R48" s="6">
        <f t="shared" si="28"/>
        <v>0</v>
      </c>
      <c r="S48" s="2"/>
      <c r="T48" s="7">
        <v>0</v>
      </c>
      <c r="U48" s="2"/>
      <c r="V48" s="6">
        <f t="shared" si="29"/>
        <v>0</v>
      </c>
      <c r="W48" s="2"/>
      <c r="X48" s="7">
        <f t="shared" si="30"/>
        <v>2928.23</v>
      </c>
      <c r="Y48" s="2"/>
      <c r="Z48" s="6">
        <f t="shared" si="31"/>
        <v>0</v>
      </c>
    </row>
    <row r="49" spans="1:26" s="28" customFormat="1" outlineLevel="1" collapsed="1" x14ac:dyDescent="0.35">
      <c r="A49" s="27"/>
      <c r="B49" s="14" t="str">
        <f>CONCATENATE("     ","Freight out/Postage                               ")</f>
        <v xml:space="preserve">     Freight out/Postage                               </v>
      </c>
      <c r="C49" s="14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0</v>
      </c>
      <c r="M49" s="1"/>
      <c r="N49" s="5">
        <f t="shared" si="27"/>
        <v>0</v>
      </c>
      <c r="O49" s="14"/>
      <c r="P49" s="1">
        <f>SUM(OSRRefP22_6x_0)</f>
        <v>-5.41</v>
      </c>
      <c r="Q49" s="1"/>
      <c r="R49" s="5">
        <f t="shared" si="28"/>
        <v>0</v>
      </c>
      <c r="S49" s="1"/>
      <c r="T49" s="1">
        <f>SUM(OSRRefT22_6x_0)</f>
        <v>0</v>
      </c>
      <c r="U49" s="1"/>
      <c r="V49" s="5">
        <f t="shared" si="29"/>
        <v>0</v>
      </c>
      <c r="W49" s="1"/>
      <c r="X49" s="1">
        <f t="shared" si="30"/>
        <v>-5.41</v>
      </c>
      <c r="Y49" s="1"/>
      <c r="Z49" s="5">
        <f t="shared" si="31"/>
        <v>0</v>
      </c>
    </row>
    <row r="50" spans="1:26" s="24" customFormat="1" hidden="1" outlineLevel="2" x14ac:dyDescent="0.35">
      <c r="A50" s="29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-5.41</v>
      </c>
      <c r="Q50" s="2"/>
      <c r="R50" s="6">
        <f t="shared" si="28"/>
        <v>0</v>
      </c>
      <c r="S50" s="2"/>
      <c r="T50" s="7"/>
      <c r="U50" s="2"/>
      <c r="V50" s="6">
        <f t="shared" si="29"/>
        <v>0</v>
      </c>
      <c r="W50" s="2"/>
      <c r="X50" s="7">
        <f t="shared" si="30"/>
        <v>-5.41</v>
      </c>
      <c r="Y50" s="2"/>
      <c r="Z50" s="6">
        <f t="shared" si="31"/>
        <v>0</v>
      </c>
    </row>
    <row r="51" spans="1:26" s="28" customFormat="1" outlineLevel="1" collapsed="1" x14ac:dyDescent="0.35">
      <c r="A51" s="27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SUM(OSRRefD22_7x_0)</f>
        <v>397</v>
      </c>
      <c r="E51" s="1"/>
      <c r="F51" s="5">
        <f t="shared" si="24"/>
        <v>0</v>
      </c>
      <c r="G51" s="1"/>
      <c r="H51" s="1">
        <f>SUM(OSRRefH22_7x_0)</f>
        <v>0</v>
      </c>
      <c r="I51" s="1"/>
      <c r="J51" s="5">
        <f t="shared" si="25"/>
        <v>0</v>
      </c>
      <c r="K51" s="1"/>
      <c r="L51" s="1">
        <f t="shared" si="26"/>
        <v>397</v>
      </c>
      <c r="M51" s="1"/>
      <c r="N51" s="5">
        <f t="shared" si="27"/>
        <v>0</v>
      </c>
      <c r="O51" s="14"/>
      <c r="P51" s="1">
        <f>SUM(OSRRefP22_7x_0)</f>
        <v>397</v>
      </c>
      <c r="Q51" s="1"/>
      <c r="R51" s="5">
        <f t="shared" si="28"/>
        <v>0</v>
      </c>
      <c r="S51" s="1"/>
      <c r="T51" s="1">
        <f>SUM(OSRRefT22_7x_0)</f>
        <v>0</v>
      </c>
      <c r="U51" s="1"/>
      <c r="V51" s="5">
        <f t="shared" si="29"/>
        <v>0</v>
      </c>
      <c r="W51" s="1"/>
      <c r="X51" s="1">
        <f t="shared" si="30"/>
        <v>397</v>
      </c>
      <c r="Y51" s="1"/>
      <c r="Z51" s="5">
        <f t="shared" si="31"/>
        <v>0</v>
      </c>
    </row>
    <row r="52" spans="1:26" s="24" customFormat="1" hidden="1" outlineLevel="2" x14ac:dyDescent="0.35">
      <c r="A52" s="29"/>
      <c r="B52" s="11" t="str">
        <f>CONCATENATE("          ", "6279", " - ", "GENERAL EXPENSE")</f>
        <v xml:space="preserve">          6279 - GENERAL EXPENSE</v>
      </c>
      <c r="C52" s="11"/>
      <c r="D52" s="7">
        <v>397</v>
      </c>
      <c r="E52" s="2"/>
      <c r="F52" s="6">
        <f t="shared" si="24"/>
        <v>0</v>
      </c>
      <c r="G52" s="2"/>
      <c r="H52" s="7">
        <v>0</v>
      </c>
      <c r="I52" s="2"/>
      <c r="J52" s="6">
        <f t="shared" si="25"/>
        <v>0</v>
      </c>
      <c r="K52" s="2"/>
      <c r="L52" s="7">
        <f t="shared" si="26"/>
        <v>397</v>
      </c>
      <c r="M52" s="2"/>
      <c r="N52" s="6">
        <f t="shared" si="27"/>
        <v>0</v>
      </c>
      <c r="O52" s="11"/>
      <c r="P52" s="7">
        <v>397</v>
      </c>
      <c r="Q52" s="2"/>
      <c r="R52" s="6">
        <f t="shared" si="28"/>
        <v>0</v>
      </c>
      <c r="S52" s="2"/>
      <c r="T52" s="7">
        <v>0</v>
      </c>
      <c r="U52" s="2"/>
      <c r="V52" s="6">
        <f t="shared" si="29"/>
        <v>0</v>
      </c>
      <c r="W52" s="2"/>
      <c r="X52" s="7">
        <f t="shared" si="30"/>
        <v>397</v>
      </c>
      <c r="Y52" s="2"/>
      <c r="Z52" s="6">
        <f t="shared" si="31"/>
        <v>0</v>
      </c>
    </row>
    <row r="53" spans="1:26" s="28" customFormat="1" outlineLevel="1" collapsed="1" x14ac:dyDescent="0.35">
      <c r="A53" s="27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SUM(OSRRefD22_8x_0)</f>
        <v>3598.85</v>
      </c>
      <c r="E53" s="1"/>
      <c r="F53" s="5">
        <f t="shared" si="24"/>
        <v>0</v>
      </c>
      <c r="G53" s="1"/>
      <c r="H53" s="1">
        <f>SUM(OSRRefH22_8x_0)</f>
        <v>3860</v>
      </c>
      <c r="I53" s="1"/>
      <c r="J53" s="5">
        <f t="shared" si="25"/>
        <v>0</v>
      </c>
      <c r="K53" s="1"/>
      <c r="L53" s="1">
        <f t="shared" si="26"/>
        <v>-261.15000000000009</v>
      </c>
      <c r="M53" s="1"/>
      <c r="N53" s="5">
        <f t="shared" si="27"/>
        <v>-6.76554404145078E-2</v>
      </c>
      <c r="O53" s="14"/>
      <c r="P53" s="1">
        <f>SUM(OSRRefP22_8x_0)</f>
        <v>31303.95</v>
      </c>
      <c r="Q53" s="1"/>
      <c r="R53" s="5">
        <f t="shared" si="28"/>
        <v>0</v>
      </c>
      <c r="S53" s="1"/>
      <c r="T53" s="1">
        <f>SUM(OSRRefT22_8x_0)</f>
        <v>27020</v>
      </c>
      <c r="U53" s="1"/>
      <c r="V53" s="5">
        <f t="shared" si="29"/>
        <v>0</v>
      </c>
      <c r="W53" s="1"/>
      <c r="X53" s="1">
        <f t="shared" si="30"/>
        <v>4283.9500000000007</v>
      </c>
      <c r="Y53" s="1"/>
      <c r="Z53" s="5">
        <f t="shared" si="31"/>
        <v>0.15854737231680238</v>
      </c>
    </row>
    <row r="54" spans="1:26" s="24" customFormat="1" hidden="1" outlineLevel="2" x14ac:dyDescent="0.35">
      <c r="A54" s="29"/>
      <c r="B54" s="11" t="str">
        <f>CONCATENATE("          ", "6314", " - ", "LIABILITY INSURANCE")</f>
        <v xml:space="preserve">          6314 - LIABILITY INSURANCE</v>
      </c>
      <c r="C54" s="11"/>
      <c r="D54" s="7">
        <v>3598.85</v>
      </c>
      <c r="E54" s="2"/>
      <c r="F54" s="6">
        <f t="shared" si="24"/>
        <v>0</v>
      </c>
      <c r="G54" s="2"/>
      <c r="H54" s="7">
        <v>3860</v>
      </c>
      <c r="I54" s="2"/>
      <c r="J54" s="6">
        <f t="shared" si="25"/>
        <v>0</v>
      </c>
      <c r="K54" s="2"/>
      <c r="L54" s="7">
        <f t="shared" si="26"/>
        <v>-261.15000000000009</v>
      </c>
      <c r="M54" s="2"/>
      <c r="N54" s="6">
        <f t="shared" si="27"/>
        <v>-6.76554404145078E-2</v>
      </c>
      <c r="O54" s="11"/>
      <c r="P54" s="7">
        <v>31303.95</v>
      </c>
      <c r="Q54" s="2"/>
      <c r="R54" s="6">
        <f t="shared" si="28"/>
        <v>0</v>
      </c>
      <c r="S54" s="2"/>
      <c r="T54" s="7">
        <v>27020</v>
      </c>
      <c r="U54" s="2"/>
      <c r="V54" s="6">
        <f t="shared" si="29"/>
        <v>0</v>
      </c>
      <c r="W54" s="2"/>
      <c r="X54" s="7">
        <f t="shared" si="30"/>
        <v>4283.9500000000007</v>
      </c>
      <c r="Y54" s="2"/>
      <c r="Z54" s="6">
        <f t="shared" si="31"/>
        <v>0.15854737231680238</v>
      </c>
    </row>
    <row r="55" spans="1:26" s="28" customFormat="1" outlineLevel="1" collapsed="1" x14ac:dyDescent="0.35">
      <c r="A55" s="27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SUM(OSRRefD22_9x_0)</f>
        <v>38.1</v>
      </c>
      <c r="E55" s="1"/>
      <c r="F55" s="5">
        <f t="shared" si="24"/>
        <v>0</v>
      </c>
      <c r="G55" s="1"/>
      <c r="H55" s="1">
        <f>SUM(OSRRefH22_9x_0)</f>
        <v>0</v>
      </c>
      <c r="I55" s="1"/>
      <c r="J55" s="5">
        <f t="shared" si="25"/>
        <v>0</v>
      </c>
      <c r="K55" s="1"/>
      <c r="L55" s="1">
        <f t="shared" si="26"/>
        <v>38.1</v>
      </c>
      <c r="M55" s="1"/>
      <c r="N55" s="5">
        <f t="shared" si="27"/>
        <v>0</v>
      </c>
      <c r="O55" s="14"/>
      <c r="P55" s="1">
        <f>SUM(OSRRefP22_9x_0)</f>
        <v>2945.2299999999996</v>
      </c>
      <c r="Q55" s="1"/>
      <c r="R55" s="5">
        <f t="shared" si="28"/>
        <v>0</v>
      </c>
      <c r="S55" s="1"/>
      <c r="T55" s="1">
        <f>SUM(OSRRefT22_9x_0)</f>
        <v>0</v>
      </c>
      <c r="U55" s="1"/>
      <c r="V55" s="5">
        <f t="shared" si="29"/>
        <v>0</v>
      </c>
      <c r="W55" s="1"/>
      <c r="X55" s="1">
        <f t="shared" si="30"/>
        <v>2945.2299999999996</v>
      </c>
      <c r="Y55" s="1"/>
      <c r="Z55" s="5">
        <f t="shared" si="31"/>
        <v>0</v>
      </c>
    </row>
    <row r="56" spans="1:26" s="24" customFormat="1" hidden="1" outlineLevel="2" x14ac:dyDescent="0.35">
      <c r="A56" s="29"/>
      <c r="B56" s="11" t="str">
        <f>CONCATENATE("          ", "6373", " - ", "MAINTENANCE CONTRACTS")</f>
        <v xml:space="preserve">          6373 - MAINTENANCE CONTRACTS</v>
      </c>
      <c r="C56" s="11"/>
      <c r="D56" s="7"/>
      <c r="E56" s="2"/>
      <c r="F56" s="6">
        <f t="shared" si="24"/>
        <v>0</v>
      </c>
      <c r="G56" s="2"/>
      <c r="H56" s="7">
        <v>0</v>
      </c>
      <c r="I56" s="2"/>
      <c r="J56" s="6">
        <f t="shared" si="25"/>
        <v>0</v>
      </c>
      <c r="K56" s="2"/>
      <c r="L56" s="7">
        <f t="shared" si="26"/>
        <v>0</v>
      </c>
      <c r="M56" s="2"/>
      <c r="N56" s="6">
        <f t="shared" si="27"/>
        <v>0</v>
      </c>
      <c r="O56" s="11"/>
      <c r="P56" s="7">
        <v>2131.1999999999998</v>
      </c>
      <c r="Q56" s="2"/>
      <c r="R56" s="6">
        <f t="shared" si="28"/>
        <v>0</v>
      </c>
      <c r="S56" s="2"/>
      <c r="T56" s="7">
        <v>0</v>
      </c>
      <c r="U56" s="2"/>
      <c r="V56" s="6">
        <f t="shared" si="29"/>
        <v>0</v>
      </c>
      <c r="W56" s="2"/>
      <c r="X56" s="7">
        <f t="shared" si="30"/>
        <v>2131.1999999999998</v>
      </c>
      <c r="Y56" s="2"/>
      <c r="Z56" s="6">
        <f t="shared" si="31"/>
        <v>0</v>
      </c>
    </row>
    <row r="57" spans="1:26" s="24" customFormat="1" hidden="1" outlineLevel="2" x14ac:dyDescent="0.35">
      <c r="A57" s="29"/>
      <c r="B57" s="11" t="str">
        <f>CONCATENATE("          ", "6375", " - ", "OUTSIDE REPAIRS &amp; MAINTENANCE")</f>
        <v xml:space="preserve">          6375 - OUTSIDE REPAIRS &amp; MAINTENANCE</v>
      </c>
      <c r="C57" s="11"/>
      <c r="D57" s="7">
        <v>38.1</v>
      </c>
      <c r="E57" s="2"/>
      <c r="F57" s="6">
        <f t="shared" si="24"/>
        <v>0</v>
      </c>
      <c r="G57" s="2"/>
      <c r="H57" s="7">
        <v>0</v>
      </c>
      <c r="I57" s="2"/>
      <c r="J57" s="6">
        <f t="shared" si="25"/>
        <v>0</v>
      </c>
      <c r="K57" s="2"/>
      <c r="L57" s="7">
        <f t="shared" si="26"/>
        <v>38.1</v>
      </c>
      <c r="M57" s="2"/>
      <c r="N57" s="6">
        <f t="shared" si="27"/>
        <v>0</v>
      </c>
      <c r="O57" s="11"/>
      <c r="P57" s="7">
        <v>814.03</v>
      </c>
      <c r="Q57" s="2"/>
      <c r="R57" s="6">
        <f t="shared" si="28"/>
        <v>0</v>
      </c>
      <c r="S57" s="2"/>
      <c r="T57" s="7">
        <v>0</v>
      </c>
      <c r="U57" s="2"/>
      <c r="V57" s="6">
        <f t="shared" si="29"/>
        <v>0</v>
      </c>
      <c r="W57" s="2"/>
      <c r="X57" s="7">
        <f t="shared" si="30"/>
        <v>814.03</v>
      </c>
      <c r="Y57" s="2"/>
      <c r="Z57" s="6">
        <f t="shared" si="31"/>
        <v>0</v>
      </c>
    </row>
    <row r="58" spans="1:26" s="28" customFormat="1" outlineLevel="1" collapsed="1" x14ac:dyDescent="0.35">
      <c r="A58" s="27"/>
      <c r="B58" s="14" t="str">
        <f>CONCATENATE("     ","Services                                          ")</f>
        <v xml:space="preserve">     Services                                          </v>
      </c>
      <c r="C58" s="14"/>
      <c r="D58" s="1">
        <f>SUM(OSRRefD22_10x_0)</f>
        <v>4880.26</v>
      </c>
      <c r="E58" s="1"/>
      <c r="F58" s="5">
        <f t="shared" ref="F58:F62" si="32">IF(D$12=0,0,D58/D$12)</f>
        <v>0</v>
      </c>
      <c r="G58" s="1"/>
      <c r="H58" s="1">
        <f>SUM(OSRRefH22_10x_0)</f>
        <v>3126</v>
      </c>
      <c r="I58" s="1"/>
      <c r="J58" s="5">
        <f t="shared" ref="J58:J62" si="33">IF(H$12=0,0,H58/H$12)</f>
        <v>0</v>
      </c>
      <c r="K58" s="1"/>
      <c r="L58" s="1">
        <f t="shared" ref="L58:L62" si="34">+D58-H58</f>
        <v>1754.2600000000002</v>
      </c>
      <c r="M58" s="1"/>
      <c r="N58" s="5">
        <f t="shared" ref="N58:N62" si="35">IF(H58=0,0,L58/H58)</f>
        <v>0.56118362124120291</v>
      </c>
      <c r="O58" s="14"/>
      <c r="P58" s="1">
        <f>SUM(OSRRefP22_10x_0)</f>
        <v>20147.3</v>
      </c>
      <c r="Q58" s="1"/>
      <c r="R58" s="5">
        <f t="shared" ref="R58:R62" si="36">IF(P$12=0,0,P58/P$12)</f>
        <v>0</v>
      </c>
      <c r="S58" s="1"/>
      <c r="T58" s="1">
        <f>SUM(OSRRefT22_10x_0)</f>
        <v>20309</v>
      </c>
      <c r="U58" s="1"/>
      <c r="V58" s="5">
        <f t="shared" ref="V58:V62" si="37">IF(T$12=0,0,T58/T$12)</f>
        <v>0</v>
      </c>
      <c r="W58" s="1"/>
      <c r="X58" s="1">
        <f t="shared" ref="X58:X62" si="38">+P58-T58</f>
        <v>-161.70000000000073</v>
      </c>
      <c r="Y58" s="1"/>
      <c r="Z58" s="5">
        <f t="shared" ref="Z58:Z62" si="39">IF(T58=0,0,X58/T58)</f>
        <v>-7.9619872962726247E-3</v>
      </c>
    </row>
    <row r="59" spans="1:26" s="24" customFormat="1" hidden="1" outlineLevel="2" x14ac:dyDescent="0.35">
      <c r="A59" s="29"/>
      <c r="B59" s="11" t="str">
        <f>CONCATENATE("          ", "6282", " - ", "JANITORIAL/EXTERMINATOR EXPENS")</f>
        <v xml:space="preserve">          6282 - JANITORIAL/EXTERMINATOR EXPENS</v>
      </c>
      <c r="C59" s="11"/>
      <c r="D59" s="7">
        <v>626.26</v>
      </c>
      <c r="E59" s="2"/>
      <c r="F59" s="6">
        <f t="shared" si="32"/>
        <v>0</v>
      </c>
      <c r="G59" s="2"/>
      <c r="H59" s="7">
        <v>626</v>
      </c>
      <c r="I59" s="2"/>
      <c r="J59" s="6">
        <f t="shared" si="33"/>
        <v>0</v>
      </c>
      <c r="K59" s="2"/>
      <c r="L59" s="7">
        <f t="shared" si="34"/>
        <v>0.25999999999999091</v>
      </c>
      <c r="M59" s="2"/>
      <c r="N59" s="6">
        <f t="shared" si="35"/>
        <v>4.1533546325877143E-4</v>
      </c>
      <c r="O59" s="11"/>
      <c r="P59" s="7">
        <v>3131.3</v>
      </c>
      <c r="Q59" s="2"/>
      <c r="R59" s="6">
        <f t="shared" si="36"/>
        <v>0</v>
      </c>
      <c r="S59" s="2"/>
      <c r="T59" s="7">
        <v>5009</v>
      </c>
      <c r="U59" s="2"/>
      <c r="V59" s="6">
        <f t="shared" si="37"/>
        <v>0</v>
      </c>
      <c r="W59" s="2"/>
      <c r="X59" s="7">
        <f t="shared" si="38"/>
        <v>-1877.6999999999998</v>
      </c>
      <c r="Y59" s="2"/>
      <c r="Z59" s="6">
        <f t="shared" si="39"/>
        <v>-0.37486524256338588</v>
      </c>
    </row>
    <row r="60" spans="1:26" s="24" customFormat="1" hidden="1" outlineLevel="2" x14ac:dyDescent="0.35">
      <c r="A60" s="29"/>
      <c r="B60" s="11" t="str">
        <f>CONCATENATE("          ", "6283", " - ", "PLANT SERVICE")</f>
        <v xml:space="preserve">          6283 - PLANT SERVICE</v>
      </c>
      <c r="C60" s="11"/>
      <c r="D60" s="7"/>
      <c r="E60" s="2"/>
      <c r="F60" s="6">
        <f t="shared" si="32"/>
        <v>0</v>
      </c>
      <c r="G60" s="2"/>
      <c r="H60" s="7">
        <v>0</v>
      </c>
      <c r="I60" s="2"/>
      <c r="J60" s="6">
        <f t="shared" si="33"/>
        <v>0</v>
      </c>
      <c r="K60" s="2"/>
      <c r="L60" s="7">
        <f t="shared" si="34"/>
        <v>0</v>
      </c>
      <c r="M60" s="2"/>
      <c r="N60" s="6">
        <f t="shared" si="35"/>
        <v>0</v>
      </c>
      <c r="O60" s="11"/>
      <c r="P60" s="7"/>
      <c r="Q60" s="2"/>
      <c r="R60" s="6">
        <f t="shared" si="36"/>
        <v>0</v>
      </c>
      <c r="S60" s="2"/>
      <c r="T60" s="7">
        <v>0</v>
      </c>
      <c r="U60" s="2"/>
      <c r="V60" s="6">
        <f t="shared" si="37"/>
        <v>0</v>
      </c>
      <c r="W60" s="2"/>
      <c r="X60" s="7">
        <f t="shared" si="38"/>
        <v>0</v>
      </c>
      <c r="Y60" s="2"/>
      <c r="Z60" s="6">
        <f t="shared" si="39"/>
        <v>0</v>
      </c>
    </row>
    <row r="61" spans="1:26" s="24" customFormat="1" hidden="1" outlineLevel="2" x14ac:dyDescent="0.35">
      <c r="A61" s="29"/>
      <c r="B61" s="11" t="str">
        <f>CONCATENATE("          ", "6284", " - ", "TRASH REMOVAL EXPENSE")</f>
        <v xml:space="preserve">          6284 - TRASH REMOVAL EXPENSE</v>
      </c>
      <c r="C61" s="11"/>
      <c r="D61" s="7">
        <v>4254</v>
      </c>
      <c r="E61" s="2"/>
      <c r="F61" s="6">
        <f t="shared" si="32"/>
        <v>0</v>
      </c>
      <c r="G61" s="2"/>
      <c r="H61" s="7">
        <v>2500</v>
      </c>
      <c r="I61" s="2"/>
      <c r="J61" s="6">
        <f t="shared" si="33"/>
        <v>0</v>
      </c>
      <c r="K61" s="2"/>
      <c r="L61" s="7">
        <f t="shared" si="34"/>
        <v>1754</v>
      </c>
      <c r="M61" s="2"/>
      <c r="N61" s="6">
        <f t="shared" si="35"/>
        <v>0.7016</v>
      </c>
      <c r="O61" s="11"/>
      <c r="P61" s="7">
        <v>17016</v>
      </c>
      <c r="Q61" s="2"/>
      <c r="R61" s="6">
        <f t="shared" si="36"/>
        <v>0</v>
      </c>
      <c r="S61" s="2"/>
      <c r="T61" s="7">
        <v>15300</v>
      </c>
      <c r="U61" s="2"/>
      <c r="V61" s="6">
        <f t="shared" si="37"/>
        <v>0</v>
      </c>
      <c r="W61" s="2"/>
      <c r="X61" s="7">
        <f t="shared" si="38"/>
        <v>1716</v>
      </c>
      <c r="Y61" s="2"/>
      <c r="Z61" s="6">
        <f t="shared" si="39"/>
        <v>0.11215686274509803</v>
      </c>
    </row>
    <row r="62" spans="1:26" s="24" customFormat="1" hidden="1" outlineLevel="2" x14ac:dyDescent="0.35">
      <c r="A62" s="29"/>
      <c r="B62" s="11" t="str">
        <f>CONCATENATE("          ", "6285", " - ", "JANITORIAL SERVICES")</f>
        <v xml:space="preserve">          6285 - JANITORIAL SERVICES</v>
      </c>
      <c r="C62" s="11"/>
      <c r="D62" s="7"/>
      <c r="E62" s="2"/>
      <c r="F62" s="6">
        <f t="shared" si="32"/>
        <v>0</v>
      </c>
      <c r="G62" s="2"/>
      <c r="H62" s="7">
        <v>0</v>
      </c>
      <c r="I62" s="2"/>
      <c r="J62" s="6">
        <f t="shared" si="33"/>
        <v>0</v>
      </c>
      <c r="K62" s="2"/>
      <c r="L62" s="7">
        <f t="shared" si="34"/>
        <v>0</v>
      </c>
      <c r="M62" s="2"/>
      <c r="N62" s="6">
        <f t="shared" si="35"/>
        <v>0</v>
      </c>
      <c r="O62" s="11"/>
      <c r="P62" s="7"/>
      <c r="Q62" s="2"/>
      <c r="R62" s="6">
        <f t="shared" si="36"/>
        <v>0</v>
      </c>
      <c r="S62" s="2"/>
      <c r="T62" s="7">
        <v>0</v>
      </c>
      <c r="U62" s="2"/>
      <c r="V62" s="6">
        <f t="shared" si="37"/>
        <v>0</v>
      </c>
      <c r="W62" s="2"/>
      <c r="X62" s="7">
        <f t="shared" si="38"/>
        <v>0</v>
      </c>
      <c r="Y62" s="2"/>
      <c r="Z62" s="6">
        <f t="shared" si="39"/>
        <v>0</v>
      </c>
    </row>
    <row r="63" spans="1:26" s="28" customFormat="1" outlineLevel="1" collapsed="1" x14ac:dyDescent="0.35">
      <c r="A63" s="27"/>
      <c r="B63" s="14" t="str">
        <f>CONCATENATE("     ","Subscriptions &amp; Dues                              ")</f>
        <v xml:space="preserve">     Subscriptions &amp; Dues                              </v>
      </c>
      <c r="C63" s="14"/>
      <c r="D63" s="1">
        <f>SUM(OSRRefD22_11x_0)</f>
        <v>0</v>
      </c>
      <c r="E63" s="1"/>
      <c r="F63" s="5">
        <f t="shared" ref="F63:F72" si="40">IF(D$12=0,0,D63/D$12)</f>
        <v>0</v>
      </c>
      <c r="G63" s="1"/>
      <c r="H63" s="1">
        <f>SUM(OSRRefH22_11x_0)</f>
        <v>0</v>
      </c>
      <c r="I63" s="1"/>
      <c r="J63" s="5">
        <f t="shared" ref="J63:J72" si="41">IF(H$12=0,0,H63/H$12)</f>
        <v>0</v>
      </c>
      <c r="K63" s="1"/>
      <c r="L63" s="1">
        <f t="shared" ref="L63:L72" si="42">+D63-H63</f>
        <v>0</v>
      </c>
      <c r="M63" s="1"/>
      <c r="N63" s="5">
        <f t="shared" ref="N63:N72" si="43">IF(H63=0,0,L63/H63)</f>
        <v>0</v>
      </c>
      <c r="O63" s="14"/>
      <c r="P63" s="1">
        <f>SUM(OSRRefP22_11x_0)</f>
        <v>0</v>
      </c>
      <c r="Q63" s="1"/>
      <c r="R63" s="5">
        <f t="shared" ref="R63:R72" si="44">IF(P$12=0,0,P63/P$12)</f>
        <v>0</v>
      </c>
      <c r="S63" s="1"/>
      <c r="T63" s="1">
        <f>SUM(OSRRefT22_11x_0)</f>
        <v>900</v>
      </c>
      <c r="U63" s="1"/>
      <c r="V63" s="5">
        <f t="shared" ref="V63:V72" si="45">IF(T$12=0,0,T63/T$12)</f>
        <v>0</v>
      </c>
      <c r="W63" s="1"/>
      <c r="X63" s="1">
        <f t="shared" ref="X63:X72" si="46">+P63-T63</f>
        <v>-900</v>
      </c>
      <c r="Y63" s="1"/>
      <c r="Z63" s="5">
        <f t="shared" ref="Z63:Z72" si="47">IF(T63=0,0,X63/T63)</f>
        <v>-1</v>
      </c>
    </row>
    <row r="64" spans="1:26" s="24" customFormat="1" hidden="1" outlineLevel="2" x14ac:dyDescent="0.35">
      <c r="A64" s="29"/>
      <c r="B64" s="11" t="str">
        <f>CONCATENATE("          ", "6258", " - ", "MEMBERSHIP DUES")</f>
        <v xml:space="preserve">          6258 - MEMBERSHIP DUES</v>
      </c>
      <c r="C64" s="11"/>
      <c r="D64" s="7"/>
      <c r="E64" s="2"/>
      <c r="F64" s="6">
        <f t="shared" si="40"/>
        <v>0</v>
      </c>
      <c r="G64" s="2"/>
      <c r="H64" s="7"/>
      <c r="I64" s="2"/>
      <c r="J64" s="6">
        <f t="shared" si="41"/>
        <v>0</v>
      </c>
      <c r="K64" s="2"/>
      <c r="L64" s="7">
        <f t="shared" si="42"/>
        <v>0</v>
      </c>
      <c r="M64" s="2"/>
      <c r="N64" s="6">
        <f t="shared" si="43"/>
        <v>0</v>
      </c>
      <c r="O64" s="11"/>
      <c r="P64" s="7"/>
      <c r="Q64" s="2"/>
      <c r="R64" s="6">
        <f t="shared" si="44"/>
        <v>0</v>
      </c>
      <c r="S64" s="2"/>
      <c r="T64" s="7">
        <v>900</v>
      </c>
      <c r="U64" s="2"/>
      <c r="V64" s="6">
        <f t="shared" si="45"/>
        <v>0</v>
      </c>
      <c r="W64" s="2"/>
      <c r="X64" s="7">
        <f t="shared" si="46"/>
        <v>-900</v>
      </c>
      <c r="Y64" s="2"/>
      <c r="Z64" s="6">
        <f t="shared" si="47"/>
        <v>-1</v>
      </c>
    </row>
    <row r="65" spans="1:26" s="28" customFormat="1" outlineLevel="1" collapsed="1" x14ac:dyDescent="0.35">
      <c r="A65" s="27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SUM(OSRRefD22_12x_0)</f>
        <v>0</v>
      </c>
      <c r="E65" s="1"/>
      <c r="F65" s="5">
        <f t="shared" si="40"/>
        <v>0</v>
      </c>
      <c r="G65" s="1"/>
      <c r="H65" s="1">
        <f>SUM(OSRRefH22_12x_0)</f>
        <v>0</v>
      </c>
      <c r="I65" s="1"/>
      <c r="J65" s="5">
        <f t="shared" si="41"/>
        <v>0</v>
      </c>
      <c r="K65" s="1"/>
      <c r="L65" s="1">
        <f t="shared" si="42"/>
        <v>0</v>
      </c>
      <c r="M65" s="1"/>
      <c r="N65" s="5">
        <f t="shared" si="43"/>
        <v>0</v>
      </c>
      <c r="O65" s="14"/>
      <c r="P65" s="1">
        <f>SUM(OSRRefP22_12x_0)</f>
        <v>-29072.879999999997</v>
      </c>
      <c r="Q65" s="1"/>
      <c r="R65" s="5">
        <f t="shared" si="44"/>
        <v>0</v>
      </c>
      <c r="S65" s="1"/>
      <c r="T65" s="1">
        <f>SUM(OSRRefT22_12x_0)</f>
        <v>0</v>
      </c>
      <c r="U65" s="1"/>
      <c r="V65" s="5">
        <f t="shared" si="45"/>
        <v>0</v>
      </c>
      <c r="W65" s="1"/>
      <c r="X65" s="1">
        <f t="shared" si="46"/>
        <v>-29072.879999999997</v>
      </c>
      <c r="Y65" s="1"/>
      <c r="Z65" s="5">
        <f t="shared" si="47"/>
        <v>0</v>
      </c>
    </row>
    <row r="66" spans="1:26" s="24" customFormat="1" hidden="1" outlineLevel="2" x14ac:dyDescent="0.35">
      <c r="A66" s="29"/>
      <c r="B66" s="11" t="str">
        <f>CONCATENATE("          ", "6235", " - ", "COVID-19 EXPENSES")</f>
        <v xml:space="preserve">          6235 - COVID-19 EXPENSES</v>
      </c>
      <c r="C66" s="11"/>
      <c r="D66" s="7"/>
      <c r="E66" s="2"/>
      <c r="F66" s="6">
        <f t="shared" si="40"/>
        <v>0</v>
      </c>
      <c r="G66" s="2"/>
      <c r="H66" s="7"/>
      <c r="I66" s="2"/>
      <c r="J66" s="6">
        <f t="shared" si="41"/>
        <v>0</v>
      </c>
      <c r="K66" s="2"/>
      <c r="L66" s="7">
        <f t="shared" si="42"/>
        <v>0</v>
      </c>
      <c r="M66" s="2"/>
      <c r="N66" s="6">
        <f t="shared" si="43"/>
        <v>0</v>
      </c>
      <c r="O66" s="11"/>
      <c r="P66" s="7">
        <v>127.89</v>
      </c>
      <c r="Q66" s="2"/>
      <c r="R66" s="6">
        <f t="shared" si="44"/>
        <v>0</v>
      </c>
      <c r="S66" s="2"/>
      <c r="T66" s="7">
        <v>0</v>
      </c>
      <c r="U66" s="2"/>
      <c r="V66" s="6">
        <f t="shared" si="45"/>
        <v>0</v>
      </c>
      <c r="W66" s="2"/>
      <c r="X66" s="7">
        <f t="shared" si="46"/>
        <v>127.89</v>
      </c>
      <c r="Y66" s="2"/>
      <c r="Z66" s="6">
        <f t="shared" si="47"/>
        <v>0</v>
      </c>
    </row>
    <row r="67" spans="1:26" s="24" customFormat="1" hidden="1" outlineLevel="2" x14ac:dyDescent="0.35">
      <c r="A67" s="29"/>
      <c r="B67" s="11" t="str">
        <f>CONCATENATE("          ", "6237", " - ", "JANITORIAL SUPPLIES")</f>
        <v xml:space="preserve">          6237 - JANITORIAL SUPPLIES</v>
      </c>
      <c r="C67" s="11"/>
      <c r="D67" s="7"/>
      <c r="E67" s="2"/>
      <c r="F67" s="6">
        <f t="shared" si="40"/>
        <v>0</v>
      </c>
      <c r="G67" s="2"/>
      <c r="H67" s="7">
        <v>0</v>
      </c>
      <c r="I67" s="2"/>
      <c r="J67" s="6">
        <f t="shared" si="41"/>
        <v>0</v>
      </c>
      <c r="K67" s="2"/>
      <c r="L67" s="7">
        <f t="shared" si="42"/>
        <v>0</v>
      </c>
      <c r="M67" s="2"/>
      <c r="N67" s="6">
        <f t="shared" si="43"/>
        <v>0</v>
      </c>
      <c r="O67" s="11"/>
      <c r="P67" s="7"/>
      <c r="Q67" s="2"/>
      <c r="R67" s="6">
        <f t="shared" si="44"/>
        <v>0</v>
      </c>
      <c r="S67" s="2"/>
      <c r="T67" s="7">
        <v>0</v>
      </c>
      <c r="U67" s="2"/>
      <c r="V67" s="6">
        <f t="shared" si="45"/>
        <v>0</v>
      </c>
      <c r="W67" s="2"/>
      <c r="X67" s="7">
        <f t="shared" si="46"/>
        <v>0</v>
      </c>
      <c r="Y67" s="2"/>
      <c r="Z67" s="6">
        <f t="shared" si="47"/>
        <v>0</v>
      </c>
    </row>
    <row r="68" spans="1:26" s="24" customFormat="1" hidden="1" outlineLevel="2" x14ac:dyDescent="0.35">
      <c r="A68" s="29"/>
      <c r="B68" s="11" t="str">
        <f>CONCATENATE("          ", "6239", " - ", "KITCHEN SUPPLIES")</f>
        <v xml:space="preserve">          6239 - KITCHEN SUPPLIES</v>
      </c>
      <c r="C68" s="11"/>
      <c r="D68" s="7"/>
      <c r="E68" s="2"/>
      <c r="F68" s="6">
        <f t="shared" si="40"/>
        <v>0</v>
      </c>
      <c r="G68" s="2"/>
      <c r="H68" s="7">
        <v>0</v>
      </c>
      <c r="I68" s="2"/>
      <c r="J68" s="6">
        <f t="shared" si="41"/>
        <v>0</v>
      </c>
      <c r="K68" s="2"/>
      <c r="L68" s="7">
        <f t="shared" si="42"/>
        <v>0</v>
      </c>
      <c r="M68" s="2"/>
      <c r="N68" s="6">
        <f t="shared" si="43"/>
        <v>0</v>
      </c>
      <c r="O68" s="11"/>
      <c r="P68" s="7"/>
      <c r="Q68" s="2"/>
      <c r="R68" s="6">
        <f t="shared" si="44"/>
        <v>0</v>
      </c>
      <c r="S68" s="2"/>
      <c r="T68" s="7">
        <v>0</v>
      </c>
      <c r="U68" s="2"/>
      <c r="V68" s="6">
        <f t="shared" si="45"/>
        <v>0</v>
      </c>
      <c r="W68" s="2"/>
      <c r="X68" s="7">
        <f t="shared" si="46"/>
        <v>0</v>
      </c>
      <c r="Y68" s="2"/>
      <c r="Z68" s="6">
        <f t="shared" si="47"/>
        <v>0</v>
      </c>
    </row>
    <row r="69" spans="1:26" s="24" customFormat="1" hidden="1" outlineLevel="2" x14ac:dyDescent="0.35">
      <c r="A69" s="29"/>
      <c r="B69" s="11" t="str">
        <f>CONCATENATE("          ", "6241", " - ", "OFFICE EXPENSE")</f>
        <v xml:space="preserve">          6241 - OFFICE EXPENSE</v>
      </c>
      <c r="C69" s="11"/>
      <c r="D69" s="7"/>
      <c r="E69" s="2"/>
      <c r="F69" s="6">
        <f t="shared" si="40"/>
        <v>0</v>
      </c>
      <c r="G69" s="2"/>
      <c r="H69" s="7">
        <v>0</v>
      </c>
      <c r="I69" s="2"/>
      <c r="J69" s="6">
        <f t="shared" si="41"/>
        <v>0</v>
      </c>
      <c r="K69" s="2"/>
      <c r="L69" s="7">
        <f t="shared" si="42"/>
        <v>0</v>
      </c>
      <c r="M69" s="2"/>
      <c r="N69" s="6">
        <f t="shared" si="43"/>
        <v>0</v>
      </c>
      <c r="O69" s="11"/>
      <c r="P69" s="7">
        <v>-29200.769999999997</v>
      </c>
      <c r="Q69" s="2"/>
      <c r="R69" s="6">
        <f t="shared" si="44"/>
        <v>0</v>
      </c>
      <c r="S69" s="2"/>
      <c r="T69" s="7">
        <v>0</v>
      </c>
      <c r="U69" s="2"/>
      <c r="V69" s="6">
        <f t="shared" si="45"/>
        <v>0</v>
      </c>
      <c r="W69" s="2"/>
      <c r="X69" s="7">
        <f t="shared" si="46"/>
        <v>-29200.769999999997</v>
      </c>
      <c r="Y69" s="2"/>
      <c r="Z69" s="6">
        <f t="shared" si="47"/>
        <v>0</v>
      </c>
    </row>
    <row r="70" spans="1:26" s="24" customFormat="1" hidden="1" outlineLevel="2" x14ac:dyDescent="0.35">
      <c r="A70" s="29"/>
      <c r="B70" s="11" t="str">
        <f>CONCATENATE("          ", "6246", " - ", "REPLACEMENTS")</f>
        <v xml:space="preserve">          6246 - REPLACEMENTS</v>
      </c>
      <c r="C70" s="11"/>
      <c r="D70" s="7"/>
      <c r="E70" s="2"/>
      <c r="F70" s="6">
        <f t="shared" si="40"/>
        <v>0</v>
      </c>
      <c r="G70" s="2"/>
      <c r="H70" s="7">
        <v>0</v>
      </c>
      <c r="I70" s="2"/>
      <c r="J70" s="6">
        <f t="shared" si="41"/>
        <v>0</v>
      </c>
      <c r="K70" s="2"/>
      <c r="L70" s="7">
        <f t="shared" si="42"/>
        <v>0</v>
      </c>
      <c r="M70" s="2"/>
      <c r="N70" s="6">
        <f t="shared" si="43"/>
        <v>0</v>
      </c>
      <c r="O70" s="11"/>
      <c r="P70" s="7"/>
      <c r="Q70" s="2"/>
      <c r="R70" s="6">
        <f t="shared" si="44"/>
        <v>0</v>
      </c>
      <c r="S70" s="2"/>
      <c r="T70" s="7">
        <v>0</v>
      </c>
      <c r="U70" s="2"/>
      <c r="V70" s="6">
        <f t="shared" si="45"/>
        <v>0</v>
      </c>
      <c r="W70" s="2"/>
      <c r="X70" s="7">
        <f t="shared" si="46"/>
        <v>0</v>
      </c>
      <c r="Y70" s="2"/>
      <c r="Z70" s="6">
        <f t="shared" si="47"/>
        <v>0</v>
      </c>
    </row>
    <row r="71" spans="1:26" s="24" customFormat="1" hidden="1" outlineLevel="2" x14ac:dyDescent="0.35">
      <c r="A71" s="29"/>
      <c r="B71" s="11" t="str">
        <f>CONCATENATE("          ", "6247", " - ", "STORE SUPPLIES")</f>
        <v xml:space="preserve">          6247 - STORE SUPPLIES</v>
      </c>
      <c r="C71" s="11"/>
      <c r="D71" s="7"/>
      <c r="E71" s="2"/>
      <c r="F71" s="6">
        <f t="shared" si="40"/>
        <v>0</v>
      </c>
      <c r="G71" s="2"/>
      <c r="H71" s="7">
        <v>0</v>
      </c>
      <c r="I71" s="2"/>
      <c r="J71" s="6">
        <f t="shared" si="41"/>
        <v>0</v>
      </c>
      <c r="K71" s="2"/>
      <c r="L71" s="7">
        <f t="shared" si="42"/>
        <v>0</v>
      </c>
      <c r="M71" s="2"/>
      <c r="N71" s="6">
        <f t="shared" si="43"/>
        <v>0</v>
      </c>
      <c r="O71" s="11"/>
      <c r="P71" s="7"/>
      <c r="Q71" s="2"/>
      <c r="R71" s="6">
        <f t="shared" si="44"/>
        <v>0</v>
      </c>
      <c r="S71" s="2"/>
      <c r="T71" s="7">
        <v>0</v>
      </c>
      <c r="U71" s="2"/>
      <c r="V71" s="6">
        <f t="shared" si="45"/>
        <v>0</v>
      </c>
      <c r="W71" s="2"/>
      <c r="X71" s="7">
        <f t="shared" si="46"/>
        <v>0</v>
      </c>
      <c r="Y71" s="2"/>
      <c r="Z71" s="6">
        <f t="shared" si="47"/>
        <v>0</v>
      </c>
    </row>
    <row r="72" spans="1:26" s="24" customFormat="1" hidden="1" outlineLevel="2" x14ac:dyDescent="0.35">
      <c r="A72" s="29"/>
      <c r="B72" s="11" t="str">
        <f>CONCATENATE("          ", "6248", " - ", "UNIFORMS")</f>
        <v xml:space="preserve">          6248 - UNIFORMS</v>
      </c>
      <c r="C72" s="11"/>
      <c r="D72" s="7"/>
      <c r="E72" s="2"/>
      <c r="F72" s="6">
        <f t="shared" si="40"/>
        <v>0</v>
      </c>
      <c r="G72" s="2"/>
      <c r="H72" s="7"/>
      <c r="I72" s="2"/>
      <c r="J72" s="6">
        <f t="shared" si="41"/>
        <v>0</v>
      </c>
      <c r="K72" s="2"/>
      <c r="L72" s="7">
        <f t="shared" si="42"/>
        <v>0</v>
      </c>
      <c r="M72" s="2"/>
      <c r="N72" s="6">
        <f t="shared" si="43"/>
        <v>0</v>
      </c>
      <c r="O72" s="11"/>
      <c r="P72" s="7"/>
      <c r="Q72" s="2"/>
      <c r="R72" s="6">
        <f t="shared" si="44"/>
        <v>0</v>
      </c>
      <c r="S72" s="2"/>
      <c r="T72" s="7">
        <v>0</v>
      </c>
      <c r="U72" s="2"/>
      <c r="V72" s="6">
        <f t="shared" si="45"/>
        <v>0</v>
      </c>
      <c r="W72" s="2"/>
      <c r="X72" s="7">
        <f t="shared" si="46"/>
        <v>0</v>
      </c>
      <c r="Y72" s="2"/>
      <c r="Z72" s="6">
        <f t="shared" si="47"/>
        <v>0</v>
      </c>
    </row>
    <row r="73" spans="1:26" s="28" customFormat="1" outlineLevel="1" collapsed="1" x14ac:dyDescent="0.35">
      <c r="A73" s="27"/>
      <c r="B73" s="14" t="str">
        <f>CONCATENATE("     ","Telephone/Data Lines                              ")</f>
        <v xml:space="preserve">     Telephone/Data Lines                              </v>
      </c>
      <c r="C73" s="14"/>
      <c r="D73" s="1">
        <f>SUM(OSRRefD22_13x_0)</f>
        <v>93</v>
      </c>
      <c r="E73" s="1"/>
      <c r="F73" s="5">
        <f t="shared" ref="F73:F78" si="48">IF(D$12=0,0,D73/D$12)</f>
        <v>0</v>
      </c>
      <c r="G73" s="1"/>
      <c r="H73" s="1">
        <f>SUM(OSRRefH22_13x_0)</f>
        <v>50</v>
      </c>
      <c r="I73" s="1"/>
      <c r="J73" s="5">
        <f t="shared" ref="J73:J78" si="49">IF(H$12=0,0,H73/H$12)</f>
        <v>0</v>
      </c>
      <c r="K73" s="1"/>
      <c r="L73" s="1">
        <f t="shared" ref="L73:L78" si="50">+D73-H73</f>
        <v>43</v>
      </c>
      <c r="M73" s="1"/>
      <c r="N73" s="5">
        <f t="shared" ref="N73:N78" si="51">IF(H73=0,0,L73/H73)</f>
        <v>0.86</v>
      </c>
      <c r="O73" s="14"/>
      <c r="P73" s="1">
        <f>SUM(OSRRefP22_13x_0)</f>
        <v>1479.53</v>
      </c>
      <c r="Q73" s="1"/>
      <c r="R73" s="5">
        <f t="shared" ref="R73:R78" si="52">IF(P$12=0,0,P73/P$12)</f>
        <v>0</v>
      </c>
      <c r="S73" s="1"/>
      <c r="T73" s="1">
        <f>SUM(OSRRefT22_13x_0)</f>
        <v>350</v>
      </c>
      <c r="U73" s="1"/>
      <c r="V73" s="5">
        <f t="shared" ref="V73:V78" si="53">IF(T$12=0,0,T73/T$12)</f>
        <v>0</v>
      </c>
      <c r="W73" s="1"/>
      <c r="X73" s="1">
        <f t="shared" ref="X73:X78" si="54">+P73-T73</f>
        <v>1129.53</v>
      </c>
      <c r="Y73" s="1"/>
      <c r="Z73" s="5">
        <f t="shared" ref="Z73:Z78" si="55">IF(T73=0,0,X73/T73)</f>
        <v>3.2272285714285713</v>
      </c>
    </row>
    <row r="74" spans="1:26" s="24" customFormat="1" hidden="1" outlineLevel="2" x14ac:dyDescent="0.35">
      <c r="A74" s="29"/>
      <c r="B74" s="11" t="str">
        <f>CONCATENATE("          ", "6309", " - ", "TELEPHONE")</f>
        <v xml:space="preserve">          6309 - TELEPHONE</v>
      </c>
      <c r="C74" s="11"/>
      <c r="D74" s="7">
        <v>93</v>
      </c>
      <c r="E74" s="2"/>
      <c r="F74" s="6">
        <f t="shared" si="48"/>
        <v>0</v>
      </c>
      <c r="G74" s="2"/>
      <c r="H74" s="7">
        <v>50</v>
      </c>
      <c r="I74" s="2"/>
      <c r="J74" s="6">
        <f t="shared" si="49"/>
        <v>0</v>
      </c>
      <c r="K74" s="2"/>
      <c r="L74" s="7">
        <f t="shared" si="50"/>
        <v>43</v>
      </c>
      <c r="M74" s="2"/>
      <c r="N74" s="6">
        <f t="shared" si="51"/>
        <v>0.86</v>
      </c>
      <c r="O74" s="11"/>
      <c r="P74" s="7">
        <v>1479.53</v>
      </c>
      <c r="Q74" s="2"/>
      <c r="R74" s="6">
        <f t="shared" si="52"/>
        <v>0</v>
      </c>
      <c r="S74" s="2"/>
      <c r="T74" s="7">
        <v>350</v>
      </c>
      <c r="U74" s="2"/>
      <c r="V74" s="6">
        <f t="shared" si="53"/>
        <v>0</v>
      </c>
      <c r="W74" s="2"/>
      <c r="X74" s="7">
        <f t="shared" si="54"/>
        <v>1129.53</v>
      </c>
      <c r="Y74" s="2"/>
      <c r="Z74" s="6">
        <f t="shared" si="55"/>
        <v>3.2272285714285713</v>
      </c>
    </row>
    <row r="75" spans="1:26" s="28" customFormat="1" outlineLevel="1" collapsed="1" x14ac:dyDescent="0.35">
      <c r="A75" s="27"/>
      <c r="B75" s="14" t="str">
        <f>CONCATENATE("     ","Travel                                            ")</f>
        <v xml:space="preserve">     Travel                                            </v>
      </c>
      <c r="C75" s="14"/>
      <c r="D75" s="1">
        <f>SUM(OSRRefD22_14x_0)</f>
        <v>0</v>
      </c>
      <c r="E75" s="1"/>
      <c r="F75" s="5">
        <f t="shared" si="48"/>
        <v>0</v>
      </c>
      <c r="G75" s="1"/>
      <c r="H75" s="1">
        <f>SUM(OSRRefH22_14x_0)</f>
        <v>0</v>
      </c>
      <c r="I75" s="1"/>
      <c r="J75" s="5">
        <f t="shared" si="49"/>
        <v>0</v>
      </c>
      <c r="K75" s="1"/>
      <c r="L75" s="1">
        <f t="shared" si="50"/>
        <v>0</v>
      </c>
      <c r="M75" s="1"/>
      <c r="N75" s="5">
        <f t="shared" si="51"/>
        <v>0</v>
      </c>
      <c r="O75" s="14"/>
      <c r="P75" s="1">
        <f>SUM(OSRRefP22_14x_0)</f>
        <v>332.21</v>
      </c>
      <c r="Q75" s="1"/>
      <c r="R75" s="5">
        <f t="shared" si="52"/>
        <v>0</v>
      </c>
      <c r="S75" s="1"/>
      <c r="T75" s="1">
        <f>SUM(OSRRefT22_14x_0)</f>
        <v>0</v>
      </c>
      <c r="U75" s="1"/>
      <c r="V75" s="5">
        <f t="shared" si="53"/>
        <v>0</v>
      </c>
      <c r="W75" s="1"/>
      <c r="X75" s="1">
        <f t="shared" si="54"/>
        <v>332.21</v>
      </c>
      <c r="Y75" s="1"/>
      <c r="Z75" s="5">
        <f t="shared" si="55"/>
        <v>0</v>
      </c>
    </row>
    <row r="76" spans="1:26" s="24" customFormat="1" hidden="1" outlineLevel="2" x14ac:dyDescent="0.35">
      <c r="A76" s="29"/>
      <c r="B76" s="11" t="str">
        <f>CONCATENATE("          ", "6298", " - ", "VEHICLE MILEAGE")</f>
        <v xml:space="preserve">          6298 - VEHICLE MILEAGE</v>
      </c>
      <c r="C76" s="11"/>
      <c r="D76" s="7"/>
      <c r="E76" s="2"/>
      <c r="F76" s="6">
        <f t="shared" si="48"/>
        <v>0</v>
      </c>
      <c r="G76" s="2"/>
      <c r="H76" s="7"/>
      <c r="I76" s="2"/>
      <c r="J76" s="6">
        <f t="shared" si="49"/>
        <v>0</v>
      </c>
      <c r="K76" s="2"/>
      <c r="L76" s="7">
        <f t="shared" si="50"/>
        <v>0</v>
      </c>
      <c r="M76" s="2"/>
      <c r="N76" s="6">
        <f t="shared" si="51"/>
        <v>0</v>
      </c>
      <c r="O76" s="11"/>
      <c r="P76" s="7">
        <v>332.21</v>
      </c>
      <c r="Q76" s="2"/>
      <c r="R76" s="6">
        <f t="shared" si="52"/>
        <v>0</v>
      </c>
      <c r="S76" s="2"/>
      <c r="T76" s="7"/>
      <c r="U76" s="2"/>
      <c r="V76" s="6">
        <f t="shared" si="53"/>
        <v>0</v>
      </c>
      <c r="W76" s="2"/>
      <c r="X76" s="7">
        <f t="shared" si="54"/>
        <v>332.21</v>
      </c>
      <c r="Y76" s="2"/>
      <c r="Z76" s="6">
        <f t="shared" si="55"/>
        <v>0</v>
      </c>
    </row>
    <row r="77" spans="1:26" s="28" customFormat="1" outlineLevel="1" collapsed="1" x14ac:dyDescent="0.35">
      <c r="A77" s="27"/>
      <c r="B77" s="14" t="str">
        <f>CONCATENATE("     ","Utilities                                         ")</f>
        <v xml:space="preserve">     Utilities                                         </v>
      </c>
      <c r="C77" s="14"/>
      <c r="D77" s="1">
        <f>SUM(OSRRefD22_15x_0)</f>
        <v>1000</v>
      </c>
      <c r="E77" s="1"/>
      <c r="F77" s="5">
        <f t="shared" si="48"/>
        <v>0</v>
      </c>
      <c r="G77" s="1"/>
      <c r="H77" s="1">
        <f>SUM(OSRRefH22_15x_0)</f>
        <v>1000</v>
      </c>
      <c r="I77" s="1"/>
      <c r="J77" s="5">
        <f t="shared" si="49"/>
        <v>0</v>
      </c>
      <c r="K77" s="1"/>
      <c r="L77" s="1">
        <f t="shared" si="50"/>
        <v>0</v>
      </c>
      <c r="M77" s="1"/>
      <c r="N77" s="5">
        <f t="shared" si="51"/>
        <v>0</v>
      </c>
      <c r="O77" s="14"/>
      <c r="P77" s="1">
        <f>SUM(OSRRefP22_15x_0)</f>
        <v>-12876</v>
      </c>
      <c r="Q77" s="1"/>
      <c r="R77" s="5">
        <f t="shared" si="52"/>
        <v>0</v>
      </c>
      <c r="S77" s="1"/>
      <c r="T77" s="1">
        <f>SUM(OSRRefT22_15x_0)</f>
        <v>7000</v>
      </c>
      <c r="U77" s="1"/>
      <c r="V77" s="5">
        <f t="shared" si="53"/>
        <v>0</v>
      </c>
      <c r="W77" s="1"/>
      <c r="X77" s="1">
        <f t="shared" si="54"/>
        <v>-19876</v>
      </c>
      <c r="Y77" s="1"/>
      <c r="Z77" s="5">
        <f t="shared" si="55"/>
        <v>-2.8394285714285714</v>
      </c>
    </row>
    <row r="78" spans="1:26" s="24" customFormat="1" hidden="1" outlineLevel="2" x14ac:dyDescent="0.35">
      <c r="A78" s="29"/>
      <c r="B78" s="11" t="str">
        <f>CONCATENATE("          ", "6274", " - ", "UTILITIES")</f>
        <v xml:space="preserve">          6274 - UTILITIES</v>
      </c>
      <c r="C78" s="11"/>
      <c r="D78" s="7">
        <v>1000</v>
      </c>
      <c r="E78" s="2"/>
      <c r="F78" s="6">
        <f t="shared" si="48"/>
        <v>0</v>
      </c>
      <c r="G78" s="2"/>
      <c r="H78" s="7">
        <v>1000</v>
      </c>
      <c r="I78" s="2"/>
      <c r="J78" s="6">
        <f t="shared" si="49"/>
        <v>0</v>
      </c>
      <c r="K78" s="2"/>
      <c r="L78" s="7">
        <f t="shared" si="50"/>
        <v>0</v>
      </c>
      <c r="M78" s="2"/>
      <c r="N78" s="6">
        <f t="shared" si="51"/>
        <v>0</v>
      </c>
      <c r="O78" s="11"/>
      <c r="P78" s="7">
        <v>-12876</v>
      </c>
      <c r="Q78" s="2"/>
      <c r="R78" s="6">
        <f t="shared" si="52"/>
        <v>0</v>
      </c>
      <c r="S78" s="2"/>
      <c r="T78" s="7">
        <v>7000</v>
      </c>
      <c r="U78" s="2"/>
      <c r="V78" s="6">
        <f t="shared" si="53"/>
        <v>0</v>
      </c>
      <c r="W78" s="2"/>
      <c r="X78" s="7">
        <f t="shared" si="54"/>
        <v>-19876</v>
      </c>
      <c r="Y78" s="2"/>
      <c r="Z78" s="6">
        <f t="shared" si="55"/>
        <v>-2.8394285714285714</v>
      </c>
    </row>
    <row r="79" spans="1:26" s="55" customFormat="1" x14ac:dyDescent="0.35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collapsed="1" x14ac:dyDescent="0.35">
      <c r="A80" s="10"/>
      <c r="B80" s="25" t="s">
        <v>0</v>
      </c>
      <c r="C80" s="10"/>
      <c r="D80" s="4">
        <f>SUM(OSRRefD25x_0)</f>
        <v>189.92</v>
      </c>
      <c r="E80" s="4"/>
      <c r="F80" s="12">
        <f t="shared" ref="F80:F82" si="56">IF(D$12=0,0,D80/D$12)</f>
        <v>0</v>
      </c>
      <c r="G80" s="4"/>
      <c r="H80" s="4">
        <f>SUM(OSRRefH25x_0)</f>
        <v>0</v>
      </c>
      <c r="I80" s="4"/>
      <c r="J80" s="12">
        <f t="shared" ref="J80:J82" si="57">IF(H$12=0,0,H80/H$12)</f>
        <v>0</v>
      </c>
      <c r="K80" s="4"/>
      <c r="L80" s="4">
        <f t="shared" ref="L80:L82" si="58">+D80-H80</f>
        <v>189.92</v>
      </c>
      <c r="M80" s="4"/>
      <c r="N80" s="12">
        <f t="shared" ref="N80:N82" si="59">IF(H80=0,0,L80/H80)</f>
        <v>0</v>
      </c>
      <c r="O80" s="10"/>
      <c r="P80" s="4">
        <f>SUM(OSRRefP25x_0)</f>
        <v>2432.98</v>
      </c>
      <c r="Q80" s="4"/>
      <c r="R80" s="12">
        <f t="shared" ref="R80:R82" si="60">IF(P$12=0,0,P80/P$12)</f>
        <v>0</v>
      </c>
      <c r="S80" s="4"/>
      <c r="T80" s="4">
        <f>SUM(OSRRefT25x_0)</f>
        <v>0</v>
      </c>
      <c r="U80" s="4"/>
      <c r="V80" s="12">
        <f t="shared" ref="V80:V82" si="61">IF(T$12=0,0,T80/T$12)</f>
        <v>0</v>
      </c>
      <c r="W80" s="4"/>
      <c r="X80" s="4">
        <f t="shared" ref="X80:X82" si="62">+P80-T80</f>
        <v>2432.98</v>
      </c>
      <c r="Y80" s="4"/>
      <c r="Z80" s="12">
        <f t="shared" ref="Z80:Z82" si="63">IF(T80=0,0,X80/T80)</f>
        <v>0</v>
      </c>
    </row>
    <row r="81" spans="1:26" s="24" customFormat="1" hidden="1" outlineLevel="1" x14ac:dyDescent="0.35">
      <c r="A81" s="51"/>
      <c r="B81" s="11" t="str">
        <f>CONCATENATE("          ", "9150", " - ", "MISC. INCOME")</f>
        <v xml:space="preserve">          9150 - MISC. INCOME</v>
      </c>
      <c r="C81" s="11"/>
      <c r="D81" s="2">
        <f>0</f>
        <v>0</v>
      </c>
      <c r="E81" s="2"/>
      <c r="F81" s="22">
        <f t="shared" si="56"/>
        <v>0</v>
      </c>
      <c r="G81" s="2"/>
      <c r="H81" s="2">
        <v>0</v>
      </c>
      <c r="I81" s="2"/>
      <c r="J81" s="22">
        <f t="shared" si="57"/>
        <v>0</v>
      </c>
      <c r="K81" s="2"/>
      <c r="L81" s="2">
        <f t="shared" si="58"/>
        <v>0</v>
      </c>
      <c r="M81" s="2"/>
      <c r="N81" s="22">
        <f t="shared" si="59"/>
        <v>0</v>
      </c>
      <c r="O81" s="11"/>
      <c r="P81" s="2">
        <f>--1616.63</f>
        <v>1616.63</v>
      </c>
      <c r="Q81" s="2"/>
      <c r="R81" s="22">
        <f t="shared" si="60"/>
        <v>0</v>
      </c>
      <c r="S81" s="2"/>
      <c r="T81" s="2">
        <v>0</v>
      </c>
      <c r="U81" s="2"/>
      <c r="V81" s="22">
        <f t="shared" si="61"/>
        <v>0</v>
      </c>
      <c r="W81" s="2"/>
      <c r="X81" s="2">
        <f t="shared" si="62"/>
        <v>1616.63</v>
      </c>
      <c r="Y81" s="2"/>
      <c r="Z81" s="22">
        <f t="shared" si="63"/>
        <v>0</v>
      </c>
    </row>
    <row r="82" spans="1:26" s="24" customFormat="1" hidden="1" outlineLevel="1" x14ac:dyDescent="0.35">
      <c r="A82" s="51"/>
      <c r="B82" s="11" t="str">
        <f>CONCATENATE("          ", "9160", " - ", "MISC. INCOME")</f>
        <v xml:space="preserve">          9160 - MISC. INCOME</v>
      </c>
      <c r="C82" s="11"/>
      <c r="D82" s="2">
        <f>--189.92</f>
        <v>189.92</v>
      </c>
      <c r="E82" s="2"/>
      <c r="F82" s="22">
        <f t="shared" si="56"/>
        <v>0</v>
      </c>
      <c r="G82" s="2"/>
      <c r="H82" s="2"/>
      <c r="I82" s="2"/>
      <c r="J82" s="22">
        <f t="shared" si="57"/>
        <v>0</v>
      </c>
      <c r="K82" s="2"/>
      <c r="L82" s="2">
        <f t="shared" si="58"/>
        <v>189.92</v>
      </c>
      <c r="M82" s="2"/>
      <c r="N82" s="22">
        <f t="shared" si="59"/>
        <v>0</v>
      </c>
      <c r="O82" s="11"/>
      <c r="P82" s="2">
        <f>--816.35</f>
        <v>816.35</v>
      </c>
      <c r="Q82" s="2"/>
      <c r="R82" s="22">
        <f t="shared" si="60"/>
        <v>0</v>
      </c>
      <c r="S82" s="2"/>
      <c r="T82" s="2"/>
      <c r="U82" s="2"/>
      <c r="V82" s="22">
        <f t="shared" si="61"/>
        <v>0</v>
      </c>
      <c r="W82" s="2"/>
      <c r="X82" s="2">
        <f t="shared" si="62"/>
        <v>816.35</v>
      </c>
      <c r="Y82" s="2"/>
      <c r="Z82" s="22">
        <f t="shared" si="63"/>
        <v>0</v>
      </c>
    </row>
    <row r="83" spans="1:26" x14ac:dyDescent="0.3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35">
      <c r="A84" s="10"/>
      <c r="B84" s="26" t="s">
        <v>3</v>
      </c>
      <c r="C84" s="26"/>
      <c r="D84" s="19">
        <f>+D16-D18+D80</f>
        <v>-37266.659999999996</v>
      </c>
      <c r="E84" s="13"/>
      <c r="F84" s="21">
        <f>IF(D$12=0,0,D84/D$12)</f>
        <v>0</v>
      </c>
      <c r="G84" s="13"/>
      <c r="H84" s="19">
        <f>+H16-H18+H80</f>
        <v>-18113.076923076922</v>
      </c>
      <c r="I84" s="13"/>
      <c r="J84" s="21">
        <f>IF(H$12=0,0,H84/H$12)</f>
        <v>0</v>
      </c>
      <c r="K84" s="16"/>
      <c r="L84" s="19">
        <f>+D84-H84</f>
        <v>-19153.583076923074</v>
      </c>
      <c r="M84" s="16"/>
      <c r="N84" s="21">
        <f>IF(H84=0,0,L84/H84)</f>
        <v>1.0574450248439291</v>
      </c>
      <c r="O84" s="25"/>
      <c r="P84" s="19">
        <f>+P16-P18+P80</f>
        <v>-187419.86000000002</v>
      </c>
      <c r="Q84" s="13"/>
      <c r="R84" s="21">
        <f>IF(P$12=0,0,P84/P$12)</f>
        <v>0</v>
      </c>
      <c r="S84" s="13"/>
      <c r="T84" s="19">
        <f>+T16-T18+T80</f>
        <v>-125626.07692307692</v>
      </c>
      <c r="U84" s="13"/>
      <c r="V84" s="21">
        <f>IF(T$12=0,0,T84/T$12)</f>
        <v>0</v>
      </c>
      <c r="W84" s="16"/>
      <c r="X84" s="19">
        <f>+P84-T84</f>
        <v>-61793.783076923093</v>
      </c>
      <c r="Y84" s="16"/>
      <c r="Z84" s="21">
        <f>IF(T84=0,0,X84/T84)</f>
        <v>0.49188659385392192</v>
      </c>
    </row>
    <row r="85" spans="1:26" x14ac:dyDescent="0.3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35">
      <c r="A86" s="52"/>
      <c r="B86" s="10" t="s">
        <v>14</v>
      </c>
      <c r="C86" s="10"/>
      <c r="D86" s="4"/>
      <c r="E86" s="4"/>
      <c r="F86" s="12">
        <f>IF(D$12=0,0,D86/D$12)</f>
        <v>0</v>
      </c>
      <c r="G86" s="4"/>
      <c r="H86" s="4"/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/>
      <c r="Q86" s="4"/>
      <c r="R86" s="12">
        <f>IF(P$12=0,0,P86/P$12)</f>
        <v>0</v>
      </c>
      <c r="S86" s="4"/>
      <c r="T86" s="4"/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3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" thickBot="1" x14ac:dyDescent="0.4">
      <c r="A88" s="10"/>
      <c r="B88" s="26" t="s">
        <v>4</v>
      </c>
      <c r="C88" s="26"/>
      <c r="D88" s="33">
        <f>+D84-D86</f>
        <v>-37266.659999999996</v>
      </c>
      <c r="E88" s="13"/>
      <c r="F88" s="31">
        <f>IF(D$12=0,0,D88/D$12)</f>
        <v>0</v>
      </c>
      <c r="G88" s="13"/>
      <c r="H88" s="33">
        <f>+H84-H86</f>
        <v>-18113.076923076922</v>
      </c>
      <c r="I88" s="13"/>
      <c r="J88" s="31">
        <f>IF(H$12=0,0,H88/H$12)</f>
        <v>0</v>
      </c>
      <c r="K88" s="16"/>
      <c r="L88" s="33">
        <f>D88-H88</f>
        <v>-19153.583076923074</v>
      </c>
      <c r="M88" s="16"/>
      <c r="N88" s="31">
        <f>IF(H88=0,0,L88/H88)</f>
        <v>1.0574450248439291</v>
      </c>
      <c r="O88" s="25"/>
      <c r="P88" s="33">
        <f>+P84-P86</f>
        <v>-187419.86000000002</v>
      </c>
      <c r="Q88" s="13"/>
      <c r="R88" s="31">
        <f>IF(P$12=0,0,P88/P$12)</f>
        <v>0</v>
      </c>
      <c r="S88" s="13"/>
      <c r="T88" s="33">
        <f>+T84-T86</f>
        <v>-125626.07692307692</v>
      </c>
      <c r="U88" s="13"/>
      <c r="V88" s="31">
        <f>IF(T$12=0,0,T88/T$12)</f>
        <v>0</v>
      </c>
      <c r="W88" s="16"/>
      <c r="X88" s="33">
        <f>P88-T88</f>
        <v>-61793.783076923093</v>
      </c>
      <c r="Y88" s="16"/>
      <c r="Z88" s="31">
        <f>IF(T88=0,0,X88/T88)</f>
        <v>0.49188659385392192</v>
      </c>
    </row>
    <row r="89" spans="1:26" ht="15" thickTop="1" x14ac:dyDescent="0.3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3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" thickBot="1" x14ac:dyDescent="0.4">
      <c r="A91" s="10"/>
      <c r="B91" s="26" t="s">
        <v>5</v>
      </c>
      <c r="C91" s="26"/>
      <c r="D91" s="34">
        <f>SUM(D88:D90)</f>
        <v>-37266.659999999996</v>
      </c>
      <c r="E91" s="13"/>
      <c r="F91" s="32">
        <f>IF(D$12=0,0,D91/D$12)</f>
        <v>0</v>
      </c>
      <c r="G91" s="13"/>
      <c r="H91" s="34">
        <f>SUM(H88:H90)</f>
        <v>-18113.076923076922</v>
      </c>
      <c r="I91" s="13"/>
      <c r="J91" s="32">
        <f>IF(H$12=0,0,H91/H$12)</f>
        <v>0</v>
      </c>
      <c r="K91" s="16"/>
      <c r="L91" s="34">
        <f>+D91-H91</f>
        <v>-19153.583076923074</v>
      </c>
      <c r="M91" s="16"/>
      <c r="N91" s="32">
        <f>IF(H91=0,0,L91/H91)</f>
        <v>1.0574450248439291</v>
      </c>
      <c r="O91" s="25"/>
      <c r="P91" s="34">
        <f>SUM(P88:P90)</f>
        <v>-187419.86000000002</v>
      </c>
      <c r="Q91" s="13"/>
      <c r="R91" s="32">
        <f>IF(P$12=0,0,P91/P$12)</f>
        <v>0</v>
      </c>
      <c r="S91" s="13"/>
      <c r="T91" s="34">
        <f>SUM(T88:T90)</f>
        <v>-125626.07692307692</v>
      </c>
      <c r="U91" s="13"/>
      <c r="V91" s="32">
        <f>IF(T$12=0,0,T91/T$12)</f>
        <v>0</v>
      </c>
      <c r="W91" s="16"/>
      <c r="X91" s="34">
        <f>+P91-T91</f>
        <v>-61793.783076923093</v>
      </c>
      <c r="Y91" s="16"/>
      <c r="Z91" s="32">
        <f>IF(T91=0,0,X91/T91)</f>
        <v>0.49188659385392192</v>
      </c>
    </row>
    <row r="92" spans="1:26" ht="15" thickTop="1" x14ac:dyDescent="0.35">
      <c r="A92" s="9"/>
      <c r="C92" s="9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35">
      <c r="A93" s="9"/>
      <c r="B93" s="60">
        <v>44238.490697719906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35">
      <c r="A94" s="9"/>
      <c r="B94" s="59" t="s">
        <v>314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35">
      <c r="A95" s="9"/>
      <c r="B95" s="58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35"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","412", " - ", "Chartroom")</f>
        <v>Department 412 - Chartroom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0</v>
      </c>
      <c r="I16" s="2"/>
      <c r="J16" s="22">
        <f t="shared" si="5"/>
        <v>0</v>
      </c>
      <c r="K16" s="2"/>
      <c r="L16" s="2">
        <f t="shared" si="6"/>
        <v>0</v>
      </c>
      <c r="M16" s="2"/>
      <c r="N16" s="22">
        <f t="shared" si="7"/>
        <v>0</v>
      </c>
      <c r="O16" s="11"/>
      <c r="P16" s="2"/>
      <c r="Q16" s="2"/>
      <c r="R16" s="22">
        <f t="shared" si="8"/>
        <v>0</v>
      </c>
      <c r="S16" s="2"/>
      <c r="T16" s="2">
        <v>0</v>
      </c>
      <c r="U16" s="2"/>
      <c r="V16" s="22">
        <f t="shared" si="9"/>
        <v>0</v>
      </c>
      <c r="W16" s="2"/>
      <c r="X16" s="2">
        <f t="shared" si="10"/>
        <v>0</v>
      </c>
      <c r="Y16" s="2"/>
      <c r="Z16" s="22">
        <f t="shared" si="11"/>
        <v>0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SUM(OSRRefD22x_0)</f>
        <v>613.36</v>
      </c>
      <c r="E20" s="20"/>
      <c r="F20" s="30">
        <f t="shared" ref="F20:F29" si="12">IF(D$12=0,0,D20/D$12)</f>
        <v>0</v>
      </c>
      <c r="G20" s="20"/>
      <c r="H20" s="20">
        <f>SUM(OSRRefH22x_0)</f>
        <v>848</v>
      </c>
      <c r="I20" s="20"/>
      <c r="J20" s="30">
        <f t="shared" ref="J20:J29" si="13">IF(H$12=0,0,H20/H$12)</f>
        <v>0</v>
      </c>
      <c r="K20" s="4"/>
      <c r="L20" s="20">
        <f t="shared" ref="L20:L29" si="14">+D20-H20</f>
        <v>-234.64</v>
      </c>
      <c r="M20" s="4"/>
      <c r="N20" s="30">
        <f t="shared" ref="N20:N29" si="15">IF(H20=0,0,L20/H20)</f>
        <v>-0.27669811320754717</v>
      </c>
      <c r="O20" s="10"/>
      <c r="P20" s="20">
        <f>SUM(OSRRefP22x_0)</f>
        <v>6662.8899999999994</v>
      </c>
      <c r="Q20" s="20"/>
      <c r="R20" s="30">
        <f t="shared" ref="R20:R29" si="16">IF(P$12=0,0,P20/P$12)</f>
        <v>0</v>
      </c>
      <c r="S20" s="20"/>
      <c r="T20" s="20">
        <f>SUM(OSRRefT22x_0)</f>
        <v>5936</v>
      </c>
      <c r="U20" s="20"/>
      <c r="V20" s="30">
        <f t="shared" ref="V20:V29" si="17">IF(T$12=0,0,T20/T$12)</f>
        <v>0</v>
      </c>
      <c r="W20" s="4"/>
      <c r="X20" s="20">
        <f t="shared" ref="X20:X29" si="18">+P20-T20</f>
        <v>726.88999999999942</v>
      </c>
      <c r="Y20" s="4"/>
      <c r="Z20" s="30">
        <f t="shared" ref="Z20:Z29" si="19">IF(T20=0,0,X20/T20)</f>
        <v>0.12245451482479774</v>
      </c>
    </row>
    <row r="21" spans="1:26" s="28" customFormat="1" outlineLevel="1" collapsed="1" x14ac:dyDescent="0.35">
      <c r="A21" s="27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"6111", " - ", "F.I.C.A.")</f>
        <v xml:space="preserve">          6111 - F.I.C.A.</v>
      </c>
      <c r="C22" s="11"/>
      <c r="D22" s="7"/>
      <c r="E22" s="2"/>
      <c r="F22" s="6">
        <f t="shared" si="12"/>
        <v>0</v>
      </c>
      <c r="G22" s="2"/>
      <c r="H22" s="7">
        <v>0</v>
      </c>
      <c r="I22" s="2"/>
      <c r="J22" s="6">
        <f t="shared" si="13"/>
        <v>0</v>
      </c>
      <c r="K22" s="2"/>
      <c r="L22" s="7">
        <f t="shared" si="14"/>
        <v>0</v>
      </c>
      <c r="M22" s="2"/>
      <c r="N22" s="6">
        <f t="shared" si="15"/>
        <v>0</v>
      </c>
      <c r="O22" s="11"/>
      <c r="P22" s="7"/>
      <c r="Q22" s="2"/>
      <c r="R22" s="6">
        <f t="shared" si="16"/>
        <v>0</v>
      </c>
      <c r="S22" s="2"/>
      <c r="T22" s="7">
        <v>0</v>
      </c>
      <c r="U22" s="2"/>
      <c r="V22" s="6">
        <f t="shared" si="17"/>
        <v>0</v>
      </c>
      <c r="W22" s="2"/>
      <c r="X22" s="7">
        <f t="shared" si="18"/>
        <v>0</v>
      </c>
      <c r="Y22" s="2"/>
      <c r="Z22" s="6">
        <f t="shared" si="19"/>
        <v>0</v>
      </c>
    </row>
    <row r="23" spans="1:26" s="24" customFormat="1" hidden="1" outlineLevel="2" x14ac:dyDescent="0.35">
      <c r="A23" s="29"/>
      <c r="B23" s="11" t="str">
        <f>CONCATENATE("          ", "6112", " - ", "COMPENSATION INSURANCE")</f>
        <v xml:space="preserve">          6112 - COMPENSATION INSURANCE</v>
      </c>
      <c r="C23" s="11"/>
      <c r="D23" s="7"/>
      <c r="E23" s="2"/>
      <c r="F23" s="6">
        <f t="shared" si="12"/>
        <v>0</v>
      </c>
      <c r="G23" s="2"/>
      <c r="H23" s="7">
        <v>0</v>
      </c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/>
      <c r="Q23" s="2"/>
      <c r="R23" s="6">
        <f t="shared" si="16"/>
        <v>0</v>
      </c>
      <c r="S23" s="2"/>
      <c r="T23" s="7">
        <v>0</v>
      </c>
      <c r="U23" s="2"/>
      <c r="V23" s="6">
        <f t="shared" si="17"/>
        <v>0</v>
      </c>
      <c r="W23" s="2"/>
      <c r="X23" s="7">
        <f t="shared" si="18"/>
        <v>0</v>
      </c>
      <c r="Y23" s="2"/>
      <c r="Z23" s="6">
        <f t="shared" si="19"/>
        <v>0</v>
      </c>
    </row>
    <row r="24" spans="1:26" s="24" customFormat="1" hidden="1" outlineLevel="2" x14ac:dyDescent="0.35">
      <c r="A24" s="29"/>
      <c r="B24" s="11" t="str">
        <f>CONCATENATE("          ", "6113", " - ", "GROUP INSURANCE")</f>
        <v xml:space="preserve">          6113 - GROUP INSURANCE</v>
      </c>
      <c r="C24" s="11"/>
      <c r="D24" s="7"/>
      <c r="E24" s="2"/>
      <c r="F24" s="6">
        <f t="shared" si="12"/>
        <v>0</v>
      </c>
      <c r="G24" s="2"/>
      <c r="H24" s="7">
        <v>0</v>
      </c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0</v>
      </c>
      <c r="U24" s="2"/>
      <c r="V24" s="6">
        <f t="shared" si="17"/>
        <v>0</v>
      </c>
      <c r="W24" s="2"/>
      <c r="X24" s="7">
        <f t="shared" si="18"/>
        <v>0</v>
      </c>
      <c r="Y24" s="2"/>
      <c r="Z24" s="6">
        <f t="shared" si="19"/>
        <v>0</v>
      </c>
    </row>
    <row r="25" spans="1:26" s="24" customFormat="1" hidden="1" outlineLevel="2" x14ac:dyDescent="0.35">
      <c r="A25" s="29"/>
      <c r="B25" s="11" t="str">
        <f>CONCATENATE("          ", "6114", " - ", "STATE UNEMPLOYMENT INSURANCE")</f>
        <v xml:space="preserve">          6114 - STATE UNEMPLOYMENT INSURANCE</v>
      </c>
      <c r="C25" s="11"/>
      <c r="D25" s="7"/>
      <c r="E25" s="2"/>
      <c r="F25" s="6">
        <f t="shared" si="12"/>
        <v>0</v>
      </c>
      <c r="G25" s="2"/>
      <c r="H25" s="7">
        <v>0</v>
      </c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/>
      <c r="Q25" s="2"/>
      <c r="R25" s="6">
        <f t="shared" si="16"/>
        <v>0</v>
      </c>
      <c r="S25" s="2"/>
      <c r="T25" s="7">
        <v>0</v>
      </c>
      <c r="U25" s="2"/>
      <c r="V25" s="6">
        <f t="shared" si="17"/>
        <v>0</v>
      </c>
      <c r="W25" s="2"/>
      <c r="X25" s="7">
        <f t="shared" si="18"/>
        <v>0</v>
      </c>
      <c r="Y25" s="2"/>
      <c r="Z25" s="6">
        <f t="shared" si="19"/>
        <v>0</v>
      </c>
    </row>
    <row r="26" spans="1:26" s="24" customFormat="1" hidden="1" outlineLevel="2" x14ac:dyDescent="0.35">
      <c r="A26" s="29"/>
      <c r="B26" s="11" t="str">
        <f>CONCATENATE("          ", "6115", " - ", "P.E.R.S.")</f>
        <v xml:space="preserve">          6115 - P.E.R.S.</v>
      </c>
      <c r="C26" s="11"/>
      <c r="D26" s="7"/>
      <c r="E26" s="2"/>
      <c r="F26" s="6">
        <f t="shared" si="12"/>
        <v>0</v>
      </c>
      <c r="G26" s="2"/>
      <c r="H26" s="7">
        <v>0</v>
      </c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0</v>
      </c>
      <c r="U26" s="2"/>
      <c r="V26" s="6">
        <f t="shared" si="17"/>
        <v>0</v>
      </c>
      <c r="W26" s="2"/>
      <c r="X26" s="7">
        <f t="shared" si="18"/>
        <v>0</v>
      </c>
      <c r="Y26" s="2"/>
      <c r="Z26" s="6">
        <f t="shared" si="19"/>
        <v>0</v>
      </c>
    </row>
    <row r="27" spans="1:26" s="24" customFormat="1" hidden="1" outlineLevel="2" x14ac:dyDescent="0.35">
      <c r="A27" s="29"/>
      <c r="B27" s="11" t="str">
        <f>CONCATENATE("          ", "6116", " - ", "EDUCATIONAL BENEFITS")</f>
        <v xml:space="preserve">          6116 - EDUCATIONAL BENEFITS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35">
      <c r="A28" s="29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35">
      <c r="A29" s="29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8" customFormat="1" outlineLevel="1" collapsed="1" x14ac:dyDescent="0.3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0</v>
      </c>
      <c r="M30" s="1"/>
      <c r="N30" s="5">
        <f t="shared" ref="N30:N40" si="23">IF(H30=0,0,L30/H30)</f>
        <v>0</v>
      </c>
      <c r="O30" s="14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0</v>
      </c>
      <c r="Y30" s="1"/>
      <c r="Z30" s="5">
        <f t="shared" ref="Z30:Z40" si="27">IF(T30=0,0,X30/T30)</f>
        <v>0</v>
      </c>
    </row>
    <row r="31" spans="1:26" s="24" customFormat="1" hidden="1" outlineLevel="2" x14ac:dyDescent="0.3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20"/>
        <v>0</v>
      </c>
      <c r="G31" s="2"/>
      <c r="H31" s="7">
        <v>0</v>
      </c>
      <c r="I31" s="2"/>
      <c r="J31" s="6">
        <f t="shared" si="21"/>
        <v>0</v>
      </c>
      <c r="K31" s="2"/>
      <c r="L31" s="7">
        <f t="shared" si="22"/>
        <v>0</v>
      </c>
      <c r="M31" s="2"/>
      <c r="N31" s="6">
        <f t="shared" si="23"/>
        <v>0</v>
      </c>
      <c r="O31" s="11"/>
      <c r="P31" s="7"/>
      <c r="Q31" s="2"/>
      <c r="R31" s="6">
        <f t="shared" si="24"/>
        <v>0</v>
      </c>
      <c r="S31" s="2"/>
      <c r="T31" s="7">
        <v>0</v>
      </c>
      <c r="U31" s="2"/>
      <c r="V31" s="6">
        <f t="shared" si="25"/>
        <v>0</v>
      </c>
      <c r="W31" s="2"/>
      <c r="X31" s="7">
        <f t="shared" si="26"/>
        <v>0</v>
      </c>
      <c r="Y31" s="2"/>
      <c r="Z31" s="6">
        <f t="shared" si="27"/>
        <v>0</v>
      </c>
    </row>
    <row r="32" spans="1:26" s="24" customFormat="1" hidden="1" outlineLevel="2" x14ac:dyDescent="0.35">
      <c r="A32" s="29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3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/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0</v>
      </c>
      <c r="Y33" s="2"/>
      <c r="Z33" s="6">
        <f t="shared" si="27"/>
        <v>0</v>
      </c>
    </row>
    <row r="34" spans="1:26" s="24" customFormat="1" hidden="1" outlineLevel="2" x14ac:dyDescent="0.35">
      <c r="A34" s="29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3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35">
      <c r="A36" s="29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35">
      <c r="A37" s="29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3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3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3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8" customFormat="1" outlineLevel="1" collapsed="1" x14ac:dyDescent="0.3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47" si="28">IF(D$12=0,0,D41/D$12)</f>
        <v>0</v>
      </c>
      <c r="G41" s="1"/>
      <c r="H41" s="1">
        <f>SUM(OSRRefH22_2x_0)</f>
        <v>0</v>
      </c>
      <c r="I41" s="1"/>
      <c r="J41" s="5">
        <f t="shared" ref="J41:J47" si="29">IF(H$12=0,0,H41/H$12)</f>
        <v>0</v>
      </c>
      <c r="K41" s="1"/>
      <c r="L41" s="1">
        <f t="shared" ref="L41:L47" si="30">+D41-H41</f>
        <v>0</v>
      </c>
      <c r="M41" s="1"/>
      <c r="N41" s="5">
        <f t="shared" ref="N41:N47" si="31">IF(H41=0,0,L41/H41)</f>
        <v>0</v>
      </c>
      <c r="O41" s="14"/>
      <c r="P41" s="1">
        <f>SUM(OSRRefP22_2x_0)</f>
        <v>0</v>
      </c>
      <c r="Q41" s="1"/>
      <c r="R41" s="5">
        <f t="shared" ref="R41:R47" si="32">IF(P$12=0,0,P41/P$12)</f>
        <v>0</v>
      </c>
      <c r="S41" s="1"/>
      <c r="T41" s="1">
        <f>SUM(OSRRefT22_2x_0)</f>
        <v>0</v>
      </c>
      <c r="U41" s="1"/>
      <c r="V41" s="5">
        <f t="shared" ref="V41:V47" si="33">IF(T$12=0,0,T41/T$12)</f>
        <v>0</v>
      </c>
      <c r="W41" s="1"/>
      <c r="X41" s="1">
        <f t="shared" ref="X41:X47" si="34">+P41-T41</f>
        <v>0</v>
      </c>
      <c r="Y41" s="1"/>
      <c r="Z41" s="5">
        <f t="shared" ref="Z41:Z47" si="35">IF(T41=0,0,X41/T41)</f>
        <v>0</v>
      </c>
    </row>
    <row r="42" spans="1:26" s="24" customFormat="1" hidden="1" outlineLevel="2" x14ac:dyDescent="0.35">
      <c r="A42" s="29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8"/>
        <v>0</v>
      </c>
      <c r="G42" s="2"/>
      <c r="H42" s="7">
        <v>0</v>
      </c>
      <c r="I42" s="2"/>
      <c r="J42" s="6">
        <f t="shared" si="29"/>
        <v>0</v>
      </c>
      <c r="K42" s="2"/>
      <c r="L42" s="7">
        <f t="shared" si="30"/>
        <v>0</v>
      </c>
      <c r="M42" s="2"/>
      <c r="N42" s="6">
        <f t="shared" si="31"/>
        <v>0</v>
      </c>
      <c r="O42" s="11"/>
      <c r="P42" s="7"/>
      <c r="Q42" s="2"/>
      <c r="R42" s="6">
        <f t="shared" si="32"/>
        <v>0</v>
      </c>
      <c r="S42" s="2"/>
      <c r="T42" s="7">
        <v>0</v>
      </c>
      <c r="U42" s="2"/>
      <c r="V42" s="6">
        <f t="shared" si="33"/>
        <v>0</v>
      </c>
      <c r="W42" s="2"/>
      <c r="X42" s="7">
        <f t="shared" si="34"/>
        <v>0</v>
      </c>
      <c r="Y42" s="2"/>
      <c r="Z42" s="6">
        <f t="shared" si="35"/>
        <v>0</v>
      </c>
    </row>
    <row r="43" spans="1:26" s="28" customFormat="1" outlineLevel="1" collapsed="1" x14ac:dyDescent="0.35">
      <c r="A43" s="27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4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35">
      <c r="A44" s="29"/>
      <c r="B44" s="11" t="str">
        <f>CONCATENATE("          ", "6381", " - ", "BANK/CREDIT CARD FEES")</f>
        <v xml:space="preserve">          6381 - BANK/CREDIT CARD FEES</v>
      </c>
      <c r="C44" s="11"/>
      <c r="D44" s="7"/>
      <c r="E44" s="2"/>
      <c r="F44" s="6">
        <f t="shared" si="28"/>
        <v>0</v>
      </c>
      <c r="G44" s="2"/>
      <c r="H44" s="7">
        <v>0</v>
      </c>
      <c r="I44" s="2"/>
      <c r="J44" s="6">
        <f t="shared" si="29"/>
        <v>0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/>
      <c r="Q44" s="2"/>
      <c r="R44" s="6">
        <f t="shared" si="32"/>
        <v>0</v>
      </c>
      <c r="S44" s="2"/>
      <c r="T44" s="7">
        <v>0</v>
      </c>
      <c r="U44" s="2"/>
      <c r="V44" s="6">
        <f t="shared" si="33"/>
        <v>0</v>
      </c>
      <c r="W44" s="2"/>
      <c r="X44" s="7">
        <f t="shared" si="34"/>
        <v>0</v>
      </c>
      <c r="Y44" s="2"/>
      <c r="Z44" s="6">
        <f t="shared" si="35"/>
        <v>0</v>
      </c>
    </row>
    <row r="45" spans="1:26" s="28" customFormat="1" outlineLevel="1" collapsed="1" x14ac:dyDescent="0.35">
      <c r="A45" s="27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SUM(OSRRefD22_4x_0)</f>
        <v>577.36</v>
      </c>
      <c r="E45" s="1"/>
      <c r="F45" s="5">
        <f t="shared" si="28"/>
        <v>0</v>
      </c>
      <c r="G45" s="1"/>
      <c r="H45" s="1">
        <f>SUM(OSRRefH22_4x_0)</f>
        <v>848</v>
      </c>
      <c r="I45" s="1"/>
      <c r="J45" s="5">
        <f t="shared" si="29"/>
        <v>0</v>
      </c>
      <c r="K45" s="1"/>
      <c r="L45" s="1">
        <f t="shared" si="30"/>
        <v>-270.64</v>
      </c>
      <c r="M45" s="1"/>
      <c r="N45" s="5">
        <f t="shared" si="31"/>
        <v>-0.31915094339622641</v>
      </c>
      <c r="O45" s="14"/>
      <c r="P45" s="1">
        <f>SUM(OSRRefP22_4x_0)</f>
        <v>4380.51</v>
      </c>
      <c r="Q45" s="1"/>
      <c r="R45" s="5">
        <f t="shared" si="32"/>
        <v>0</v>
      </c>
      <c r="S45" s="1"/>
      <c r="T45" s="1">
        <f>SUM(OSRRefT22_4x_0)</f>
        <v>5936</v>
      </c>
      <c r="U45" s="1"/>
      <c r="V45" s="5">
        <f t="shared" si="33"/>
        <v>0</v>
      </c>
      <c r="W45" s="1"/>
      <c r="X45" s="1">
        <f t="shared" si="34"/>
        <v>-1555.4899999999998</v>
      </c>
      <c r="Y45" s="1"/>
      <c r="Z45" s="5">
        <f t="shared" si="35"/>
        <v>-0.26204346361185982</v>
      </c>
    </row>
    <row r="46" spans="1:26" s="24" customFormat="1" hidden="1" outlineLevel="2" x14ac:dyDescent="0.35">
      <c r="A46" s="29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577.36</v>
      </c>
      <c r="E46" s="2"/>
      <c r="F46" s="6">
        <f t="shared" si="28"/>
        <v>0</v>
      </c>
      <c r="G46" s="2"/>
      <c r="H46" s="7">
        <v>298</v>
      </c>
      <c r="I46" s="2"/>
      <c r="J46" s="6">
        <f t="shared" si="29"/>
        <v>0</v>
      </c>
      <c r="K46" s="2"/>
      <c r="L46" s="7">
        <f t="shared" si="30"/>
        <v>279.36</v>
      </c>
      <c r="M46" s="2"/>
      <c r="N46" s="6">
        <f t="shared" si="31"/>
        <v>0.93744966442953026</v>
      </c>
      <c r="O46" s="11"/>
      <c r="P46" s="7">
        <v>4380.51</v>
      </c>
      <c r="Q46" s="2"/>
      <c r="R46" s="6">
        <f t="shared" si="32"/>
        <v>0</v>
      </c>
      <c r="S46" s="2"/>
      <c r="T46" s="7">
        <v>2086</v>
      </c>
      <c r="U46" s="2"/>
      <c r="V46" s="6">
        <f t="shared" si="33"/>
        <v>0</v>
      </c>
      <c r="W46" s="2"/>
      <c r="X46" s="7">
        <f t="shared" si="34"/>
        <v>2294.5100000000002</v>
      </c>
      <c r="Y46" s="2"/>
      <c r="Z46" s="6">
        <f t="shared" si="35"/>
        <v>1.0999568552253116</v>
      </c>
    </row>
    <row r="47" spans="1:26" s="24" customFormat="1" hidden="1" outlineLevel="2" x14ac:dyDescent="0.35">
      <c r="A47" s="29"/>
      <c r="B47" s="11" t="str">
        <f>CONCATENATE("          ", "6326", " - ", "VEHICLES DEPRECIATION EXPENSE")</f>
        <v xml:space="preserve">          6326 - VEHICLES DEPRECIATION EXPENSE</v>
      </c>
      <c r="C47" s="11"/>
      <c r="D47" s="7"/>
      <c r="E47" s="2"/>
      <c r="F47" s="6">
        <f t="shared" si="28"/>
        <v>0</v>
      </c>
      <c r="G47" s="2"/>
      <c r="H47" s="7">
        <v>550</v>
      </c>
      <c r="I47" s="2"/>
      <c r="J47" s="6">
        <f t="shared" si="29"/>
        <v>0</v>
      </c>
      <c r="K47" s="2"/>
      <c r="L47" s="7">
        <f t="shared" si="30"/>
        <v>-550</v>
      </c>
      <c r="M47" s="2"/>
      <c r="N47" s="6">
        <f t="shared" si="31"/>
        <v>-1</v>
      </c>
      <c r="O47" s="11"/>
      <c r="P47" s="7"/>
      <c r="Q47" s="2"/>
      <c r="R47" s="6">
        <f t="shared" si="32"/>
        <v>0</v>
      </c>
      <c r="S47" s="2"/>
      <c r="T47" s="7">
        <v>3850</v>
      </c>
      <c r="U47" s="2"/>
      <c r="V47" s="6">
        <f t="shared" si="33"/>
        <v>0</v>
      </c>
      <c r="W47" s="2"/>
      <c r="X47" s="7">
        <f t="shared" si="34"/>
        <v>-3850</v>
      </c>
      <c r="Y47" s="2"/>
      <c r="Z47" s="6">
        <f t="shared" si="35"/>
        <v>-1</v>
      </c>
    </row>
    <row r="48" spans="1:26" s="28" customFormat="1" outlineLevel="1" collapsed="1" x14ac:dyDescent="0.35">
      <c r="A48" s="27"/>
      <c r="B48" s="14" t="str">
        <f>CONCATENATE("     ","Employees' Appreciation                           ")</f>
        <v xml:space="preserve">     Employees' Appreciation                           </v>
      </c>
      <c r="C48" s="14"/>
      <c r="D48" s="1">
        <f>SUM(OSRRefD22_5x_0)</f>
        <v>0</v>
      </c>
      <c r="E48" s="1"/>
      <c r="F48" s="5">
        <f t="shared" ref="F48:F56" si="36">IF(D$12=0,0,D48/D$12)</f>
        <v>0</v>
      </c>
      <c r="G48" s="1"/>
      <c r="H48" s="1">
        <f>SUM(OSRRefH22_5x_0)</f>
        <v>0</v>
      </c>
      <c r="I48" s="1"/>
      <c r="J48" s="5">
        <f t="shared" ref="J48:J56" si="37">IF(H$12=0,0,H48/H$12)</f>
        <v>0</v>
      </c>
      <c r="K48" s="1"/>
      <c r="L48" s="1">
        <f t="shared" ref="L48:L56" si="38">+D48-H48</f>
        <v>0</v>
      </c>
      <c r="M48" s="1"/>
      <c r="N48" s="5">
        <f t="shared" ref="N48:N56" si="39">IF(H48=0,0,L48/H48)</f>
        <v>0</v>
      </c>
      <c r="O48" s="14"/>
      <c r="P48" s="1">
        <f>SUM(OSRRefP22_5x_0)</f>
        <v>0</v>
      </c>
      <c r="Q48" s="1"/>
      <c r="R48" s="5">
        <f t="shared" ref="R48:R56" si="40">IF(P$12=0,0,P48/P$12)</f>
        <v>0</v>
      </c>
      <c r="S48" s="1"/>
      <c r="T48" s="1">
        <f>SUM(OSRRefT22_5x_0)</f>
        <v>0</v>
      </c>
      <c r="U48" s="1"/>
      <c r="V48" s="5">
        <f t="shared" ref="V48:V56" si="41">IF(T$12=0,0,T48/T$12)</f>
        <v>0</v>
      </c>
      <c r="W48" s="1"/>
      <c r="X48" s="1">
        <f t="shared" ref="X48:X56" si="42">+P48-T48</f>
        <v>0</v>
      </c>
      <c r="Y48" s="1"/>
      <c r="Z48" s="5">
        <f t="shared" ref="Z48:Z56" si="43">IF(T48=0,0,X48/T48)</f>
        <v>0</v>
      </c>
    </row>
    <row r="49" spans="1:26" s="24" customFormat="1" hidden="1" outlineLevel="2" x14ac:dyDescent="0.35">
      <c r="A49" s="29"/>
      <c r="B49" s="11" t="str">
        <f>CONCATENATE("          ", "6277", " - ", "EMPLOYEE APPRECIATION")</f>
        <v xml:space="preserve">          6277 - EMPLOYEE APPRECIATION</v>
      </c>
      <c r="C49" s="11"/>
      <c r="D49" s="7"/>
      <c r="E49" s="2"/>
      <c r="F49" s="6">
        <f t="shared" si="36"/>
        <v>0</v>
      </c>
      <c r="G49" s="2"/>
      <c r="H49" s="7">
        <v>0</v>
      </c>
      <c r="I49" s="2"/>
      <c r="J49" s="6">
        <f t="shared" si="37"/>
        <v>0</v>
      </c>
      <c r="K49" s="2"/>
      <c r="L49" s="7">
        <f t="shared" si="38"/>
        <v>0</v>
      </c>
      <c r="M49" s="2"/>
      <c r="N49" s="6">
        <f t="shared" si="39"/>
        <v>0</v>
      </c>
      <c r="O49" s="11"/>
      <c r="P49" s="7"/>
      <c r="Q49" s="2"/>
      <c r="R49" s="6">
        <f t="shared" si="40"/>
        <v>0</v>
      </c>
      <c r="S49" s="2"/>
      <c r="T49" s="7">
        <v>0</v>
      </c>
      <c r="U49" s="2"/>
      <c r="V49" s="6">
        <f t="shared" si="41"/>
        <v>0</v>
      </c>
      <c r="W49" s="2"/>
      <c r="X49" s="7">
        <f t="shared" si="42"/>
        <v>0</v>
      </c>
      <c r="Y49" s="2"/>
      <c r="Z49" s="6">
        <f t="shared" si="43"/>
        <v>0</v>
      </c>
    </row>
    <row r="50" spans="1:26" s="28" customFormat="1" outlineLevel="1" collapsed="1" x14ac:dyDescent="0.35">
      <c r="A50" s="27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SUM(OSRRefD22_6x_0)</f>
        <v>0</v>
      </c>
      <c r="E50" s="1"/>
      <c r="F50" s="5">
        <f t="shared" si="36"/>
        <v>0</v>
      </c>
      <c r="G50" s="1"/>
      <c r="H50" s="1">
        <f>SUM(OSRRefH22_6x_0)</f>
        <v>0</v>
      </c>
      <c r="I50" s="1"/>
      <c r="J50" s="5">
        <f t="shared" si="37"/>
        <v>0</v>
      </c>
      <c r="K50" s="1"/>
      <c r="L50" s="1">
        <f t="shared" si="38"/>
        <v>0</v>
      </c>
      <c r="M50" s="1"/>
      <c r="N50" s="5">
        <f t="shared" si="39"/>
        <v>0</v>
      </c>
      <c r="O50" s="14"/>
      <c r="P50" s="1">
        <f>SUM(OSRRefP22_6x_0)</f>
        <v>16.239999999999998</v>
      </c>
      <c r="Q50" s="1"/>
      <c r="R50" s="5">
        <f t="shared" si="40"/>
        <v>0</v>
      </c>
      <c r="S50" s="1"/>
      <c r="T50" s="1">
        <f>SUM(OSRRefT22_6x_0)</f>
        <v>0</v>
      </c>
      <c r="U50" s="1"/>
      <c r="V50" s="5">
        <f t="shared" si="41"/>
        <v>0</v>
      </c>
      <c r="W50" s="1"/>
      <c r="X50" s="1">
        <f t="shared" si="42"/>
        <v>16.239999999999998</v>
      </c>
      <c r="Y50" s="1"/>
      <c r="Z50" s="5">
        <f t="shared" si="43"/>
        <v>0</v>
      </c>
    </row>
    <row r="51" spans="1:26" s="24" customFormat="1" hidden="1" outlineLevel="2" x14ac:dyDescent="0.35">
      <c r="A51" s="29"/>
      <c r="B51" s="11" t="str">
        <f>CONCATENATE("          ", "6351", " - ", "EQUIPMENT RENTAL")</f>
        <v xml:space="preserve">          6351 - EQUIPMENT RENTAL</v>
      </c>
      <c r="C51" s="11"/>
      <c r="D51" s="7"/>
      <c r="E51" s="2"/>
      <c r="F51" s="6">
        <f t="shared" si="36"/>
        <v>0</v>
      </c>
      <c r="G51" s="2"/>
      <c r="H51" s="7">
        <v>0</v>
      </c>
      <c r="I51" s="2"/>
      <c r="J51" s="6">
        <f t="shared" si="37"/>
        <v>0</v>
      </c>
      <c r="K51" s="2"/>
      <c r="L51" s="7">
        <f t="shared" si="38"/>
        <v>0</v>
      </c>
      <c r="M51" s="2"/>
      <c r="N51" s="6">
        <f t="shared" si="39"/>
        <v>0</v>
      </c>
      <c r="O51" s="11"/>
      <c r="P51" s="7">
        <v>16.239999999999998</v>
      </c>
      <c r="Q51" s="2"/>
      <c r="R51" s="6">
        <f t="shared" si="40"/>
        <v>0</v>
      </c>
      <c r="S51" s="2"/>
      <c r="T51" s="7">
        <v>0</v>
      </c>
      <c r="U51" s="2"/>
      <c r="V51" s="6">
        <f t="shared" si="41"/>
        <v>0</v>
      </c>
      <c r="W51" s="2"/>
      <c r="X51" s="7">
        <f t="shared" si="42"/>
        <v>16.239999999999998</v>
      </c>
      <c r="Y51" s="2"/>
      <c r="Z51" s="6">
        <f t="shared" si="43"/>
        <v>0</v>
      </c>
    </row>
    <row r="52" spans="1:26" s="28" customFormat="1" outlineLevel="1" collapsed="1" x14ac:dyDescent="0.35">
      <c r="A52" s="27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SUM(OSRRefD22_7x_0)</f>
        <v>0</v>
      </c>
      <c r="E52" s="1"/>
      <c r="F52" s="5">
        <f t="shared" si="36"/>
        <v>0</v>
      </c>
      <c r="G52" s="1"/>
      <c r="H52" s="1">
        <f>SUM(OSRRefH22_7x_0)</f>
        <v>0</v>
      </c>
      <c r="I52" s="1"/>
      <c r="J52" s="5">
        <f t="shared" si="37"/>
        <v>0</v>
      </c>
      <c r="K52" s="1"/>
      <c r="L52" s="1">
        <f t="shared" si="38"/>
        <v>0</v>
      </c>
      <c r="M52" s="1"/>
      <c r="N52" s="5">
        <f t="shared" si="39"/>
        <v>0</v>
      </c>
      <c r="O52" s="14"/>
      <c r="P52" s="1">
        <f>SUM(OSRRefP22_7x_0)</f>
        <v>0</v>
      </c>
      <c r="Q52" s="1"/>
      <c r="R52" s="5">
        <f t="shared" si="40"/>
        <v>0</v>
      </c>
      <c r="S52" s="1"/>
      <c r="T52" s="1">
        <f>SUM(OSRRefT22_7x_0)</f>
        <v>0</v>
      </c>
      <c r="U52" s="1"/>
      <c r="V52" s="5">
        <f t="shared" si="41"/>
        <v>0</v>
      </c>
      <c r="W52" s="1"/>
      <c r="X52" s="1">
        <f t="shared" si="42"/>
        <v>0</v>
      </c>
      <c r="Y52" s="1"/>
      <c r="Z52" s="5">
        <f t="shared" si="43"/>
        <v>0</v>
      </c>
    </row>
    <row r="53" spans="1:26" s="24" customFormat="1" hidden="1" outlineLevel="2" x14ac:dyDescent="0.35">
      <c r="A53" s="29"/>
      <c r="B53" s="11" t="str">
        <f>CONCATENATE("          ", "6279", " - ", "GENERAL EXPENSE")</f>
        <v xml:space="preserve">          6279 - GENERAL EXPENSE</v>
      </c>
      <c r="C53" s="11"/>
      <c r="D53" s="7"/>
      <c r="E53" s="2"/>
      <c r="F53" s="6">
        <f t="shared" si="36"/>
        <v>0</v>
      </c>
      <c r="G53" s="2"/>
      <c r="H53" s="7">
        <v>0</v>
      </c>
      <c r="I53" s="2"/>
      <c r="J53" s="6">
        <f t="shared" si="37"/>
        <v>0</v>
      </c>
      <c r="K53" s="2"/>
      <c r="L53" s="7">
        <f t="shared" si="38"/>
        <v>0</v>
      </c>
      <c r="M53" s="2"/>
      <c r="N53" s="6">
        <f t="shared" si="39"/>
        <v>0</v>
      </c>
      <c r="O53" s="11"/>
      <c r="P53" s="7"/>
      <c r="Q53" s="2"/>
      <c r="R53" s="6">
        <f t="shared" si="40"/>
        <v>0</v>
      </c>
      <c r="S53" s="2"/>
      <c r="T53" s="7">
        <v>0</v>
      </c>
      <c r="U53" s="2"/>
      <c r="V53" s="6">
        <f t="shared" si="41"/>
        <v>0</v>
      </c>
      <c r="W53" s="2"/>
      <c r="X53" s="7">
        <f t="shared" si="42"/>
        <v>0</v>
      </c>
      <c r="Y53" s="2"/>
      <c r="Z53" s="6">
        <f t="shared" si="43"/>
        <v>0</v>
      </c>
    </row>
    <row r="54" spans="1:26" s="28" customFormat="1" outlineLevel="1" collapsed="1" x14ac:dyDescent="0.35">
      <c r="A54" s="27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SUM(OSRRefD22_8x_0)</f>
        <v>0</v>
      </c>
      <c r="E54" s="1"/>
      <c r="F54" s="5">
        <f t="shared" si="36"/>
        <v>0</v>
      </c>
      <c r="G54" s="1"/>
      <c r="H54" s="1">
        <f>SUM(OSRRefH22_8x_0)</f>
        <v>0</v>
      </c>
      <c r="I54" s="1"/>
      <c r="J54" s="5">
        <f t="shared" si="37"/>
        <v>0</v>
      </c>
      <c r="K54" s="1"/>
      <c r="L54" s="1">
        <f t="shared" si="38"/>
        <v>0</v>
      </c>
      <c r="M54" s="1"/>
      <c r="N54" s="5">
        <f t="shared" si="39"/>
        <v>0</v>
      </c>
      <c r="O54" s="14"/>
      <c r="P54" s="1">
        <f>SUM(OSRRefP22_8x_0)</f>
        <v>1616.5300000000002</v>
      </c>
      <c r="Q54" s="1"/>
      <c r="R54" s="5">
        <f t="shared" si="40"/>
        <v>0</v>
      </c>
      <c r="S54" s="1"/>
      <c r="T54" s="1">
        <f>SUM(OSRRefT22_8x_0)</f>
        <v>0</v>
      </c>
      <c r="U54" s="1"/>
      <c r="V54" s="5">
        <f t="shared" si="41"/>
        <v>0</v>
      </c>
      <c r="W54" s="1"/>
      <c r="X54" s="1">
        <f t="shared" si="42"/>
        <v>1616.5300000000002</v>
      </c>
      <c r="Y54" s="1"/>
      <c r="Z54" s="5">
        <f t="shared" si="43"/>
        <v>0</v>
      </c>
    </row>
    <row r="55" spans="1:26" s="24" customFormat="1" hidden="1" outlineLevel="2" x14ac:dyDescent="0.35">
      <c r="A55" s="29"/>
      <c r="B55" s="11" t="str">
        <f>CONCATENATE("          ", "6373", " - ", "MAINTENANCE CONTRACTS")</f>
        <v xml:space="preserve">          6373 - MAINTENANCE CONTRACTS</v>
      </c>
      <c r="C55" s="11"/>
      <c r="D55" s="7"/>
      <c r="E55" s="2"/>
      <c r="F55" s="6">
        <f t="shared" si="36"/>
        <v>0</v>
      </c>
      <c r="G55" s="2"/>
      <c r="H55" s="7"/>
      <c r="I55" s="2"/>
      <c r="J55" s="6">
        <f t="shared" si="37"/>
        <v>0</v>
      </c>
      <c r="K55" s="2"/>
      <c r="L55" s="7">
        <f t="shared" si="38"/>
        <v>0</v>
      </c>
      <c r="M55" s="2"/>
      <c r="N55" s="6">
        <f t="shared" si="39"/>
        <v>0</v>
      </c>
      <c r="O55" s="11"/>
      <c r="P55" s="7">
        <v>278.39999999999998</v>
      </c>
      <c r="Q55" s="2"/>
      <c r="R55" s="6">
        <f t="shared" si="40"/>
        <v>0</v>
      </c>
      <c r="S55" s="2"/>
      <c r="T55" s="7">
        <v>0</v>
      </c>
      <c r="U55" s="2"/>
      <c r="V55" s="6">
        <f t="shared" si="41"/>
        <v>0</v>
      </c>
      <c r="W55" s="2"/>
      <c r="X55" s="7">
        <f t="shared" si="42"/>
        <v>278.39999999999998</v>
      </c>
      <c r="Y55" s="2"/>
      <c r="Z55" s="6">
        <f t="shared" si="43"/>
        <v>0</v>
      </c>
    </row>
    <row r="56" spans="1:26" s="24" customFormat="1" hidden="1" outlineLevel="2" x14ac:dyDescent="0.35">
      <c r="A56" s="29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36"/>
        <v>0</v>
      </c>
      <c r="G56" s="2"/>
      <c r="H56" s="7">
        <v>0</v>
      </c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1338.13</v>
      </c>
      <c r="Q56" s="2"/>
      <c r="R56" s="6">
        <f t="shared" si="40"/>
        <v>0</v>
      </c>
      <c r="S56" s="2"/>
      <c r="T56" s="7">
        <v>0</v>
      </c>
      <c r="U56" s="2"/>
      <c r="V56" s="6">
        <f t="shared" si="41"/>
        <v>0</v>
      </c>
      <c r="W56" s="2"/>
      <c r="X56" s="7">
        <f t="shared" si="42"/>
        <v>1338.13</v>
      </c>
      <c r="Y56" s="2"/>
      <c r="Z56" s="6">
        <f t="shared" si="43"/>
        <v>0</v>
      </c>
    </row>
    <row r="57" spans="1:26" s="28" customFormat="1" outlineLevel="1" collapsed="1" x14ac:dyDescent="0.35">
      <c r="A57" s="27"/>
      <c r="B57" s="14" t="str">
        <f>CONCATENATE("     ","Royalty &amp; Commissions                             ")</f>
        <v xml:space="preserve">     Royalty &amp; Commissions                             </v>
      </c>
      <c r="C57" s="14"/>
      <c r="D57" s="1">
        <f>SUM(OSRRefD22_9x_0)</f>
        <v>0</v>
      </c>
      <c r="E57" s="1"/>
      <c r="F57" s="5">
        <f t="shared" ref="F57:F63" si="44">IF(D$12=0,0,D57/D$12)</f>
        <v>0</v>
      </c>
      <c r="G57" s="1"/>
      <c r="H57" s="1">
        <f>SUM(OSRRefH22_9x_0)</f>
        <v>0</v>
      </c>
      <c r="I57" s="1"/>
      <c r="J57" s="5">
        <f t="shared" ref="J57:J63" si="45">IF(H$12=0,0,H57/H$12)</f>
        <v>0</v>
      </c>
      <c r="K57" s="1"/>
      <c r="L57" s="1">
        <f t="shared" ref="L57:L63" si="46">+D57-H57</f>
        <v>0</v>
      </c>
      <c r="M57" s="1"/>
      <c r="N57" s="5">
        <f t="shared" ref="N57:N63" si="47">IF(H57=0,0,L57/H57)</f>
        <v>0</v>
      </c>
      <c r="O57" s="14"/>
      <c r="P57" s="1">
        <f>SUM(OSRRefP22_9x_0)</f>
        <v>0</v>
      </c>
      <c r="Q57" s="1"/>
      <c r="R57" s="5">
        <f t="shared" ref="R57:R63" si="48">IF(P$12=0,0,P57/P$12)</f>
        <v>0</v>
      </c>
      <c r="S57" s="1"/>
      <c r="T57" s="1">
        <f>SUM(OSRRefT22_9x_0)</f>
        <v>0</v>
      </c>
      <c r="U57" s="1"/>
      <c r="V57" s="5">
        <f t="shared" ref="V57:V63" si="49">IF(T$12=0,0,T57/T$12)</f>
        <v>0</v>
      </c>
      <c r="W57" s="1"/>
      <c r="X57" s="1">
        <f t="shared" ref="X57:X63" si="50">+P57-T57</f>
        <v>0</v>
      </c>
      <c r="Y57" s="1"/>
      <c r="Z57" s="5">
        <f t="shared" ref="Z57:Z63" si="51">IF(T57=0,0,X57/T57)</f>
        <v>0</v>
      </c>
    </row>
    <row r="58" spans="1:26" s="24" customFormat="1" hidden="1" outlineLevel="2" x14ac:dyDescent="0.35">
      <c r="A58" s="29"/>
      <c r="B58" s="11" t="str">
        <f>CONCATENATE("          ", "6254", " - ", "ROYALTY &amp; COMMISSIONS")</f>
        <v xml:space="preserve">          6254 - ROYALTY &amp; COMMISSIONS</v>
      </c>
      <c r="C58" s="11"/>
      <c r="D58" s="7"/>
      <c r="E58" s="2"/>
      <c r="F58" s="6">
        <f t="shared" si="44"/>
        <v>0</v>
      </c>
      <c r="G58" s="2"/>
      <c r="H58" s="7">
        <v>0</v>
      </c>
      <c r="I58" s="2"/>
      <c r="J58" s="6">
        <f t="shared" si="45"/>
        <v>0</v>
      </c>
      <c r="K58" s="2"/>
      <c r="L58" s="7">
        <f t="shared" si="46"/>
        <v>0</v>
      </c>
      <c r="M58" s="2"/>
      <c r="N58" s="6">
        <f t="shared" si="47"/>
        <v>0</v>
      </c>
      <c r="O58" s="11"/>
      <c r="P58" s="7"/>
      <c r="Q58" s="2"/>
      <c r="R58" s="6">
        <f t="shared" si="48"/>
        <v>0</v>
      </c>
      <c r="S58" s="2"/>
      <c r="T58" s="7">
        <v>0</v>
      </c>
      <c r="U58" s="2"/>
      <c r="V58" s="6">
        <f t="shared" si="49"/>
        <v>0</v>
      </c>
      <c r="W58" s="2"/>
      <c r="X58" s="7">
        <f t="shared" si="50"/>
        <v>0</v>
      </c>
      <c r="Y58" s="2"/>
      <c r="Z58" s="6">
        <f t="shared" si="51"/>
        <v>0</v>
      </c>
    </row>
    <row r="59" spans="1:26" s="28" customFormat="1" outlineLevel="1" collapsed="1" x14ac:dyDescent="0.35">
      <c r="A59" s="27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SUM(OSRRefD22_10x_0)</f>
        <v>0</v>
      </c>
      <c r="E59" s="1"/>
      <c r="F59" s="5">
        <f t="shared" si="44"/>
        <v>0</v>
      </c>
      <c r="G59" s="1"/>
      <c r="H59" s="1">
        <f>SUM(OSRRefH22_10x_0)</f>
        <v>0</v>
      </c>
      <c r="I59" s="1"/>
      <c r="J59" s="5">
        <f t="shared" si="45"/>
        <v>0</v>
      </c>
      <c r="K59" s="1"/>
      <c r="L59" s="1">
        <f t="shared" si="46"/>
        <v>0</v>
      </c>
      <c r="M59" s="1"/>
      <c r="N59" s="5">
        <f t="shared" si="47"/>
        <v>0</v>
      </c>
      <c r="O59" s="14"/>
      <c r="P59" s="1">
        <f>SUM(OSRRefP22_10x_0)</f>
        <v>320.58</v>
      </c>
      <c r="Q59" s="1"/>
      <c r="R59" s="5">
        <f t="shared" si="48"/>
        <v>0</v>
      </c>
      <c r="S59" s="1"/>
      <c r="T59" s="1">
        <f>SUM(OSRRefT22_10x_0)</f>
        <v>0</v>
      </c>
      <c r="U59" s="1"/>
      <c r="V59" s="5">
        <f t="shared" si="49"/>
        <v>0</v>
      </c>
      <c r="W59" s="1"/>
      <c r="X59" s="1">
        <f t="shared" si="50"/>
        <v>320.58</v>
      </c>
      <c r="Y59" s="1"/>
      <c r="Z59" s="5">
        <f t="shared" si="51"/>
        <v>0</v>
      </c>
    </row>
    <row r="60" spans="1:26" s="24" customFormat="1" hidden="1" outlineLevel="2" x14ac:dyDescent="0.35">
      <c r="A60" s="29"/>
      <c r="B60" s="11" t="str">
        <f>CONCATENATE("          ", "6282", " - ", "JANITORIAL/EXTERMINATOR EXPENS")</f>
        <v xml:space="preserve">          6282 - JANITORIAL/EXTERMINATOR EXPENS</v>
      </c>
      <c r="C60" s="11"/>
      <c r="D60" s="7"/>
      <c r="E60" s="2"/>
      <c r="F60" s="6">
        <f t="shared" si="44"/>
        <v>0</v>
      </c>
      <c r="G60" s="2"/>
      <c r="H60" s="7">
        <v>0</v>
      </c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/>
      <c r="Q60" s="2"/>
      <c r="R60" s="6">
        <f t="shared" si="48"/>
        <v>0</v>
      </c>
      <c r="S60" s="2"/>
      <c r="T60" s="7">
        <v>0</v>
      </c>
      <c r="U60" s="2"/>
      <c r="V60" s="6">
        <f t="shared" si="49"/>
        <v>0</v>
      </c>
      <c r="W60" s="2"/>
      <c r="X60" s="7">
        <f t="shared" si="50"/>
        <v>0</v>
      </c>
      <c r="Y60" s="2"/>
      <c r="Z60" s="6">
        <f t="shared" si="51"/>
        <v>0</v>
      </c>
    </row>
    <row r="61" spans="1:26" s="24" customFormat="1" hidden="1" outlineLevel="2" x14ac:dyDescent="0.35">
      <c r="A61" s="29"/>
      <c r="B61" s="11" t="str">
        <f>CONCATENATE("          ", "6283", " - ", "PLANT SERVICE")</f>
        <v xml:space="preserve">          6283 - PLANT SERVICE</v>
      </c>
      <c r="C61" s="11"/>
      <c r="D61" s="7"/>
      <c r="E61" s="2"/>
      <c r="F61" s="6">
        <f t="shared" si="44"/>
        <v>0</v>
      </c>
      <c r="G61" s="2"/>
      <c r="H61" s="7">
        <v>0</v>
      </c>
      <c r="I61" s="2"/>
      <c r="J61" s="6">
        <f t="shared" si="45"/>
        <v>0</v>
      </c>
      <c r="K61" s="2"/>
      <c r="L61" s="7">
        <f t="shared" si="46"/>
        <v>0</v>
      </c>
      <c r="M61" s="2"/>
      <c r="N61" s="6">
        <f t="shared" si="47"/>
        <v>0</v>
      </c>
      <c r="O61" s="11"/>
      <c r="P61" s="7"/>
      <c r="Q61" s="2"/>
      <c r="R61" s="6">
        <f t="shared" si="48"/>
        <v>0</v>
      </c>
      <c r="S61" s="2"/>
      <c r="T61" s="7">
        <v>0</v>
      </c>
      <c r="U61" s="2"/>
      <c r="V61" s="6">
        <f t="shared" si="49"/>
        <v>0</v>
      </c>
      <c r="W61" s="2"/>
      <c r="X61" s="7">
        <f t="shared" si="50"/>
        <v>0</v>
      </c>
      <c r="Y61" s="2"/>
      <c r="Z61" s="6">
        <f t="shared" si="51"/>
        <v>0</v>
      </c>
    </row>
    <row r="62" spans="1:26" s="24" customFormat="1" hidden="1" outlineLevel="2" x14ac:dyDescent="0.35">
      <c r="A62" s="29"/>
      <c r="B62" s="11" t="str">
        <f>CONCATENATE("          ", "6285", " - ", "JANITORIAL SERVICES")</f>
        <v xml:space="preserve">          6285 - JANITORIAL SERVICES</v>
      </c>
      <c r="C62" s="11"/>
      <c r="D62" s="7"/>
      <c r="E62" s="2"/>
      <c r="F62" s="6">
        <f t="shared" si="44"/>
        <v>0</v>
      </c>
      <c r="G62" s="2"/>
      <c r="H62" s="7">
        <v>0</v>
      </c>
      <c r="I62" s="2"/>
      <c r="J62" s="6">
        <f t="shared" si="45"/>
        <v>0</v>
      </c>
      <c r="K62" s="2"/>
      <c r="L62" s="7">
        <f t="shared" si="46"/>
        <v>0</v>
      </c>
      <c r="M62" s="2"/>
      <c r="N62" s="6">
        <f t="shared" si="47"/>
        <v>0</v>
      </c>
      <c r="O62" s="11"/>
      <c r="P62" s="7"/>
      <c r="Q62" s="2"/>
      <c r="R62" s="6">
        <f t="shared" si="48"/>
        <v>0</v>
      </c>
      <c r="S62" s="2"/>
      <c r="T62" s="7">
        <v>0</v>
      </c>
      <c r="U62" s="2"/>
      <c r="V62" s="6">
        <f t="shared" si="49"/>
        <v>0</v>
      </c>
      <c r="W62" s="2"/>
      <c r="X62" s="7">
        <f t="shared" si="50"/>
        <v>0</v>
      </c>
      <c r="Y62" s="2"/>
      <c r="Z62" s="6">
        <f t="shared" si="51"/>
        <v>0</v>
      </c>
    </row>
    <row r="63" spans="1:26" s="24" customFormat="1" hidden="1" outlineLevel="2" x14ac:dyDescent="0.35">
      <c r="A63" s="29"/>
      <c r="B63" s="11" t="str">
        <f>CONCATENATE("          ", "6286", " - ", "LAUNDRY EXPENSE")</f>
        <v xml:space="preserve">          6286 - LAUNDRY EXPENSE</v>
      </c>
      <c r="C63" s="11"/>
      <c r="D63" s="7"/>
      <c r="E63" s="2"/>
      <c r="F63" s="6">
        <f t="shared" si="44"/>
        <v>0</v>
      </c>
      <c r="G63" s="2"/>
      <c r="H63" s="7">
        <v>0</v>
      </c>
      <c r="I63" s="2"/>
      <c r="J63" s="6">
        <f t="shared" si="45"/>
        <v>0</v>
      </c>
      <c r="K63" s="2"/>
      <c r="L63" s="7">
        <f t="shared" si="46"/>
        <v>0</v>
      </c>
      <c r="M63" s="2"/>
      <c r="N63" s="6">
        <f t="shared" si="47"/>
        <v>0</v>
      </c>
      <c r="O63" s="11"/>
      <c r="P63" s="7">
        <v>320.58</v>
      </c>
      <c r="Q63" s="2"/>
      <c r="R63" s="6">
        <f t="shared" si="48"/>
        <v>0</v>
      </c>
      <c r="S63" s="2"/>
      <c r="T63" s="7">
        <v>0</v>
      </c>
      <c r="U63" s="2"/>
      <c r="V63" s="6">
        <f t="shared" si="49"/>
        <v>0</v>
      </c>
      <c r="W63" s="2"/>
      <c r="X63" s="7">
        <f t="shared" si="50"/>
        <v>320.58</v>
      </c>
      <c r="Y63" s="2"/>
      <c r="Z63" s="6">
        <f t="shared" si="51"/>
        <v>0</v>
      </c>
    </row>
    <row r="64" spans="1:26" s="28" customFormat="1" outlineLevel="1" collapsed="1" x14ac:dyDescent="0.35">
      <c r="A64" s="27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SUM(OSRRefD22_11x_0)</f>
        <v>0</v>
      </c>
      <c r="E64" s="1"/>
      <c r="F64" s="5">
        <f t="shared" ref="F64:F69" si="52">IF(D$12=0,0,D64/D$12)</f>
        <v>0</v>
      </c>
      <c r="G64" s="1"/>
      <c r="H64" s="1">
        <f>SUM(OSRRefH22_11x_0)</f>
        <v>0</v>
      </c>
      <c r="I64" s="1"/>
      <c r="J64" s="5">
        <f t="shared" ref="J64:J69" si="53">IF(H$12=0,0,H64/H$12)</f>
        <v>0</v>
      </c>
      <c r="K64" s="1"/>
      <c r="L64" s="1">
        <f t="shared" ref="L64:L69" si="54">+D64-H64</f>
        <v>0</v>
      </c>
      <c r="M64" s="1"/>
      <c r="N64" s="5">
        <f t="shared" ref="N64:N69" si="55">IF(H64=0,0,L64/H64)</f>
        <v>0</v>
      </c>
      <c r="O64" s="14"/>
      <c r="P64" s="1">
        <f>SUM(OSRRefP22_11x_0)</f>
        <v>0</v>
      </c>
      <c r="Q64" s="1"/>
      <c r="R64" s="5">
        <f t="shared" ref="R64:R69" si="56">IF(P$12=0,0,P64/P$12)</f>
        <v>0</v>
      </c>
      <c r="S64" s="1"/>
      <c r="T64" s="1">
        <f>SUM(OSRRefT22_11x_0)</f>
        <v>0</v>
      </c>
      <c r="U64" s="1"/>
      <c r="V64" s="5">
        <f t="shared" ref="V64:V69" si="57">IF(T$12=0,0,T64/T$12)</f>
        <v>0</v>
      </c>
      <c r="W64" s="1"/>
      <c r="X64" s="1">
        <f t="shared" ref="X64:X69" si="58">+P64-T64</f>
        <v>0</v>
      </c>
      <c r="Y64" s="1"/>
      <c r="Z64" s="5">
        <f t="shared" ref="Z64:Z69" si="59">IF(T64=0,0,X64/T64)</f>
        <v>0</v>
      </c>
    </row>
    <row r="65" spans="1:26" s="24" customFormat="1" hidden="1" outlineLevel="2" x14ac:dyDescent="0.35">
      <c r="A65" s="29"/>
      <c r="B65" s="11" t="str">
        <f>CONCATENATE("          ", "6235", " - ", "COVID-19 EXPENSES")</f>
        <v xml:space="preserve">          6235 - COVID-19 EXPENSES</v>
      </c>
      <c r="C65" s="11"/>
      <c r="D65" s="7"/>
      <c r="E65" s="2"/>
      <c r="F65" s="6">
        <f t="shared" si="52"/>
        <v>0</v>
      </c>
      <c r="G65" s="2"/>
      <c r="H65" s="7">
        <v>0</v>
      </c>
      <c r="I65" s="2"/>
      <c r="J65" s="6">
        <f t="shared" si="53"/>
        <v>0</v>
      </c>
      <c r="K65" s="2"/>
      <c r="L65" s="7">
        <f t="shared" si="54"/>
        <v>0</v>
      </c>
      <c r="M65" s="2"/>
      <c r="N65" s="6">
        <f t="shared" si="55"/>
        <v>0</v>
      </c>
      <c r="O65" s="11"/>
      <c r="P65" s="7"/>
      <c r="Q65" s="2"/>
      <c r="R65" s="6">
        <f t="shared" si="56"/>
        <v>0</v>
      </c>
      <c r="S65" s="2"/>
      <c r="T65" s="7">
        <v>0</v>
      </c>
      <c r="U65" s="2"/>
      <c r="V65" s="6">
        <f t="shared" si="57"/>
        <v>0</v>
      </c>
      <c r="W65" s="2"/>
      <c r="X65" s="7">
        <f t="shared" si="58"/>
        <v>0</v>
      </c>
      <c r="Y65" s="2"/>
      <c r="Z65" s="6">
        <f t="shared" si="59"/>
        <v>0</v>
      </c>
    </row>
    <row r="66" spans="1:26" s="24" customFormat="1" hidden="1" outlineLevel="2" x14ac:dyDescent="0.35">
      <c r="A66" s="29"/>
      <c r="B66" s="11" t="str">
        <f>CONCATENATE("          ", "6241", " - ", "OFFICE EXPENSE")</f>
        <v xml:space="preserve">          6241 - OFFICE EXPENSE</v>
      </c>
      <c r="C66" s="11"/>
      <c r="D66" s="7"/>
      <c r="E66" s="2"/>
      <c r="F66" s="6">
        <f t="shared" si="52"/>
        <v>0</v>
      </c>
      <c r="G66" s="2"/>
      <c r="H66" s="7">
        <v>0</v>
      </c>
      <c r="I66" s="2"/>
      <c r="J66" s="6">
        <f t="shared" si="53"/>
        <v>0</v>
      </c>
      <c r="K66" s="2"/>
      <c r="L66" s="7">
        <f t="shared" si="54"/>
        <v>0</v>
      </c>
      <c r="M66" s="2"/>
      <c r="N66" s="6">
        <f t="shared" si="55"/>
        <v>0</v>
      </c>
      <c r="O66" s="11"/>
      <c r="P66" s="7"/>
      <c r="Q66" s="2"/>
      <c r="R66" s="6">
        <f t="shared" si="56"/>
        <v>0</v>
      </c>
      <c r="S66" s="2"/>
      <c r="T66" s="7">
        <v>0</v>
      </c>
      <c r="U66" s="2"/>
      <c r="V66" s="6">
        <f t="shared" si="57"/>
        <v>0</v>
      </c>
      <c r="W66" s="2"/>
      <c r="X66" s="7">
        <f t="shared" si="58"/>
        <v>0</v>
      </c>
      <c r="Y66" s="2"/>
      <c r="Z66" s="6">
        <f t="shared" si="59"/>
        <v>0</v>
      </c>
    </row>
    <row r="67" spans="1:26" s="24" customFormat="1" hidden="1" outlineLevel="2" x14ac:dyDescent="0.35">
      <c r="A67" s="29"/>
      <c r="B67" s="11" t="str">
        <f>CONCATENATE("          ", "6243", " - ", "PAPER SUPPLIES")</f>
        <v xml:space="preserve">          6243 - PAPER SUPPLIES</v>
      </c>
      <c r="C67" s="11"/>
      <c r="D67" s="7"/>
      <c r="E67" s="2"/>
      <c r="F67" s="6">
        <f t="shared" si="52"/>
        <v>0</v>
      </c>
      <c r="G67" s="2"/>
      <c r="H67" s="7"/>
      <c r="I67" s="2"/>
      <c r="J67" s="6">
        <f t="shared" si="53"/>
        <v>0</v>
      </c>
      <c r="K67" s="2"/>
      <c r="L67" s="7">
        <f t="shared" si="54"/>
        <v>0</v>
      </c>
      <c r="M67" s="2"/>
      <c r="N67" s="6">
        <f t="shared" si="55"/>
        <v>0</v>
      </c>
      <c r="O67" s="11"/>
      <c r="P67" s="7"/>
      <c r="Q67" s="2"/>
      <c r="R67" s="6">
        <f t="shared" si="56"/>
        <v>0</v>
      </c>
      <c r="S67" s="2"/>
      <c r="T67" s="7">
        <v>0</v>
      </c>
      <c r="U67" s="2"/>
      <c r="V67" s="6">
        <f t="shared" si="57"/>
        <v>0</v>
      </c>
      <c r="W67" s="2"/>
      <c r="X67" s="7">
        <f t="shared" si="58"/>
        <v>0</v>
      </c>
      <c r="Y67" s="2"/>
      <c r="Z67" s="6">
        <f t="shared" si="59"/>
        <v>0</v>
      </c>
    </row>
    <row r="68" spans="1:26" s="24" customFormat="1" hidden="1" outlineLevel="2" x14ac:dyDescent="0.35">
      <c r="A68" s="29"/>
      <c r="B68" s="11" t="str">
        <f>CONCATENATE("          ", "6247", " - ", "STORE SUPPLIES")</f>
        <v xml:space="preserve">          6247 - STORE SUPPLIES</v>
      </c>
      <c r="C68" s="11"/>
      <c r="D68" s="7"/>
      <c r="E68" s="2"/>
      <c r="F68" s="6">
        <f t="shared" si="52"/>
        <v>0</v>
      </c>
      <c r="G68" s="2"/>
      <c r="H68" s="7">
        <v>0</v>
      </c>
      <c r="I68" s="2"/>
      <c r="J68" s="6">
        <f t="shared" si="53"/>
        <v>0</v>
      </c>
      <c r="K68" s="2"/>
      <c r="L68" s="7">
        <f t="shared" si="54"/>
        <v>0</v>
      </c>
      <c r="M68" s="2"/>
      <c r="N68" s="6">
        <f t="shared" si="55"/>
        <v>0</v>
      </c>
      <c r="O68" s="11"/>
      <c r="P68" s="7"/>
      <c r="Q68" s="2"/>
      <c r="R68" s="6">
        <f t="shared" si="56"/>
        <v>0</v>
      </c>
      <c r="S68" s="2"/>
      <c r="T68" s="7">
        <v>0</v>
      </c>
      <c r="U68" s="2"/>
      <c r="V68" s="6">
        <f t="shared" si="57"/>
        <v>0</v>
      </c>
      <c r="W68" s="2"/>
      <c r="X68" s="7">
        <f t="shared" si="58"/>
        <v>0</v>
      </c>
      <c r="Y68" s="2"/>
      <c r="Z68" s="6">
        <f t="shared" si="59"/>
        <v>0</v>
      </c>
    </row>
    <row r="69" spans="1:26" s="24" customFormat="1" hidden="1" outlineLevel="2" x14ac:dyDescent="0.35">
      <c r="A69" s="29"/>
      <c r="B69" s="11" t="str">
        <f>CONCATENATE("          ", "6248", " - ", "UNIFORMS")</f>
        <v xml:space="preserve">          6248 - UNIFORMS</v>
      </c>
      <c r="C69" s="11"/>
      <c r="D69" s="7"/>
      <c r="E69" s="2"/>
      <c r="F69" s="6">
        <f t="shared" si="52"/>
        <v>0</v>
      </c>
      <c r="G69" s="2"/>
      <c r="H69" s="7"/>
      <c r="I69" s="2"/>
      <c r="J69" s="6">
        <f t="shared" si="53"/>
        <v>0</v>
      </c>
      <c r="K69" s="2"/>
      <c r="L69" s="7">
        <f t="shared" si="54"/>
        <v>0</v>
      </c>
      <c r="M69" s="2"/>
      <c r="N69" s="6">
        <f t="shared" si="55"/>
        <v>0</v>
      </c>
      <c r="O69" s="11"/>
      <c r="P69" s="7"/>
      <c r="Q69" s="2"/>
      <c r="R69" s="6">
        <f t="shared" si="56"/>
        <v>0</v>
      </c>
      <c r="S69" s="2"/>
      <c r="T69" s="7">
        <v>0</v>
      </c>
      <c r="U69" s="2"/>
      <c r="V69" s="6">
        <f t="shared" si="57"/>
        <v>0</v>
      </c>
      <c r="W69" s="2"/>
      <c r="X69" s="7">
        <f t="shared" si="58"/>
        <v>0</v>
      </c>
      <c r="Y69" s="2"/>
      <c r="Z69" s="6">
        <f t="shared" si="59"/>
        <v>0</v>
      </c>
    </row>
    <row r="70" spans="1:26" s="28" customFormat="1" outlineLevel="1" collapsed="1" x14ac:dyDescent="0.35">
      <c r="A70" s="27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SUM(OSRRefD22_12x_0)</f>
        <v>36</v>
      </c>
      <c r="E70" s="1"/>
      <c r="F70" s="5">
        <f t="shared" ref="F70:F72" si="60">IF(D$12=0,0,D70/D$12)</f>
        <v>0</v>
      </c>
      <c r="G70" s="1"/>
      <c r="H70" s="1">
        <f>SUM(OSRRefH22_12x_0)</f>
        <v>0</v>
      </c>
      <c r="I70" s="1"/>
      <c r="J70" s="5">
        <f t="shared" ref="J70:J72" si="61">IF(H$12=0,0,H70/H$12)</f>
        <v>0</v>
      </c>
      <c r="K70" s="1"/>
      <c r="L70" s="1">
        <f t="shared" ref="L70:L72" si="62">+D70-H70</f>
        <v>36</v>
      </c>
      <c r="M70" s="1"/>
      <c r="N70" s="5">
        <f t="shared" ref="N70:N72" si="63">IF(H70=0,0,L70/H70)</f>
        <v>0</v>
      </c>
      <c r="O70" s="14"/>
      <c r="P70" s="1">
        <f>SUM(OSRRefP22_12x_0)</f>
        <v>329.03</v>
      </c>
      <c r="Q70" s="1"/>
      <c r="R70" s="5">
        <f t="shared" ref="R70:R72" si="64">IF(P$12=0,0,P70/P$12)</f>
        <v>0</v>
      </c>
      <c r="S70" s="1"/>
      <c r="T70" s="1">
        <f>SUM(OSRRefT22_12x_0)</f>
        <v>0</v>
      </c>
      <c r="U70" s="1"/>
      <c r="V70" s="5">
        <f t="shared" ref="V70:V72" si="65">IF(T$12=0,0,T70/T$12)</f>
        <v>0</v>
      </c>
      <c r="W70" s="1"/>
      <c r="X70" s="1">
        <f t="shared" ref="X70:X72" si="66">+P70-T70</f>
        <v>329.03</v>
      </c>
      <c r="Y70" s="1"/>
      <c r="Z70" s="5">
        <f t="shared" ref="Z70:Z72" si="67">IF(T70=0,0,X70/T70)</f>
        <v>0</v>
      </c>
    </row>
    <row r="71" spans="1:26" s="24" customFormat="1" hidden="1" outlineLevel="2" x14ac:dyDescent="0.35">
      <c r="A71" s="29"/>
      <c r="B71" s="11" t="str">
        <f>CONCATENATE("          ", "6303", " - ", "DATA PHONE LINES")</f>
        <v xml:space="preserve">          6303 - DATA PHONE LINES</v>
      </c>
      <c r="C71" s="11"/>
      <c r="D71" s="7"/>
      <c r="E71" s="2"/>
      <c r="F71" s="6">
        <f t="shared" si="60"/>
        <v>0</v>
      </c>
      <c r="G71" s="2"/>
      <c r="H71" s="7">
        <v>0</v>
      </c>
      <c r="I71" s="2"/>
      <c r="J71" s="6">
        <f t="shared" si="61"/>
        <v>0</v>
      </c>
      <c r="K71" s="2"/>
      <c r="L71" s="7">
        <f t="shared" si="62"/>
        <v>0</v>
      </c>
      <c r="M71" s="2"/>
      <c r="N71" s="6">
        <f t="shared" si="63"/>
        <v>0</v>
      </c>
      <c r="O71" s="11"/>
      <c r="P71" s="7"/>
      <c r="Q71" s="2"/>
      <c r="R71" s="6">
        <f t="shared" si="64"/>
        <v>0</v>
      </c>
      <c r="S71" s="2"/>
      <c r="T71" s="7">
        <v>0</v>
      </c>
      <c r="U71" s="2"/>
      <c r="V71" s="6">
        <f t="shared" si="65"/>
        <v>0</v>
      </c>
      <c r="W71" s="2"/>
      <c r="X71" s="7">
        <f t="shared" si="66"/>
        <v>0</v>
      </c>
      <c r="Y71" s="2"/>
      <c r="Z71" s="6">
        <f t="shared" si="67"/>
        <v>0</v>
      </c>
    </row>
    <row r="72" spans="1:26" s="24" customFormat="1" hidden="1" outlineLevel="2" x14ac:dyDescent="0.35">
      <c r="A72" s="29"/>
      <c r="B72" s="11" t="str">
        <f>CONCATENATE("          ", "6309", " - ", "TELEPHONE")</f>
        <v xml:space="preserve">          6309 - TELEPHONE</v>
      </c>
      <c r="C72" s="11"/>
      <c r="D72" s="7">
        <v>36</v>
      </c>
      <c r="E72" s="2"/>
      <c r="F72" s="6">
        <f t="shared" si="60"/>
        <v>0</v>
      </c>
      <c r="G72" s="2"/>
      <c r="H72" s="7"/>
      <c r="I72" s="2"/>
      <c r="J72" s="6">
        <f t="shared" si="61"/>
        <v>0</v>
      </c>
      <c r="K72" s="2"/>
      <c r="L72" s="7">
        <f t="shared" si="62"/>
        <v>36</v>
      </c>
      <c r="M72" s="2"/>
      <c r="N72" s="6">
        <f t="shared" si="63"/>
        <v>0</v>
      </c>
      <c r="O72" s="11"/>
      <c r="P72" s="7">
        <v>329.03</v>
      </c>
      <c r="Q72" s="2"/>
      <c r="R72" s="6">
        <f t="shared" si="64"/>
        <v>0</v>
      </c>
      <c r="S72" s="2"/>
      <c r="T72" s="7"/>
      <c r="U72" s="2"/>
      <c r="V72" s="6">
        <f t="shared" si="65"/>
        <v>0</v>
      </c>
      <c r="W72" s="2"/>
      <c r="X72" s="7">
        <f t="shared" si="66"/>
        <v>329.03</v>
      </c>
      <c r="Y72" s="2"/>
      <c r="Z72" s="6">
        <f t="shared" si="67"/>
        <v>0</v>
      </c>
    </row>
    <row r="73" spans="1:26" s="28" customFormat="1" outlineLevel="1" collapsed="1" x14ac:dyDescent="0.35">
      <c r="A73" s="27"/>
      <c r="B73" s="14" t="str">
        <f>CONCATENATE("     ","Utilities                                         ")</f>
        <v xml:space="preserve">     Utilities                                         </v>
      </c>
      <c r="C73" s="14"/>
      <c r="D73" s="1">
        <f>SUM(OSRRefD22_13x_0)</f>
        <v>0</v>
      </c>
      <c r="E73" s="1"/>
      <c r="F73" s="5">
        <f t="shared" ref="F73:F74" si="68">IF(D$12=0,0,D73/D$12)</f>
        <v>0</v>
      </c>
      <c r="G73" s="1"/>
      <c r="H73" s="1">
        <f>SUM(OSRRefH22_13x_0)</f>
        <v>0</v>
      </c>
      <c r="I73" s="1"/>
      <c r="J73" s="5">
        <f t="shared" ref="J73:J74" si="69">IF(H$12=0,0,H73/H$12)</f>
        <v>0</v>
      </c>
      <c r="K73" s="1"/>
      <c r="L73" s="1">
        <f t="shared" ref="L73:L74" si="70">+D73-H73</f>
        <v>0</v>
      </c>
      <c r="M73" s="1"/>
      <c r="N73" s="5">
        <f t="shared" ref="N73:N74" si="71">IF(H73=0,0,L73/H73)</f>
        <v>0</v>
      </c>
      <c r="O73" s="14"/>
      <c r="P73" s="1">
        <f>SUM(OSRRefP22_13x_0)</f>
        <v>0</v>
      </c>
      <c r="Q73" s="1"/>
      <c r="R73" s="5">
        <f t="shared" ref="R73:R74" si="72">IF(P$12=0,0,P73/P$12)</f>
        <v>0</v>
      </c>
      <c r="S73" s="1"/>
      <c r="T73" s="1">
        <f>SUM(OSRRefT22_13x_0)</f>
        <v>0</v>
      </c>
      <c r="U73" s="1"/>
      <c r="V73" s="5">
        <f t="shared" ref="V73:V74" si="73">IF(T$12=0,0,T73/T$12)</f>
        <v>0</v>
      </c>
      <c r="W73" s="1"/>
      <c r="X73" s="1">
        <f t="shared" ref="X73:X74" si="74">+P73-T73</f>
        <v>0</v>
      </c>
      <c r="Y73" s="1"/>
      <c r="Z73" s="5">
        <f t="shared" ref="Z73:Z74" si="75">IF(T73=0,0,X73/T73)</f>
        <v>0</v>
      </c>
    </row>
    <row r="74" spans="1:26" s="24" customFormat="1" hidden="1" outlineLevel="2" x14ac:dyDescent="0.35">
      <c r="A74" s="29"/>
      <c r="B74" s="11" t="str">
        <f>CONCATENATE("          ", "6274", " - ", "UTILITIES")</f>
        <v xml:space="preserve">          6274 - UTILITIES</v>
      </c>
      <c r="C74" s="11"/>
      <c r="D74" s="7"/>
      <c r="E74" s="2"/>
      <c r="F74" s="6">
        <f t="shared" si="68"/>
        <v>0</v>
      </c>
      <c r="G74" s="2"/>
      <c r="H74" s="7">
        <v>0</v>
      </c>
      <c r="I74" s="2"/>
      <c r="J74" s="6">
        <f t="shared" si="69"/>
        <v>0</v>
      </c>
      <c r="K74" s="2"/>
      <c r="L74" s="7">
        <f t="shared" si="70"/>
        <v>0</v>
      </c>
      <c r="M74" s="2"/>
      <c r="N74" s="6">
        <f t="shared" si="71"/>
        <v>0</v>
      </c>
      <c r="O74" s="11"/>
      <c r="P74" s="7"/>
      <c r="Q74" s="2"/>
      <c r="R74" s="6">
        <f t="shared" si="72"/>
        <v>0</v>
      </c>
      <c r="S74" s="2"/>
      <c r="T74" s="7">
        <v>0</v>
      </c>
      <c r="U74" s="2"/>
      <c r="V74" s="6">
        <f t="shared" si="73"/>
        <v>0</v>
      </c>
      <c r="W74" s="2"/>
      <c r="X74" s="7">
        <f t="shared" si="74"/>
        <v>0</v>
      </c>
      <c r="Y74" s="2"/>
      <c r="Z74" s="6">
        <f t="shared" si="75"/>
        <v>0</v>
      </c>
    </row>
    <row r="75" spans="1:26" s="55" customFormat="1" x14ac:dyDescent="0.3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35">
      <c r="A76" s="10"/>
      <c r="B76" s="25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3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35">
      <c r="A78" s="10"/>
      <c r="B78" s="26" t="s">
        <v>3</v>
      </c>
      <c r="C78" s="26"/>
      <c r="D78" s="19">
        <f>+D18-D20+D76</f>
        <v>-613.36</v>
      </c>
      <c r="E78" s="13"/>
      <c r="F78" s="21">
        <f>IF(D$12=0,0,D78/D$12)</f>
        <v>0</v>
      </c>
      <c r="G78" s="13"/>
      <c r="H78" s="19">
        <f>+H18-H20+H76</f>
        <v>-848</v>
      </c>
      <c r="I78" s="13"/>
      <c r="J78" s="21">
        <f>IF(H$12=0,0,H78/H$12)</f>
        <v>0</v>
      </c>
      <c r="K78" s="16"/>
      <c r="L78" s="19">
        <f>+D78-H78</f>
        <v>234.64</v>
      </c>
      <c r="M78" s="16"/>
      <c r="N78" s="21">
        <f>IF(H78=0,0,L78/H78)</f>
        <v>-0.27669811320754717</v>
      </c>
      <c r="O78" s="25"/>
      <c r="P78" s="19">
        <f>+P18-P20+P76</f>
        <v>-6662.8899999999994</v>
      </c>
      <c r="Q78" s="13"/>
      <c r="R78" s="21">
        <f>IF(P$12=0,0,P78/P$12)</f>
        <v>0</v>
      </c>
      <c r="S78" s="13"/>
      <c r="T78" s="19">
        <f>+T18-T20+T76</f>
        <v>-5936</v>
      </c>
      <c r="U78" s="13"/>
      <c r="V78" s="21">
        <f>IF(T$12=0,0,T78/T$12)</f>
        <v>0</v>
      </c>
      <c r="W78" s="16"/>
      <c r="X78" s="19">
        <f>+P78-T78</f>
        <v>-726.88999999999942</v>
      </c>
      <c r="Y78" s="16"/>
      <c r="Z78" s="21">
        <f>IF(T78=0,0,X78/T78)</f>
        <v>0.12245451482479774</v>
      </c>
    </row>
    <row r="79" spans="1:26" x14ac:dyDescent="0.3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35">
      <c r="A80" s="52"/>
      <c r="B80" s="10" t="s">
        <v>14</v>
      </c>
      <c r="C80" s="10"/>
      <c r="D80" s="4"/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/>
      <c r="Q80" s="4"/>
      <c r="R80" s="12">
        <f>IF(P$12=0,0,P80/P$12)</f>
        <v>0</v>
      </c>
      <c r="S80" s="4"/>
      <c r="T80" s="4"/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3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4">
      <c r="A82" s="10"/>
      <c r="B82" s="26" t="s">
        <v>4</v>
      </c>
      <c r="C82" s="26"/>
      <c r="D82" s="33">
        <f>+D78-D80</f>
        <v>-613.36</v>
      </c>
      <c r="E82" s="13"/>
      <c r="F82" s="31">
        <f>IF(D$12=0,0,D82/D$12)</f>
        <v>0</v>
      </c>
      <c r="G82" s="13"/>
      <c r="H82" s="33">
        <f>+H78-H80</f>
        <v>-848</v>
      </c>
      <c r="I82" s="13"/>
      <c r="J82" s="31">
        <f>IF(H$12=0,0,H82/H$12)</f>
        <v>0</v>
      </c>
      <c r="K82" s="16"/>
      <c r="L82" s="33">
        <f>D82-H82</f>
        <v>234.64</v>
      </c>
      <c r="M82" s="16"/>
      <c r="N82" s="31">
        <f>IF(H82=0,0,L82/H82)</f>
        <v>-0.27669811320754717</v>
      </c>
      <c r="O82" s="25"/>
      <c r="P82" s="33">
        <f>+P78-P80</f>
        <v>-6662.8899999999994</v>
      </c>
      <c r="Q82" s="13"/>
      <c r="R82" s="31">
        <f>IF(P$12=0,0,P82/P$12)</f>
        <v>0</v>
      </c>
      <c r="S82" s="13"/>
      <c r="T82" s="33">
        <f>+T78-T80</f>
        <v>-5936</v>
      </c>
      <c r="U82" s="13"/>
      <c r="V82" s="31">
        <f>IF(T$12=0,0,T82/T$12)</f>
        <v>0</v>
      </c>
      <c r="W82" s="16"/>
      <c r="X82" s="33">
        <f>P82-T82</f>
        <v>-726.88999999999942</v>
      </c>
      <c r="Y82" s="16"/>
      <c r="Z82" s="31">
        <f>IF(T82=0,0,X82/T82)</f>
        <v>0.12245451482479774</v>
      </c>
    </row>
    <row r="83" spans="1:26" ht="15" thickTop="1" x14ac:dyDescent="0.3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3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" thickBot="1" x14ac:dyDescent="0.4">
      <c r="A85" s="10"/>
      <c r="B85" s="26" t="s">
        <v>5</v>
      </c>
      <c r="C85" s="26"/>
      <c r="D85" s="34">
        <f>SUM(D82:D84)</f>
        <v>-613.36</v>
      </c>
      <c r="E85" s="13"/>
      <c r="F85" s="32">
        <f>IF(D$12=0,0,D85/D$12)</f>
        <v>0</v>
      </c>
      <c r="G85" s="13"/>
      <c r="H85" s="34">
        <f>SUM(H82:H84)</f>
        <v>-848</v>
      </c>
      <c r="I85" s="13"/>
      <c r="J85" s="32">
        <f>IF(H$12=0,0,H85/H$12)</f>
        <v>0</v>
      </c>
      <c r="K85" s="16"/>
      <c r="L85" s="34">
        <f>+D85-H85</f>
        <v>234.64</v>
      </c>
      <c r="M85" s="16"/>
      <c r="N85" s="32">
        <f>IF(H85=0,0,L85/H85)</f>
        <v>-0.27669811320754717</v>
      </c>
      <c r="O85" s="25"/>
      <c r="P85" s="34">
        <f>SUM(P82:P84)</f>
        <v>-6662.8899999999994</v>
      </c>
      <c r="Q85" s="13"/>
      <c r="R85" s="32">
        <f>IF(P$12=0,0,P85/P$12)</f>
        <v>0</v>
      </c>
      <c r="S85" s="13"/>
      <c r="T85" s="34">
        <f>SUM(T82:T84)</f>
        <v>-5936</v>
      </c>
      <c r="U85" s="13"/>
      <c r="V85" s="32">
        <f>IF(T$12=0,0,T85/T$12)</f>
        <v>0</v>
      </c>
      <c r="W85" s="16"/>
      <c r="X85" s="34">
        <f>+P85-T85</f>
        <v>-726.88999999999942</v>
      </c>
      <c r="Y85" s="16"/>
      <c r="Z85" s="32">
        <f>IF(T85=0,0,X85/T85)</f>
        <v>0.12245451482479774</v>
      </c>
    </row>
    <row r="86" spans="1:26" ht="15" thickTop="1" x14ac:dyDescent="0.3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35">
      <c r="A87" s="9"/>
      <c r="B87" s="60">
        <v>44238.49070934028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35">
      <c r="A88" s="9"/>
      <c r="B88" s="59" t="s">
        <v>314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35">
      <c r="A89" s="9"/>
      <c r="B89" s="58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3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","413", " - ", "Beach Walk")</f>
        <v>Department 413 - Beach Walk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 t="shared" ref="P13:P14" si="5"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3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0</v>
      </c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 t="shared" si="5"/>
        <v>0</v>
      </c>
      <c r="Q14" s="2"/>
      <c r="R14" s="22"/>
      <c r="S14" s="2"/>
      <c r="T14" s="2">
        <v>0</v>
      </c>
      <c r="U14" s="2"/>
      <c r="V14" s="22"/>
      <c r="W14" s="2"/>
      <c r="X14" s="2">
        <f t="shared" si="2"/>
        <v>0</v>
      </c>
      <c r="Y14" s="2"/>
      <c r="Z14" s="22">
        <f t="shared" si="3"/>
        <v>0</v>
      </c>
    </row>
    <row r="15" spans="1:26" x14ac:dyDescent="0.3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3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0</v>
      </c>
      <c r="I17" s="2"/>
      <c r="J17" s="22">
        <f t="shared" si="7"/>
        <v>0</v>
      </c>
      <c r="K17" s="2"/>
      <c r="L17" s="2">
        <f t="shared" si="8"/>
        <v>0</v>
      </c>
      <c r="M17" s="2"/>
      <c r="N17" s="22">
        <f t="shared" si="9"/>
        <v>0</v>
      </c>
      <c r="O17" s="11"/>
      <c r="P17" s="2"/>
      <c r="Q17" s="2"/>
      <c r="R17" s="22">
        <f t="shared" si="10"/>
        <v>0</v>
      </c>
      <c r="S17" s="2"/>
      <c r="T17" s="2">
        <v>0</v>
      </c>
      <c r="U17" s="2"/>
      <c r="V17" s="22">
        <f t="shared" si="11"/>
        <v>0</v>
      </c>
      <c r="W17" s="2"/>
      <c r="X17" s="2">
        <f t="shared" si="12"/>
        <v>0</v>
      </c>
      <c r="Y17" s="2"/>
      <c r="Z17" s="22">
        <f t="shared" si="13"/>
        <v>0</v>
      </c>
    </row>
    <row r="18" spans="1:26" x14ac:dyDescent="0.3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35">
      <c r="A19" s="10"/>
      <c r="B19" s="26" t="s">
        <v>6</v>
      </c>
      <c r="C19" s="26"/>
      <c r="D19" s="19">
        <f>D12-D16</f>
        <v>0</v>
      </c>
      <c r="E19" s="13"/>
      <c r="F19" s="21">
        <f>IF(D$12=0,0,D19/D$12)</f>
        <v>0</v>
      </c>
      <c r="G19" s="13"/>
      <c r="H19" s="19">
        <f>H12-H16</f>
        <v>0</v>
      </c>
      <c r="I19" s="13"/>
      <c r="J19" s="21">
        <f>IF(H$12=0,0,H19/H$12)</f>
        <v>0</v>
      </c>
      <c r="K19" s="16"/>
      <c r="L19" s="19">
        <f>+D19-H19</f>
        <v>0</v>
      </c>
      <c r="M19" s="16"/>
      <c r="N19" s="21">
        <f>IF(H19=0,0,L19/H19)</f>
        <v>0</v>
      </c>
      <c r="O19" s="25"/>
      <c r="P19" s="19">
        <f>P12-P16</f>
        <v>0</v>
      </c>
      <c r="Q19" s="13"/>
      <c r="R19" s="21">
        <f>IF(P$12=0,0,P19/P$12)</f>
        <v>0</v>
      </c>
      <c r="S19" s="13"/>
      <c r="T19" s="19">
        <f>T12-T16</f>
        <v>0</v>
      </c>
      <c r="U19" s="13"/>
      <c r="V19" s="21">
        <f>IF(T$12=0,0,T19/T$12)</f>
        <v>0</v>
      </c>
      <c r="W19" s="16"/>
      <c r="X19" s="19">
        <f>+P19-T19</f>
        <v>0</v>
      </c>
      <c r="Y19" s="16"/>
      <c r="Z19" s="21">
        <f>IF(T19=0,0,X19/T19)</f>
        <v>0</v>
      </c>
    </row>
    <row r="20" spans="1:26" x14ac:dyDescent="0.3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35">
      <c r="A21" s="10"/>
      <c r="B21" s="25" t="s">
        <v>9</v>
      </c>
      <c r="C21" s="10"/>
      <c r="D21" s="20">
        <f>SUM(OSRRefD22x_0)</f>
        <v>58.03</v>
      </c>
      <c r="E21" s="20"/>
      <c r="F21" s="30">
        <f t="shared" ref="F21:F31" si="14">IF(D$12=0,0,D21/D$12)</f>
        <v>0</v>
      </c>
      <c r="G21" s="20"/>
      <c r="H21" s="20">
        <f>SUM(OSRRefH22x_0)</f>
        <v>630</v>
      </c>
      <c r="I21" s="20"/>
      <c r="J21" s="30">
        <f t="shared" ref="J21:J31" si="15">IF(H$12=0,0,H21/H$12)</f>
        <v>0</v>
      </c>
      <c r="K21" s="4"/>
      <c r="L21" s="20">
        <f t="shared" ref="L21:L31" si="16">+D21-H21</f>
        <v>-571.97</v>
      </c>
      <c r="M21" s="4"/>
      <c r="N21" s="30">
        <f t="shared" ref="N21:N31" si="17">IF(H21=0,0,L21/H21)</f>
        <v>-0.90788888888888897</v>
      </c>
      <c r="O21" s="10"/>
      <c r="P21" s="20">
        <f>SUM(OSRRefP22x_0)</f>
        <v>4905.54</v>
      </c>
      <c r="Q21" s="20"/>
      <c r="R21" s="30">
        <f t="shared" ref="R21:R31" si="18">IF(P$12=0,0,P21/P$12)</f>
        <v>0</v>
      </c>
      <c r="S21" s="20"/>
      <c r="T21" s="20">
        <f>SUM(OSRRefT22x_0)</f>
        <v>4410</v>
      </c>
      <c r="U21" s="20"/>
      <c r="V21" s="30">
        <f t="shared" ref="V21:V31" si="19">IF(T$12=0,0,T21/T$12)</f>
        <v>0</v>
      </c>
      <c r="W21" s="4"/>
      <c r="X21" s="20">
        <f t="shared" ref="X21:X31" si="20">+P21-T21</f>
        <v>495.53999999999996</v>
      </c>
      <c r="Y21" s="4"/>
      <c r="Z21" s="30">
        <f t="shared" ref="Z21:Z31" si="21">IF(T21=0,0,X21/T21)</f>
        <v>0.11236734693877551</v>
      </c>
    </row>
    <row r="22" spans="1:26" s="28" customFormat="1" outlineLevel="1" collapsed="1" x14ac:dyDescent="0.3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4"/>
      <c r="P22" s="1">
        <f>SUM(OSRRefP22_0x_0)</f>
        <v>1493.43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1493.43</v>
      </c>
      <c r="Y22" s="1"/>
      <c r="Z22" s="5">
        <f t="shared" si="21"/>
        <v>0</v>
      </c>
    </row>
    <row r="23" spans="1:26" s="24" customFormat="1" hidden="1" outlineLevel="2" x14ac:dyDescent="0.35">
      <c r="A23" s="29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4"/>
        <v>0</v>
      </c>
      <c r="G23" s="2"/>
      <c r="H23" s="7">
        <v>0</v>
      </c>
      <c r="I23" s="2"/>
      <c r="J23" s="6">
        <f t="shared" si="15"/>
        <v>0</v>
      </c>
      <c r="K23" s="2"/>
      <c r="L23" s="7">
        <f t="shared" si="16"/>
        <v>0</v>
      </c>
      <c r="M23" s="2"/>
      <c r="N23" s="6">
        <f t="shared" si="17"/>
        <v>0</v>
      </c>
      <c r="O23" s="11"/>
      <c r="P23" s="7">
        <v>191.51</v>
      </c>
      <c r="Q23" s="2"/>
      <c r="R23" s="6">
        <f t="shared" si="18"/>
        <v>0</v>
      </c>
      <c r="S23" s="2"/>
      <c r="T23" s="7">
        <v>0</v>
      </c>
      <c r="U23" s="2"/>
      <c r="V23" s="6">
        <f t="shared" si="19"/>
        <v>0</v>
      </c>
      <c r="W23" s="2"/>
      <c r="X23" s="7">
        <f t="shared" si="20"/>
        <v>191.51</v>
      </c>
      <c r="Y23" s="2"/>
      <c r="Z23" s="6">
        <f t="shared" si="21"/>
        <v>0</v>
      </c>
    </row>
    <row r="24" spans="1:26" s="24" customFormat="1" hidden="1" outlineLevel="2" x14ac:dyDescent="0.35">
      <c r="A24" s="29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4"/>
        <v>0</v>
      </c>
      <c r="G24" s="2"/>
      <c r="H24" s="7">
        <v>0</v>
      </c>
      <c r="I24" s="2"/>
      <c r="J24" s="6">
        <f t="shared" si="15"/>
        <v>0</v>
      </c>
      <c r="K24" s="2"/>
      <c r="L24" s="7">
        <f t="shared" si="16"/>
        <v>0</v>
      </c>
      <c r="M24" s="2"/>
      <c r="N24" s="6">
        <f t="shared" si="17"/>
        <v>0</v>
      </c>
      <c r="O24" s="11"/>
      <c r="P24" s="7"/>
      <c r="Q24" s="2"/>
      <c r="R24" s="6">
        <f t="shared" si="18"/>
        <v>0</v>
      </c>
      <c r="S24" s="2"/>
      <c r="T24" s="7">
        <v>0</v>
      </c>
      <c r="U24" s="2"/>
      <c r="V24" s="6">
        <f t="shared" si="19"/>
        <v>0</v>
      </c>
      <c r="W24" s="2"/>
      <c r="X24" s="7">
        <f t="shared" si="20"/>
        <v>0</v>
      </c>
      <c r="Y24" s="2"/>
      <c r="Z24" s="6">
        <f t="shared" si="21"/>
        <v>0</v>
      </c>
    </row>
    <row r="25" spans="1:26" s="24" customFormat="1" hidden="1" outlineLevel="2" x14ac:dyDescent="0.35">
      <c r="A25" s="29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4"/>
        <v>0</v>
      </c>
      <c r="G25" s="2"/>
      <c r="H25" s="7">
        <v>0</v>
      </c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>
        <v>718.51</v>
      </c>
      <c r="Q25" s="2"/>
      <c r="R25" s="6">
        <f t="shared" si="18"/>
        <v>0</v>
      </c>
      <c r="S25" s="2"/>
      <c r="T25" s="7">
        <v>0</v>
      </c>
      <c r="U25" s="2"/>
      <c r="V25" s="6">
        <f t="shared" si="19"/>
        <v>0</v>
      </c>
      <c r="W25" s="2"/>
      <c r="X25" s="7">
        <f t="shared" si="20"/>
        <v>718.51</v>
      </c>
      <c r="Y25" s="2"/>
      <c r="Z25" s="6">
        <f t="shared" si="21"/>
        <v>0</v>
      </c>
    </row>
    <row r="26" spans="1:26" s="24" customFormat="1" hidden="1" outlineLevel="2" x14ac:dyDescent="0.3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4"/>
        <v>0</v>
      </c>
      <c r="G26" s="2"/>
      <c r="H26" s="7">
        <v>0</v>
      </c>
      <c r="I26" s="2"/>
      <c r="J26" s="6">
        <f t="shared" si="15"/>
        <v>0</v>
      </c>
      <c r="K26" s="2"/>
      <c r="L26" s="7">
        <f t="shared" si="16"/>
        <v>0</v>
      </c>
      <c r="M26" s="2"/>
      <c r="N26" s="6">
        <f t="shared" si="17"/>
        <v>0</v>
      </c>
      <c r="O26" s="11"/>
      <c r="P26" s="7"/>
      <c r="Q26" s="2"/>
      <c r="R26" s="6">
        <f t="shared" si="18"/>
        <v>0</v>
      </c>
      <c r="S26" s="2"/>
      <c r="T26" s="7">
        <v>0</v>
      </c>
      <c r="U26" s="2"/>
      <c r="V26" s="6">
        <f t="shared" si="19"/>
        <v>0</v>
      </c>
      <c r="W26" s="2"/>
      <c r="X26" s="7">
        <f t="shared" si="20"/>
        <v>0</v>
      </c>
      <c r="Y26" s="2"/>
      <c r="Z26" s="6">
        <f t="shared" si="21"/>
        <v>0</v>
      </c>
    </row>
    <row r="27" spans="1:26" s="24" customFormat="1" hidden="1" outlineLevel="2" x14ac:dyDescent="0.35">
      <c r="A27" s="29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4"/>
        <v>0</v>
      </c>
      <c r="G27" s="2"/>
      <c r="H27" s="7">
        <v>0</v>
      </c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>
        <v>377.03</v>
      </c>
      <c r="Q27" s="2"/>
      <c r="R27" s="6">
        <f t="shared" si="18"/>
        <v>0</v>
      </c>
      <c r="S27" s="2"/>
      <c r="T27" s="7">
        <v>0</v>
      </c>
      <c r="U27" s="2"/>
      <c r="V27" s="6">
        <f t="shared" si="19"/>
        <v>0</v>
      </c>
      <c r="W27" s="2"/>
      <c r="X27" s="7">
        <f t="shared" si="20"/>
        <v>377.03</v>
      </c>
      <c r="Y27" s="2"/>
      <c r="Z27" s="6">
        <f t="shared" si="21"/>
        <v>0</v>
      </c>
    </row>
    <row r="28" spans="1:26" s="24" customFormat="1" hidden="1" outlineLevel="2" x14ac:dyDescent="0.35">
      <c r="A28" s="29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35">
      <c r="A29" s="29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>
        <v>93.89</v>
      </c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93.89</v>
      </c>
      <c r="Y29" s="2"/>
      <c r="Z29" s="6">
        <f t="shared" si="21"/>
        <v>0</v>
      </c>
    </row>
    <row r="30" spans="1:26" s="24" customFormat="1" hidden="1" outlineLevel="2" x14ac:dyDescent="0.35">
      <c r="A30" s="29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>
        <v>112.49</v>
      </c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112.49</v>
      </c>
      <c r="Y30" s="2"/>
      <c r="Z30" s="6">
        <f t="shared" si="21"/>
        <v>0</v>
      </c>
    </row>
    <row r="31" spans="1:26" s="24" customFormat="1" hidden="1" outlineLevel="2" x14ac:dyDescent="0.35">
      <c r="A31" s="29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0</v>
      </c>
      <c r="I31" s="2"/>
      <c r="J31" s="6">
        <f t="shared" si="15"/>
        <v>0</v>
      </c>
      <c r="K31" s="2"/>
      <c r="L31" s="7">
        <f t="shared" si="16"/>
        <v>0</v>
      </c>
      <c r="M31" s="2"/>
      <c r="N31" s="6">
        <f t="shared" si="17"/>
        <v>0</v>
      </c>
      <c r="O31" s="11"/>
      <c r="P31" s="7"/>
      <c r="Q31" s="2"/>
      <c r="R31" s="6">
        <f t="shared" si="18"/>
        <v>0</v>
      </c>
      <c r="S31" s="2"/>
      <c r="T31" s="7">
        <v>0</v>
      </c>
      <c r="U31" s="2"/>
      <c r="V31" s="6">
        <f t="shared" si="19"/>
        <v>0</v>
      </c>
      <c r="W31" s="2"/>
      <c r="X31" s="7">
        <f t="shared" si="20"/>
        <v>0</v>
      </c>
      <c r="Y31" s="2"/>
      <c r="Z31" s="6">
        <f t="shared" si="21"/>
        <v>0</v>
      </c>
    </row>
    <row r="32" spans="1:26" s="28" customFormat="1" outlineLevel="1" collapsed="1" x14ac:dyDescent="0.3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42" si="22">IF(D$12=0,0,D32/D$12)</f>
        <v>0</v>
      </c>
      <c r="G32" s="1"/>
      <c r="H32" s="1">
        <f>SUM(OSRRefH22_1x_0)</f>
        <v>0</v>
      </c>
      <c r="I32" s="1"/>
      <c r="J32" s="5">
        <f t="shared" ref="J32:J42" si="23">IF(H$12=0,0,H32/H$12)</f>
        <v>0</v>
      </c>
      <c r="K32" s="1"/>
      <c r="L32" s="1">
        <f t="shared" ref="L32:L42" si="24">+D32-H32</f>
        <v>0</v>
      </c>
      <c r="M32" s="1"/>
      <c r="N32" s="5">
        <f t="shared" ref="N32:N42" si="25">IF(H32=0,0,L32/H32)</f>
        <v>0</v>
      </c>
      <c r="O32" s="14"/>
      <c r="P32" s="1">
        <f>SUM(OSRRefP22_1x_0)</f>
        <v>2259.48</v>
      </c>
      <c r="Q32" s="1"/>
      <c r="R32" s="5">
        <f t="shared" ref="R32:R42" si="26">IF(P$12=0,0,P32/P$12)</f>
        <v>0</v>
      </c>
      <c r="S32" s="1"/>
      <c r="T32" s="1">
        <f>SUM(OSRRefT22_1x_0)</f>
        <v>0</v>
      </c>
      <c r="U32" s="1"/>
      <c r="V32" s="5">
        <f t="shared" ref="V32:V42" si="27">IF(T$12=0,0,T32/T$12)</f>
        <v>0</v>
      </c>
      <c r="W32" s="1"/>
      <c r="X32" s="1">
        <f t="shared" ref="X32:X42" si="28">+P32-T32</f>
        <v>2259.48</v>
      </c>
      <c r="Y32" s="1"/>
      <c r="Z32" s="5">
        <f t="shared" ref="Z32:Z42" si="29">IF(T32=0,0,X32/T32)</f>
        <v>0</v>
      </c>
    </row>
    <row r="33" spans="1:26" s="24" customFormat="1" hidden="1" outlineLevel="2" x14ac:dyDescent="0.35">
      <c r="A33" s="29"/>
      <c r="B33" s="11" t="str">
        <f>CONCATENATE("          ", "6001", " - ", "ADMINISTRATIVE SALARIES")</f>
        <v xml:space="preserve">          6001 - ADMINISTRATIVE SALARIES</v>
      </c>
      <c r="C33" s="11"/>
      <c r="D33" s="7"/>
      <c r="E33" s="2"/>
      <c r="F33" s="6">
        <f t="shared" si="22"/>
        <v>0</v>
      </c>
      <c r="G33" s="2"/>
      <c r="H33" s="7">
        <v>0</v>
      </c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/>
      <c r="Q33" s="2"/>
      <c r="R33" s="6">
        <f t="shared" si="26"/>
        <v>0</v>
      </c>
      <c r="S33" s="2"/>
      <c r="T33" s="7">
        <v>0</v>
      </c>
      <c r="U33" s="2"/>
      <c r="V33" s="6">
        <f t="shared" si="27"/>
        <v>0</v>
      </c>
      <c r="W33" s="2"/>
      <c r="X33" s="7">
        <f t="shared" si="28"/>
        <v>0</v>
      </c>
      <c r="Y33" s="2"/>
      <c r="Z33" s="6">
        <f t="shared" si="29"/>
        <v>0</v>
      </c>
    </row>
    <row r="34" spans="1:26" s="24" customFormat="1" hidden="1" outlineLevel="2" x14ac:dyDescent="0.35">
      <c r="A34" s="29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>
        <v>2259.48</v>
      </c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2259.48</v>
      </c>
      <c r="Y34" s="2"/>
      <c r="Z34" s="6">
        <f t="shared" si="29"/>
        <v>0</v>
      </c>
    </row>
    <row r="35" spans="1:26" s="24" customFormat="1" hidden="1" outlineLevel="2" x14ac:dyDescent="0.35">
      <c r="A35" s="29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35">
      <c r="A36" s="29"/>
      <c r="B36" s="11" t="str">
        <f>CONCATENATE("          ", "6004", " - ", "STAFF HOURLY")</f>
        <v xml:space="preserve">          6004 - STAFF HOURLY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35">
      <c r="A37" s="29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35">
      <c r="A38" s="29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0</v>
      </c>
      <c r="Y38" s="2"/>
      <c r="Z38" s="6">
        <f t="shared" si="29"/>
        <v>0</v>
      </c>
    </row>
    <row r="39" spans="1:26" s="24" customFormat="1" hidden="1" outlineLevel="2" x14ac:dyDescent="0.35">
      <c r="A39" s="29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35">
      <c r="A40" s="29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0</v>
      </c>
      <c r="U40" s="2"/>
      <c r="V40" s="6">
        <f t="shared" si="27"/>
        <v>0</v>
      </c>
      <c r="W40" s="2"/>
      <c r="X40" s="7">
        <f t="shared" si="28"/>
        <v>0</v>
      </c>
      <c r="Y40" s="2"/>
      <c r="Z40" s="6">
        <f t="shared" si="29"/>
        <v>0</v>
      </c>
    </row>
    <row r="41" spans="1:26" s="24" customFormat="1" hidden="1" outlineLevel="2" x14ac:dyDescent="0.35">
      <c r="A41" s="29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4" customFormat="1" hidden="1" outlineLevel="2" x14ac:dyDescent="0.35">
      <c r="A42" s="29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8" customFormat="1" outlineLevel="1" collapsed="1" x14ac:dyDescent="0.35">
      <c r="A43" s="27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0</v>
      </c>
      <c r="E43" s="1"/>
      <c r="F43" s="5">
        <f t="shared" ref="F43:F59" si="30">IF(D$12=0,0,D43/D$12)</f>
        <v>0</v>
      </c>
      <c r="G43" s="1"/>
      <c r="H43" s="1">
        <f>SUM(OSRRefH22_2x_0)</f>
        <v>0</v>
      </c>
      <c r="I43" s="1"/>
      <c r="J43" s="5">
        <f t="shared" ref="J43:J59" si="31">IF(H$12=0,0,H43/H$12)</f>
        <v>0</v>
      </c>
      <c r="K43" s="1"/>
      <c r="L43" s="1">
        <f t="shared" ref="L43:L59" si="32">+D43-H43</f>
        <v>0</v>
      </c>
      <c r="M43" s="1"/>
      <c r="N43" s="5">
        <f t="shared" ref="N43:N59" si="33">IF(H43=0,0,L43/H43)</f>
        <v>0</v>
      </c>
      <c r="O43" s="14"/>
      <c r="P43" s="1">
        <f>SUM(OSRRefP22_2x_0)</f>
        <v>0</v>
      </c>
      <c r="Q43" s="1"/>
      <c r="R43" s="5">
        <f t="shared" ref="R43:R59" si="34">IF(P$12=0,0,P43/P$12)</f>
        <v>0</v>
      </c>
      <c r="S43" s="1"/>
      <c r="T43" s="1">
        <f>SUM(OSRRefT22_2x_0)</f>
        <v>0</v>
      </c>
      <c r="U43" s="1"/>
      <c r="V43" s="5">
        <f t="shared" ref="V43:V59" si="35">IF(T$12=0,0,T43/T$12)</f>
        <v>0</v>
      </c>
      <c r="W43" s="1"/>
      <c r="X43" s="1">
        <f t="shared" ref="X43:X59" si="36">+P43-T43</f>
        <v>0</v>
      </c>
      <c r="Y43" s="1"/>
      <c r="Z43" s="5">
        <f t="shared" ref="Z43:Z59" si="37">IF(T43=0,0,X43/T43)</f>
        <v>0</v>
      </c>
    </row>
    <row r="44" spans="1:26" s="24" customFormat="1" hidden="1" outlineLevel="2" x14ac:dyDescent="0.35">
      <c r="A44" s="29"/>
      <c r="B44" s="11" t="str">
        <f>CONCATENATE("          ", "6362", " - ", "ADVERTISING EXPENSE")</f>
        <v xml:space="preserve">          6362 - ADVERTISING EXPENSE</v>
      </c>
      <c r="C44" s="11"/>
      <c r="D44" s="7"/>
      <c r="E44" s="2"/>
      <c r="F44" s="6">
        <f t="shared" si="30"/>
        <v>0</v>
      </c>
      <c r="G44" s="2"/>
      <c r="H44" s="7">
        <v>0</v>
      </c>
      <c r="I44" s="2"/>
      <c r="J44" s="6">
        <f t="shared" si="31"/>
        <v>0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/>
      <c r="Q44" s="2"/>
      <c r="R44" s="6">
        <f t="shared" si="34"/>
        <v>0</v>
      </c>
      <c r="S44" s="2"/>
      <c r="T44" s="7">
        <v>0</v>
      </c>
      <c r="U44" s="2"/>
      <c r="V44" s="6">
        <f t="shared" si="35"/>
        <v>0</v>
      </c>
      <c r="W44" s="2"/>
      <c r="X44" s="7">
        <f t="shared" si="36"/>
        <v>0</v>
      </c>
      <c r="Y44" s="2"/>
      <c r="Z44" s="6">
        <f t="shared" si="37"/>
        <v>0</v>
      </c>
    </row>
    <row r="45" spans="1:26" s="28" customFormat="1" outlineLevel="1" collapsed="1" x14ac:dyDescent="0.35">
      <c r="A45" s="27"/>
      <c r="B45" s="14" t="str">
        <f>CONCATENATE("     ","Bad Debts/Over/Short                              ")</f>
        <v xml:space="preserve">     Bad Debts/Over/Short                              </v>
      </c>
      <c r="C45" s="14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4"/>
      <c r="P45" s="1">
        <f>SUM(OSRRefP22_3x_0)</f>
        <v>0</v>
      </c>
      <c r="Q45" s="1"/>
      <c r="R45" s="5">
        <f t="shared" si="34"/>
        <v>0</v>
      </c>
      <c r="S45" s="1"/>
      <c r="T45" s="1">
        <f>SUM(OSRRefT22_3x_0)</f>
        <v>0</v>
      </c>
      <c r="U45" s="1"/>
      <c r="V45" s="5">
        <f t="shared" si="35"/>
        <v>0</v>
      </c>
      <c r="W45" s="1"/>
      <c r="X45" s="1">
        <f t="shared" si="36"/>
        <v>0</v>
      </c>
      <c r="Y45" s="1"/>
      <c r="Z45" s="5">
        <f t="shared" si="37"/>
        <v>0</v>
      </c>
    </row>
    <row r="46" spans="1:26" s="24" customFormat="1" hidden="1" outlineLevel="2" x14ac:dyDescent="0.35">
      <c r="A46" s="29"/>
      <c r="B46" s="11" t="str">
        <f>CONCATENATE("          ", "6272", " - ", "CASH (OVER/SHORT)")</f>
        <v xml:space="preserve">          6272 - CASH (OVER/SHORT)</v>
      </c>
      <c r="C46" s="11"/>
      <c r="D46" s="7"/>
      <c r="E46" s="2"/>
      <c r="F46" s="6">
        <f t="shared" si="30"/>
        <v>0</v>
      </c>
      <c r="G46" s="2"/>
      <c r="H46" s="7">
        <v>0</v>
      </c>
      <c r="I46" s="2"/>
      <c r="J46" s="6">
        <f t="shared" si="31"/>
        <v>0</v>
      </c>
      <c r="K46" s="2"/>
      <c r="L46" s="7">
        <f t="shared" si="32"/>
        <v>0</v>
      </c>
      <c r="M46" s="2"/>
      <c r="N46" s="6">
        <f t="shared" si="33"/>
        <v>0</v>
      </c>
      <c r="O46" s="11"/>
      <c r="P46" s="7"/>
      <c r="Q46" s="2"/>
      <c r="R46" s="6">
        <f t="shared" si="34"/>
        <v>0</v>
      </c>
      <c r="S46" s="2"/>
      <c r="T46" s="7">
        <v>0</v>
      </c>
      <c r="U46" s="2"/>
      <c r="V46" s="6">
        <f t="shared" si="35"/>
        <v>0</v>
      </c>
      <c r="W46" s="2"/>
      <c r="X46" s="7">
        <f t="shared" si="36"/>
        <v>0</v>
      </c>
      <c r="Y46" s="2"/>
      <c r="Z46" s="6">
        <f t="shared" si="37"/>
        <v>0</v>
      </c>
    </row>
    <row r="47" spans="1:26" s="28" customFormat="1" outlineLevel="1" collapsed="1" x14ac:dyDescent="0.35">
      <c r="A47" s="27"/>
      <c r="B47" s="14" t="str">
        <f>CONCATENATE("     ","Bank/card Fees                                    ")</f>
        <v xml:space="preserve">     Bank/card Fees                                    </v>
      </c>
      <c r="C47" s="14"/>
      <c r="D47" s="1">
        <f>SUM(OSRRefD22_4x_0)</f>
        <v>0</v>
      </c>
      <c r="E47" s="1"/>
      <c r="F47" s="5">
        <f t="shared" si="30"/>
        <v>0</v>
      </c>
      <c r="G47" s="1"/>
      <c r="H47" s="1">
        <f>SUM(OSRRefH22_4x_0)</f>
        <v>0</v>
      </c>
      <c r="I47" s="1"/>
      <c r="J47" s="5">
        <f t="shared" si="31"/>
        <v>0</v>
      </c>
      <c r="K47" s="1"/>
      <c r="L47" s="1">
        <f t="shared" si="32"/>
        <v>0</v>
      </c>
      <c r="M47" s="1"/>
      <c r="N47" s="5">
        <f t="shared" si="33"/>
        <v>0</v>
      </c>
      <c r="O47" s="14"/>
      <c r="P47" s="1">
        <f>SUM(OSRRefP22_4x_0)</f>
        <v>0</v>
      </c>
      <c r="Q47" s="1"/>
      <c r="R47" s="5">
        <f t="shared" si="34"/>
        <v>0</v>
      </c>
      <c r="S47" s="1"/>
      <c r="T47" s="1">
        <f>SUM(OSRRefT22_4x_0)</f>
        <v>0</v>
      </c>
      <c r="U47" s="1"/>
      <c r="V47" s="5">
        <f t="shared" si="35"/>
        <v>0</v>
      </c>
      <c r="W47" s="1"/>
      <c r="X47" s="1">
        <f t="shared" si="36"/>
        <v>0</v>
      </c>
      <c r="Y47" s="1"/>
      <c r="Z47" s="5">
        <f t="shared" si="37"/>
        <v>0</v>
      </c>
    </row>
    <row r="48" spans="1:26" s="24" customFormat="1" hidden="1" outlineLevel="2" x14ac:dyDescent="0.35">
      <c r="A48" s="29"/>
      <c r="B48" s="11" t="str">
        <f>CONCATENATE("          ", "6381", " - ", "BANK/CREDIT CARD FEES")</f>
        <v xml:space="preserve">          6381 - BANK/CREDIT CARD FEES</v>
      </c>
      <c r="C48" s="11"/>
      <c r="D48" s="7"/>
      <c r="E48" s="2"/>
      <c r="F48" s="6">
        <f t="shared" si="30"/>
        <v>0</v>
      </c>
      <c r="G48" s="2"/>
      <c r="H48" s="7">
        <v>0</v>
      </c>
      <c r="I48" s="2"/>
      <c r="J48" s="6">
        <f t="shared" si="31"/>
        <v>0</v>
      </c>
      <c r="K48" s="2"/>
      <c r="L48" s="7">
        <f t="shared" si="32"/>
        <v>0</v>
      </c>
      <c r="M48" s="2"/>
      <c r="N48" s="6">
        <f t="shared" si="33"/>
        <v>0</v>
      </c>
      <c r="O48" s="11"/>
      <c r="P48" s="7"/>
      <c r="Q48" s="2"/>
      <c r="R48" s="6">
        <f t="shared" si="34"/>
        <v>0</v>
      </c>
      <c r="S48" s="2"/>
      <c r="T48" s="7">
        <v>0</v>
      </c>
      <c r="U48" s="2"/>
      <c r="V48" s="6">
        <f t="shared" si="35"/>
        <v>0</v>
      </c>
      <c r="W48" s="2"/>
      <c r="X48" s="7">
        <f t="shared" si="36"/>
        <v>0</v>
      </c>
      <c r="Y48" s="2"/>
      <c r="Z48" s="6">
        <f t="shared" si="37"/>
        <v>0</v>
      </c>
    </row>
    <row r="49" spans="1:26" s="28" customFormat="1" outlineLevel="1" collapsed="1" x14ac:dyDescent="0.35">
      <c r="A49" s="27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58.03</v>
      </c>
      <c r="E49" s="1"/>
      <c r="F49" s="5">
        <f t="shared" si="30"/>
        <v>0</v>
      </c>
      <c r="G49" s="1"/>
      <c r="H49" s="1">
        <f>SUM(OSRRefH22_5x_0)</f>
        <v>630</v>
      </c>
      <c r="I49" s="1"/>
      <c r="J49" s="5">
        <f t="shared" si="31"/>
        <v>0</v>
      </c>
      <c r="K49" s="1"/>
      <c r="L49" s="1">
        <f t="shared" si="32"/>
        <v>-571.97</v>
      </c>
      <c r="M49" s="1"/>
      <c r="N49" s="5">
        <f t="shared" si="33"/>
        <v>-0.90788888888888897</v>
      </c>
      <c r="O49" s="14"/>
      <c r="P49" s="1">
        <f>SUM(OSRRefP22_5x_0)</f>
        <v>406.21</v>
      </c>
      <c r="Q49" s="1"/>
      <c r="R49" s="5">
        <f t="shared" si="34"/>
        <v>0</v>
      </c>
      <c r="S49" s="1"/>
      <c r="T49" s="1">
        <f>SUM(OSRRefT22_5x_0)</f>
        <v>4410</v>
      </c>
      <c r="U49" s="1"/>
      <c r="V49" s="5">
        <f t="shared" si="35"/>
        <v>0</v>
      </c>
      <c r="W49" s="1"/>
      <c r="X49" s="1">
        <f t="shared" si="36"/>
        <v>-4003.79</v>
      </c>
      <c r="Y49" s="1"/>
      <c r="Z49" s="5">
        <f t="shared" si="37"/>
        <v>-0.90788888888888886</v>
      </c>
    </row>
    <row r="50" spans="1:26" s="24" customFormat="1" hidden="1" outlineLevel="2" x14ac:dyDescent="0.35">
      <c r="A50" s="29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58.03</v>
      </c>
      <c r="E50" s="2"/>
      <c r="F50" s="6">
        <f t="shared" si="30"/>
        <v>0</v>
      </c>
      <c r="G50" s="2"/>
      <c r="H50" s="7">
        <v>630</v>
      </c>
      <c r="I50" s="2"/>
      <c r="J50" s="6">
        <f t="shared" si="31"/>
        <v>0</v>
      </c>
      <c r="K50" s="2"/>
      <c r="L50" s="7">
        <f t="shared" si="32"/>
        <v>-571.97</v>
      </c>
      <c r="M50" s="2"/>
      <c r="N50" s="6">
        <f t="shared" si="33"/>
        <v>-0.90788888888888897</v>
      </c>
      <c r="O50" s="11"/>
      <c r="P50" s="7">
        <v>406.21</v>
      </c>
      <c r="Q50" s="2"/>
      <c r="R50" s="6">
        <f t="shared" si="34"/>
        <v>0</v>
      </c>
      <c r="S50" s="2"/>
      <c r="T50" s="7">
        <v>4410</v>
      </c>
      <c r="U50" s="2"/>
      <c r="V50" s="6">
        <f t="shared" si="35"/>
        <v>0</v>
      </c>
      <c r="W50" s="2"/>
      <c r="X50" s="7">
        <f t="shared" si="36"/>
        <v>-4003.79</v>
      </c>
      <c r="Y50" s="2"/>
      <c r="Z50" s="6">
        <f t="shared" si="37"/>
        <v>-0.90788888888888886</v>
      </c>
    </row>
    <row r="51" spans="1:26" s="28" customFormat="1" outlineLevel="1" collapsed="1" x14ac:dyDescent="0.35">
      <c r="A51" s="27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SUM(OSRRefD22_6x_0)</f>
        <v>0</v>
      </c>
      <c r="E51" s="1"/>
      <c r="F51" s="5">
        <f t="shared" si="30"/>
        <v>0</v>
      </c>
      <c r="G51" s="1"/>
      <c r="H51" s="1">
        <f>SUM(OSRRefH22_6x_0)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4"/>
      <c r="P51" s="1">
        <f>SUM(OSRRefP22_6x_0)</f>
        <v>0</v>
      </c>
      <c r="Q51" s="1"/>
      <c r="R51" s="5">
        <f t="shared" si="34"/>
        <v>0</v>
      </c>
      <c r="S51" s="1"/>
      <c r="T51" s="1">
        <f>SUM(OSRRefT22_6x_0)</f>
        <v>0</v>
      </c>
      <c r="U51" s="1"/>
      <c r="V51" s="5">
        <f t="shared" si="35"/>
        <v>0</v>
      </c>
      <c r="W51" s="1"/>
      <c r="X51" s="1">
        <f t="shared" si="36"/>
        <v>0</v>
      </c>
      <c r="Y51" s="1"/>
      <c r="Z51" s="5">
        <f t="shared" si="37"/>
        <v>0</v>
      </c>
    </row>
    <row r="52" spans="1:26" s="24" customFormat="1" hidden="1" outlineLevel="2" x14ac:dyDescent="0.35">
      <c r="A52" s="29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30"/>
        <v>0</v>
      </c>
      <c r="G52" s="2"/>
      <c r="H52" s="7"/>
      <c r="I52" s="2"/>
      <c r="J52" s="6">
        <f t="shared" si="31"/>
        <v>0</v>
      </c>
      <c r="K52" s="2"/>
      <c r="L52" s="7">
        <f t="shared" si="32"/>
        <v>0</v>
      </c>
      <c r="M52" s="2"/>
      <c r="N52" s="6">
        <f t="shared" si="33"/>
        <v>0</v>
      </c>
      <c r="O52" s="11"/>
      <c r="P52" s="7"/>
      <c r="Q52" s="2"/>
      <c r="R52" s="6">
        <f t="shared" si="34"/>
        <v>0</v>
      </c>
      <c r="S52" s="2"/>
      <c r="T52" s="7">
        <v>0</v>
      </c>
      <c r="U52" s="2"/>
      <c r="V52" s="6">
        <f t="shared" si="35"/>
        <v>0</v>
      </c>
      <c r="W52" s="2"/>
      <c r="X52" s="7">
        <f t="shared" si="36"/>
        <v>0</v>
      </c>
      <c r="Y52" s="2"/>
      <c r="Z52" s="6">
        <f t="shared" si="37"/>
        <v>0</v>
      </c>
    </row>
    <row r="53" spans="1:26" s="28" customFormat="1" outlineLevel="1" collapsed="1" x14ac:dyDescent="0.35">
      <c r="A53" s="27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SUM(OSRRefD22_7x_0)</f>
        <v>0</v>
      </c>
      <c r="E53" s="1"/>
      <c r="F53" s="5">
        <f t="shared" si="30"/>
        <v>0</v>
      </c>
      <c r="G53" s="1"/>
      <c r="H53" s="1">
        <f>SUM(OSRRefH22_7x_0)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4"/>
      <c r="P53" s="1">
        <f>SUM(OSRRefP22_7x_0)</f>
        <v>0</v>
      </c>
      <c r="Q53" s="1"/>
      <c r="R53" s="5">
        <f t="shared" si="34"/>
        <v>0</v>
      </c>
      <c r="S53" s="1"/>
      <c r="T53" s="1">
        <f>SUM(OSRRefT22_7x_0)</f>
        <v>0</v>
      </c>
      <c r="U53" s="1"/>
      <c r="V53" s="5">
        <f t="shared" si="35"/>
        <v>0</v>
      </c>
      <c r="W53" s="1"/>
      <c r="X53" s="1">
        <f t="shared" si="36"/>
        <v>0</v>
      </c>
      <c r="Y53" s="1"/>
      <c r="Z53" s="5">
        <f t="shared" si="37"/>
        <v>0</v>
      </c>
    </row>
    <row r="54" spans="1:26" s="24" customFormat="1" hidden="1" outlineLevel="2" x14ac:dyDescent="0.35">
      <c r="A54" s="29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30"/>
        <v>0</v>
      </c>
      <c r="G54" s="2"/>
      <c r="H54" s="7">
        <v>0</v>
      </c>
      <c r="I54" s="2"/>
      <c r="J54" s="6">
        <f t="shared" si="31"/>
        <v>0</v>
      </c>
      <c r="K54" s="2"/>
      <c r="L54" s="7">
        <f t="shared" si="32"/>
        <v>0</v>
      </c>
      <c r="M54" s="2"/>
      <c r="N54" s="6">
        <f t="shared" si="33"/>
        <v>0</v>
      </c>
      <c r="O54" s="11"/>
      <c r="P54" s="7"/>
      <c r="Q54" s="2"/>
      <c r="R54" s="6">
        <f t="shared" si="34"/>
        <v>0</v>
      </c>
      <c r="S54" s="2"/>
      <c r="T54" s="7">
        <v>0</v>
      </c>
      <c r="U54" s="2"/>
      <c r="V54" s="6">
        <f t="shared" si="35"/>
        <v>0</v>
      </c>
      <c r="W54" s="2"/>
      <c r="X54" s="7">
        <f t="shared" si="36"/>
        <v>0</v>
      </c>
      <c r="Y54" s="2"/>
      <c r="Z54" s="6">
        <f t="shared" si="37"/>
        <v>0</v>
      </c>
    </row>
    <row r="55" spans="1:26" s="28" customFormat="1" outlineLevel="1" collapsed="1" x14ac:dyDescent="0.35">
      <c r="A55" s="27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SUM(OSRRefD22_8x_0)</f>
        <v>0</v>
      </c>
      <c r="E55" s="1"/>
      <c r="F55" s="5">
        <f t="shared" si="30"/>
        <v>0</v>
      </c>
      <c r="G55" s="1"/>
      <c r="H55" s="1">
        <f>SUM(OSRRefH22_8x_0)</f>
        <v>0</v>
      </c>
      <c r="I55" s="1"/>
      <c r="J55" s="5">
        <f t="shared" si="31"/>
        <v>0</v>
      </c>
      <c r="K55" s="1"/>
      <c r="L55" s="1">
        <f t="shared" si="32"/>
        <v>0</v>
      </c>
      <c r="M55" s="1"/>
      <c r="N55" s="5">
        <f t="shared" si="33"/>
        <v>0</v>
      </c>
      <c r="O55" s="14"/>
      <c r="P55" s="1">
        <f>SUM(OSRRefP22_8x_0)</f>
        <v>410.1</v>
      </c>
      <c r="Q55" s="1"/>
      <c r="R55" s="5">
        <f t="shared" si="34"/>
        <v>0</v>
      </c>
      <c r="S55" s="1"/>
      <c r="T55" s="1">
        <f>SUM(OSRRefT22_8x_0)</f>
        <v>0</v>
      </c>
      <c r="U55" s="1"/>
      <c r="V55" s="5">
        <f t="shared" si="35"/>
        <v>0</v>
      </c>
      <c r="W55" s="1"/>
      <c r="X55" s="1">
        <f t="shared" si="36"/>
        <v>410.1</v>
      </c>
      <c r="Y55" s="1"/>
      <c r="Z55" s="5">
        <f t="shared" si="37"/>
        <v>0</v>
      </c>
    </row>
    <row r="56" spans="1:26" s="24" customFormat="1" hidden="1" outlineLevel="2" x14ac:dyDescent="0.35">
      <c r="A56" s="29"/>
      <c r="B56" s="11" t="str">
        <f>CONCATENATE("          ", "6371", " - ", "COMPUTER SOFTWARE MAINTENANCE")</f>
        <v xml:space="preserve">          6371 - COMPUTER SOFTWARE MAINTENANCE</v>
      </c>
      <c r="C56" s="11"/>
      <c r="D56" s="7"/>
      <c r="E56" s="2"/>
      <c r="F56" s="6">
        <f t="shared" si="30"/>
        <v>0</v>
      </c>
      <c r="G56" s="2"/>
      <c r="H56" s="7"/>
      <c r="I56" s="2"/>
      <c r="J56" s="6">
        <f t="shared" si="31"/>
        <v>0</v>
      </c>
      <c r="K56" s="2"/>
      <c r="L56" s="7">
        <f t="shared" si="32"/>
        <v>0</v>
      </c>
      <c r="M56" s="2"/>
      <c r="N56" s="6">
        <f t="shared" si="33"/>
        <v>0</v>
      </c>
      <c r="O56" s="11"/>
      <c r="P56" s="7"/>
      <c r="Q56" s="2"/>
      <c r="R56" s="6">
        <f t="shared" si="34"/>
        <v>0</v>
      </c>
      <c r="S56" s="2"/>
      <c r="T56" s="7">
        <v>0</v>
      </c>
      <c r="U56" s="2"/>
      <c r="V56" s="6">
        <f t="shared" si="35"/>
        <v>0</v>
      </c>
      <c r="W56" s="2"/>
      <c r="X56" s="7">
        <f t="shared" si="36"/>
        <v>0</v>
      </c>
      <c r="Y56" s="2"/>
      <c r="Z56" s="6">
        <f t="shared" si="37"/>
        <v>0</v>
      </c>
    </row>
    <row r="57" spans="1:26" s="24" customFormat="1" hidden="1" outlineLevel="2" x14ac:dyDescent="0.35">
      <c r="A57" s="29"/>
      <c r="B57" s="11" t="str">
        <f>CONCATENATE("          ", "6372", " - ", "COMPUTER HARDWARE MAINTENANCE")</f>
        <v xml:space="preserve">          6372 - COMPUTER HARDWARE MAINTENANCE</v>
      </c>
      <c r="C57" s="11"/>
      <c r="D57" s="7"/>
      <c r="E57" s="2"/>
      <c r="F57" s="6">
        <f t="shared" si="30"/>
        <v>0</v>
      </c>
      <c r="G57" s="2"/>
      <c r="H57" s="7">
        <v>0</v>
      </c>
      <c r="I57" s="2"/>
      <c r="J57" s="6">
        <f t="shared" si="31"/>
        <v>0</v>
      </c>
      <c r="K57" s="2"/>
      <c r="L57" s="7">
        <f t="shared" si="32"/>
        <v>0</v>
      </c>
      <c r="M57" s="2"/>
      <c r="N57" s="6">
        <f t="shared" si="33"/>
        <v>0</v>
      </c>
      <c r="O57" s="11"/>
      <c r="P57" s="7"/>
      <c r="Q57" s="2"/>
      <c r="R57" s="6">
        <f t="shared" si="34"/>
        <v>0</v>
      </c>
      <c r="S57" s="2"/>
      <c r="T57" s="7">
        <v>0</v>
      </c>
      <c r="U57" s="2"/>
      <c r="V57" s="6">
        <f t="shared" si="35"/>
        <v>0</v>
      </c>
      <c r="W57" s="2"/>
      <c r="X57" s="7">
        <f t="shared" si="36"/>
        <v>0</v>
      </c>
      <c r="Y57" s="2"/>
      <c r="Z57" s="6">
        <f t="shared" si="37"/>
        <v>0</v>
      </c>
    </row>
    <row r="58" spans="1:26" s="24" customFormat="1" hidden="1" outlineLevel="2" x14ac:dyDescent="0.35">
      <c r="A58" s="29"/>
      <c r="B58" s="11" t="str">
        <f>CONCATENATE("          ", "6373", " - ", "MAINTENANCE CONTRACTS")</f>
        <v xml:space="preserve">          6373 - MAINTENANCE CONTRACTS</v>
      </c>
      <c r="C58" s="11"/>
      <c r="D58" s="7"/>
      <c r="E58" s="2"/>
      <c r="F58" s="6">
        <f t="shared" si="30"/>
        <v>0</v>
      </c>
      <c r="G58" s="2"/>
      <c r="H58" s="7">
        <v>0</v>
      </c>
      <c r="I58" s="2"/>
      <c r="J58" s="6">
        <f t="shared" si="31"/>
        <v>0</v>
      </c>
      <c r="K58" s="2"/>
      <c r="L58" s="7">
        <f t="shared" si="32"/>
        <v>0</v>
      </c>
      <c r="M58" s="2"/>
      <c r="N58" s="6">
        <f t="shared" si="33"/>
        <v>0</v>
      </c>
      <c r="O58" s="11"/>
      <c r="P58" s="7">
        <v>410.1</v>
      </c>
      <c r="Q58" s="2"/>
      <c r="R58" s="6">
        <f t="shared" si="34"/>
        <v>0</v>
      </c>
      <c r="S58" s="2"/>
      <c r="T58" s="7">
        <v>0</v>
      </c>
      <c r="U58" s="2"/>
      <c r="V58" s="6">
        <f t="shared" si="35"/>
        <v>0</v>
      </c>
      <c r="W58" s="2"/>
      <c r="X58" s="7">
        <f t="shared" si="36"/>
        <v>410.1</v>
      </c>
      <c r="Y58" s="2"/>
      <c r="Z58" s="6">
        <f t="shared" si="37"/>
        <v>0</v>
      </c>
    </row>
    <row r="59" spans="1:26" s="24" customFormat="1" hidden="1" outlineLevel="2" x14ac:dyDescent="0.35">
      <c r="A59" s="29"/>
      <c r="B59" s="11" t="str">
        <f>CONCATENATE("          ", "6375", " - ", "OUTSIDE REPAIRS &amp; MAINTENANCE")</f>
        <v xml:space="preserve">          6375 - OUTSIDE REPAIRS &amp; MAINTENANCE</v>
      </c>
      <c r="C59" s="11"/>
      <c r="D59" s="7"/>
      <c r="E59" s="2"/>
      <c r="F59" s="6">
        <f t="shared" si="30"/>
        <v>0</v>
      </c>
      <c r="G59" s="2"/>
      <c r="H59" s="7">
        <v>0</v>
      </c>
      <c r="I59" s="2"/>
      <c r="J59" s="6">
        <f t="shared" si="31"/>
        <v>0</v>
      </c>
      <c r="K59" s="2"/>
      <c r="L59" s="7">
        <f t="shared" si="32"/>
        <v>0</v>
      </c>
      <c r="M59" s="2"/>
      <c r="N59" s="6">
        <f t="shared" si="33"/>
        <v>0</v>
      </c>
      <c r="O59" s="11"/>
      <c r="P59" s="7"/>
      <c r="Q59" s="2"/>
      <c r="R59" s="6">
        <f t="shared" si="34"/>
        <v>0</v>
      </c>
      <c r="S59" s="2"/>
      <c r="T59" s="7">
        <v>0</v>
      </c>
      <c r="U59" s="2"/>
      <c r="V59" s="6">
        <f t="shared" si="35"/>
        <v>0</v>
      </c>
      <c r="W59" s="2"/>
      <c r="X59" s="7">
        <f t="shared" si="36"/>
        <v>0</v>
      </c>
      <c r="Y59" s="2"/>
      <c r="Z59" s="6">
        <f t="shared" si="37"/>
        <v>0</v>
      </c>
    </row>
    <row r="60" spans="1:26" s="28" customFormat="1" outlineLevel="1" collapsed="1" x14ac:dyDescent="0.35">
      <c r="A60" s="27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SUM(OSRRefD22_9x_0)</f>
        <v>0</v>
      </c>
      <c r="E60" s="1"/>
      <c r="F60" s="5">
        <f t="shared" ref="F60:F62" si="38">IF(D$12=0,0,D60/D$12)</f>
        <v>0</v>
      </c>
      <c r="G60" s="1"/>
      <c r="H60" s="1">
        <f>SUM(OSRRefH22_9x_0)</f>
        <v>0</v>
      </c>
      <c r="I60" s="1"/>
      <c r="J60" s="5">
        <f t="shared" ref="J60:J62" si="39">IF(H$12=0,0,H60/H$12)</f>
        <v>0</v>
      </c>
      <c r="K60" s="1"/>
      <c r="L60" s="1">
        <f t="shared" ref="L60:L62" si="40">+D60-H60</f>
        <v>0</v>
      </c>
      <c r="M60" s="1"/>
      <c r="N60" s="5">
        <f t="shared" ref="N60:N62" si="41">IF(H60=0,0,L60/H60)</f>
        <v>0</v>
      </c>
      <c r="O60" s="14"/>
      <c r="P60" s="1">
        <f>SUM(OSRRefP22_9x_0)</f>
        <v>286.62</v>
      </c>
      <c r="Q60" s="1"/>
      <c r="R60" s="5">
        <f t="shared" ref="R60:R62" si="42">IF(P$12=0,0,P60/P$12)</f>
        <v>0</v>
      </c>
      <c r="S60" s="1"/>
      <c r="T60" s="1">
        <f>SUM(OSRRefT22_9x_0)</f>
        <v>0</v>
      </c>
      <c r="U60" s="1"/>
      <c r="V60" s="5">
        <f t="shared" ref="V60:V62" si="43">IF(T$12=0,0,T60/T$12)</f>
        <v>0</v>
      </c>
      <c r="W60" s="1"/>
      <c r="X60" s="1">
        <f t="shared" ref="X60:X62" si="44">+P60-T60</f>
        <v>286.62</v>
      </c>
      <c r="Y60" s="1"/>
      <c r="Z60" s="5">
        <f t="shared" ref="Z60:Z62" si="45">IF(T60=0,0,X60/T60)</f>
        <v>0</v>
      </c>
    </row>
    <row r="61" spans="1:26" s="24" customFormat="1" hidden="1" outlineLevel="2" x14ac:dyDescent="0.35">
      <c r="A61" s="29"/>
      <c r="B61" s="11" t="str">
        <f>CONCATENATE("          ", "6282", " - ", "JANITORIAL/EXTERMINATOR EXPENS")</f>
        <v xml:space="preserve">          6282 - JANITORIAL/EXTERMINATOR EXPENS</v>
      </c>
      <c r="C61" s="11"/>
      <c r="D61" s="7"/>
      <c r="E61" s="2"/>
      <c r="F61" s="6">
        <f t="shared" si="38"/>
        <v>0</v>
      </c>
      <c r="G61" s="2"/>
      <c r="H61" s="7"/>
      <c r="I61" s="2"/>
      <c r="J61" s="6">
        <f t="shared" si="39"/>
        <v>0</v>
      </c>
      <c r="K61" s="2"/>
      <c r="L61" s="7">
        <f t="shared" si="40"/>
        <v>0</v>
      </c>
      <c r="M61" s="2"/>
      <c r="N61" s="6">
        <f t="shared" si="41"/>
        <v>0</v>
      </c>
      <c r="O61" s="11"/>
      <c r="P61" s="7">
        <v>286.62</v>
      </c>
      <c r="Q61" s="2"/>
      <c r="R61" s="6">
        <f t="shared" si="42"/>
        <v>0</v>
      </c>
      <c r="S61" s="2"/>
      <c r="T61" s="7"/>
      <c r="U61" s="2"/>
      <c r="V61" s="6">
        <f t="shared" si="43"/>
        <v>0</v>
      </c>
      <c r="W61" s="2"/>
      <c r="X61" s="7">
        <f t="shared" si="44"/>
        <v>286.62</v>
      </c>
      <c r="Y61" s="2"/>
      <c r="Z61" s="6">
        <f t="shared" si="45"/>
        <v>0</v>
      </c>
    </row>
    <row r="62" spans="1:26" s="24" customFormat="1" hidden="1" outlineLevel="2" x14ac:dyDescent="0.35">
      <c r="A62" s="29"/>
      <c r="B62" s="11" t="str">
        <f>CONCATENATE("          ", "6286", " - ", "LAUNDRY EXPENSE")</f>
        <v xml:space="preserve">          6286 - LAUNDRY EXPENSE</v>
      </c>
      <c r="C62" s="11"/>
      <c r="D62" s="7"/>
      <c r="E62" s="2"/>
      <c r="F62" s="6">
        <f t="shared" si="38"/>
        <v>0</v>
      </c>
      <c r="G62" s="2"/>
      <c r="H62" s="7">
        <v>0</v>
      </c>
      <c r="I62" s="2"/>
      <c r="J62" s="6">
        <f t="shared" si="39"/>
        <v>0</v>
      </c>
      <c r="K62" s="2"/>
      <c r="L62" s="7">
        <f t="shared" si="40"/>
        <v>0</v>
      </c>
      <c r="M62" s="2"/>
      <c r="N62" s="6">
        <f t="shared" si="41"/>
        <v>0</v>
      </c>
      <c r="O62" s="11"/>
      <c r="P62" s="7"/>
      <c r="Q62" s="2"/>
      <c r="R62" s="6">
        <f t="shared" si="42"/>
        <v>0</v>
      </c>
      <c r="S62" s="2"/>
      <c r="T62" s="7">
        <v>0</v>
      </c>
      <c r="U62" s="2"/>
      <c r="V62" s="6">
        <f t="shared" si="43"/>
        <v>0</v>
      </c>
      <c r="W62" s="2"/>
      <c r="X62" s="7">
        <f t="shared" si="44"/>
        <v>0</v>
      </c>
      <c r="Y62" s="2"/>
      <c r="Z62" s="6">
        <f t="shared" si="45"/>
        <v>0</v>
      </c>
    </row>
    <row r="63" spans="1:26" s="28" customFormat="1" outlineLevel="1" collapsed="1" x14ac:dyDescent="0.35">
      <c r="A63" s="27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SUM(OSRRefD22_10x_0)</f>
        <v>0</v>
      </c>
      <c r="E63" s="1"/>
      <c r="F63" s="5">
        <f t="shared" ref="F63:F71" si="46">IF(D$12=0,0,D63/D$12)</f>
        <v>0</v>
      </c>
      <c r="G63" s="1"/>
      <c r="H63" s="1">
        <f>SUM(OSRRefH22_10x_0)</f>
        <v>0</v>
      </c>
      <c r="I63" s="1"/>
      <c r="J63" s="5">
        <f t="shared" ref="J63:J71" si="47">IF(H$12=0,0,H63/H$12)</f>
        <v>0</v>
      </c>
      <c r="K63" s="1"/>
      <c r="L63" s="1">
        <f t="shared" ref="L63:L71" si="48">+D63-H63</f>
        <v>0</v>
      </c>
      <c r="M63" s="1"/>
      <c r="N63" s="5">
        <f t="shared" ref="N63:N71" si="49">IF(H63=0,0,L63/H63)</f>
        <v>0</v>
      </c>
      <c r="O63" s="14"/>
      <c r="P63" s="1">
        <f>SUM(OSRRefP22_10x_0)</f>
        <v>0</v>
      </c>
      <c r="Q63" s="1"/>
      <c r="R63" s="5">
        <f t="shared" ref="R63:R71" si="50">IF(P$12=0,0,P63/P$12)</f>
        <v>0</v>
      </c>
      <c r="S63" s="1"/>
      <c r="T63" s="1">
        <f>SUM(OSRRefT22_10x_0)</f>
        <v>0</v>
      </c>
      <c r="U63" s="1"/>
      <c r="V63" s="5">
        <f t="shared" ref="V63:V71" si="51">IF(T$12=0,0,T63/T$12)</f>
        <v>0</v>
      </c>
      <c r="W63" s="1"/>
      <c r="X63" s="1">
        <f t="shared" ref="X63:X71" si="52">+P63-T63</f>
        <v>0</v>
      </c>
      <c r="Y63" s="1"/>
      <c r="Z63" s="5">
        <f t="shared" ref="Z63:Z71" si="53">IF(T63=0,0,X63/T63)</f>
        <v>0</v>
      </c>
    </row>
    <row r="64" spans="1:26" s="24" customFormat="1" hidden="1" outlineLevel="2" x14ac:dyDescent="0.35">
      <c r="A64" s="29"/>
      <c r="B64" s="11" t="str">
        <f>CONCATENATE("          ", "6235", " - ", "COVID-19 EXPENSES")</f>
        <v xml:space="preserve">          6235 - COVID-19 EXPENSES</v>
      </c>
      <c r="C64" s="11"/>
      <c r="D64" s="7"/>
      <c r="E64" s="2"/>
      <c r="F64" s="6">
        <f t="shared" si="46"/>
        <v>0</v>
      </c>
      <c r="G64" s="2"/>
      <c r="H64" s="7">
        <v>0</v>
      </c>
      <c r="I64" s="2"/>
      <c r="J64" s="6">
        <f t="shared" si="47"/>
        <v>0</v>
      </c>
      <c r="K64" s="2"/>
      <c r="L64" s="7">
        <f t="shared" si="48"/>
        <v>0</v>
      </c>
      <c r="M64" s="2"/>
      <c r="N64" s="6">
        <f t="shared" si="49"/>
        <v>0</v>
      </c>
      <c r="O64" s="11"/>
      <c r="P64" s="7"/>
      <c r="Q64" s="2"/>
      <c r="R64" s="6">
        <f t="shared" si="50"/>
        <v>0</v>
      </c>
      <c r="S64" s="2"/>
      <c r="T64" s="7">
        <v>0</v>
      </c>
      <c r="U64" s="2"/>
      <c r="V64" s="6">
        <f t="shared" si="51"/>
        <v>0</v>
      </c>
      <c r="W64" s="2"/>
      <c r="X64" s="7">
        <f t="shared" si="52"/>
        <v>0</v>
      </c>
      <c r="Y64" s="2"/>
      <c r="Z64" s="6">
        <f t="shared" si="53"/>
        <v>0</v>
      </c>
    </row>
    <row r="65" spans="1:26" s="24" customFormat="1" hidden="1" outlineLevel="2" x14ac:dyDescent="0.35">
      <c r="A65" s="29"/>
      <c r="B65" s="11" t="str">
        <f>CONCATENATE("          ", "6239", " - ", "KITCHEN SUPPLIES")</f>
        <v xml:space="preserve">          6239 - KITCHEN SUPPLIES</v>
      </c>
      <c r="C65" s="11"/>
      <c r="D65" s="7"/>
      <c r="E65" s="2"/>
      <c r="F65" s="6">
        <f t="shared" si="46"/>
        <v>0</v>
      </c>
      <c r="G65" s="2"/>
      <c r="H65" s="7">
        <v>0</v>
      </c>
      <c r="I65" s="2"/>
      <c r="J65" s="6">
        <f t="shared" si="47"/>
        <v>0</v>
      </c>
      <c r="K65" s="2"/>
      <c r="L65" s="7">
        <f t="shared" si="48"/>
        <v>0</v>
      </c>
      <c r="M65" s="2"/>
      <c r="N65" s="6">
        <f t="shared" si="49"/>
        <v>0</v>
      </c>
      <c r="O65" s="11"/>
      <c r="P65" s="7"/>
      <c r="Q65" s="2"/>
      <c r="R65" s="6">
        <f t="shared" si="50"/>
        <v>0</v>
      </c>
      <c r="S65" s="2"/>
      <c r="T65" s="7">
        <v>0</v>
      </c>
      <c r="U65" s="2"/>
      <c r="V65" s="6">
        <f t="shared" si="51"/>
        <v>0</v>
      </c>
      <c r="W65" s="2"/>
      <c r="X65" s="7">
        <f t="shared" si="52"/>
        <v>0</v>
      </c>
      <c r="Y65" s="2"/>
      <c r="Z65" s="6">
        <f t="shared" si="53"/>
        <v>0</v>
      </c>
    </row>
    <row r="66" spans="1:26" s="24" customFormat="1" hidden="1" outlineLevel="2" x14ac:dyDescent="0.35">
      <c r="A66" s="29"/>
      <c r="B66" s="11" t="str">
        <f>CONCATENATE("          ", "6241", " - ", "OFFICE EXPENSE")</f>
        <v xml:space="preserve">          6241 - OFFICE EXPENSE</v>
      </c>
      <c r="C66" s="11"/>
      <c r="D66" s="7"/>
      <c r="E66" s="2"/>
      <c r="F66" s="6">
        <f t="shared" si="46"/>
        <v>0</v>
      </c>
      <c r="G66" s="2"/>
      <c r="H66" s="7">
        <v>0</v>
      </c>
      <c r="I66" s="2"/>
      <c r="J66" s="6">
        <f t="shared" si="47"/>
        <v>0</v>
      </c>
      <c r="K66" s="2"/>
      <c r="L66" s="7">
        <f t="shared" si="48"/>
        <v>0</v>
      </c>
      <c r="M66" s="2"/>
      <c r="N66" s="6">
        <f t="shared" si="49"/>
        <v>0</v>
      </c>
      <c r="O66" s="11"/>
      <c r="P66" s="7"/>
      <c r="Q66" s="2"/>
      <c r="R66" s="6">
        <f t="shared" si="50"/>
        <v>0</v>
      </c>
      <c r="S66" s="2"/>
      <c r="T66" s="7">
        <v>0</v>
      </c>
      <c r="U66" s="2"/>
      <c r="V66" s="6">
        <f t="shared" si="51"/>
        <v>0</v>
      </c>
      <c r="W66" s="2"/>
      <c r="X66" s="7">
        <f t="shared" si="52"/>
        <v>0</v>
      </c>
      <c r="Y66" s="2"/>
      <c r="Z66" s="6">
        <f t="shared" si="53"/>
        <v>0</v>
      </c>
    </row>
    <row r="67" spans="1:26" s="24" customFormat="1" hidden="1" outlineLevel="2" x14ac:dyDescent="0.35">
      <c r="A67" s="29"/>
      <c r="B67" s="11" t="str">
        <f>CONCATENATE("          ", "6243", " - ", "PAPER SUPPLIES")</f>
        <v xml:space="preserve">          6243 - PAPER SUPPLIES</v>
      </c>
      <c r="C67" s="11"/>
      <c r="D67" s="7"/>
      <c r="E67" s="2"/>
      <c r="F67" s="6">
        <f t="shared" si="46"/>
        <v>0</v>
      </c>
      <c r="G67" s="2"/>
      <c r="H67" s="7">
        <v>0</v>
      </c>
      <c r="I67" s="2"/>
      <c r="J67" s="6">
        <f t="shared" si="47"/>
        <v>0</v>
      </c>
      <c r="K67" s="2"/>
      <c r="L67" s="7">
        <f t="shared" si="48"/>
        <v>0</v>
      </c>
      <c r="M67" s="2"/>
      <c r="N67" s="6">
        <f t="shared" si="49"/>
        <v>0</v>
      </c>
      <c r="O67" s="11"/>
      <c r="P67" s="7"/>
      <c r="Q67" s="2"/>
      <c r="R67" s="6">
        <f t="shared" si="50"/>
        <v>0</v>
      </c>
      <c r="S67" s="2"/>
      <c r="T67" s="7">
        <v>0</v>
      </c>
      <c r="U67" s="2"/>
      <c r="V67" s="6">
        <f t="shared" si="51"/>
        <v>0</v>
      </c>
      <c r="W67" s="2"/>
      <c r="X67" s="7">
        <f t="shared" si="52"/>
        <v>0</v>
      </c>
      <c r="Y67" s="2"/>
      <c r="Z67" s="6">
        <f t="shared" si="53"/>
        <v>0</v>
      </c>
    </row>
    <row r="68" spans="1:26" s="24" customFormat="1" hidden="1" outlineLevel="2" x14ac:dyDescent="0.35">
      <c r="A68" s="29"/>
      <c r="B68" s="11" t="str">
        <f>CONCATENATE("          ", "6244", " - ", "SAFETY SUPPLY EXPENSE")</f>
        <v xml:space="preserve">          6244 - SAFETY SUPPLY EXPENSE</v>
      </c>
      <c r="C68" s="11"/>
      <c r="D68" s="7"/>
      <c r="E68" s="2"/>
      <c r="F68" s="6">
        <f t="shared" si="46"/>
        <v>0</v>
      </c>
      <c r="G68" s="2"/>
      <c r="H68" s="7">
        <v>0</v>
      </c>
      <c r="I68" s="2"/>
      <c r="J68" s="6">
        <f t="shared" si="47"/>
        <v>0</v>
      </c>
      <c r="K68" s="2"/>
      <c r="L68" s="7">
        <f t="shared" si="48"/>
        <v>0</v>
      </c>
      <c r="M68" s="2"/>
      <c r="N68" s="6">
        <f t="shared" si="49"/>
        <v>0</v>
      </c>
      <c r="O68" s="11"/>
      <c r="P68" s="7"/>
      <c r="Q68" s="2"/>
      <c r="R68" s="6">
        <f t="shared" si="50"/>
        <v>0</v>
      </c>
      <c r="S68" s="2"/>
      <c r="T68" s="7">
        <v>0</v>
      </c>
      <c r="U68" s="2"/>
      <c r="V68" s="6">
        <f t="shared" si="51"/>
        <v>0</v>
      </c>
      <c r="W68" s="2"/>
      <c r="X68" s="7">
        <f t="shared" si="52"/>
        <v>0</v>
      </c>
      <c r="Y68" s="2"/>
      <c r="Z68" s="6">
        <f t="shared" si="53"/>
        <v>0</v>
      </c>
    </row>
    <row r="69" spans="1:26" s="24" customFormat="1" hidden="1" outlineLevel="2" x14ac:dyDescent="0.35">
      <c r="A69" s="29"/>
      <c r="B69" s="11" t="str">
        <f>CONCATENATE("          ", "6245", " - ", "PRINTING")</f>
        <v xml:space="preserve">          6245 - PRINTING</v>
      </c>
      <c r="C69" s="11"/>
      <c r="D69" s="7"/>
      <c r="E69" s="2"/>
      <c r="F69" s="6">
        <f t="shared" si="46"/>
        <v>0</v>
      </c>
      <c r="G69" s="2"/>
      <c r="H69" s="7">
        <v>0</v>
      </c>
      <c r="I69" s="2"/>
      <c r="J69" s="6">
        <f t="shared" si="47"/>
        <v>0</v>
      </c>
      <c r="K69" s="2"/>
      <c r="L69" s="7">
        <f t="shared" si="48"/>
        <v>0</v>
      </c>
      <c r="M69" s="2"/>
      <c r="N69" s="6">
        <f t="shared" si="49"/>
        <v>0</v>
      </c>
      <c r="O69" s="11"/>
      <c r="P69" s="7"/>
      <c r="Q69" s="2"/>
      <c r="R69" s="6">
        <f t="shared" si="50"/>
        <v>0</v>
      </c>
      <c r="S69" s="2"/>
      <c r="T69" s="7">
        <v>0</v>
      </c>
      <c r="U69" s="2"/>
      <c r="V69" s="6">
        <f t="shared" si="51"/>
        <v>0</v>
      </c>
      <c r="W69" s="2"/>
      <c r="X69" s="7">
        <f t="shared" si="52"/>
        <v>0</v>
      </c>
      <c r="Y69" s="2"/>
      <c r="Z69" s="6">
        <f t="shared" si="53"/>
        <v>0</v>
      </c>
    </row>
    <row r="70" spans="1:26" s="24" customFormat="1" hidden="1" outlineLevel="2" x14ac:dyDescent="0.35">
      <c r="A70" s="29"/>
      <c r="B70" s="11" t="str">
        <f>CONCATENATE("          ", "6247", " - ", "STORE SUPPLIES")</f>
        <v xml:space="preserve">          6247 - STORE SUPPLIES</v>
      </c>
      <c r="C70" s="11"/>
      <c r="D70" s="7"/>
      <c r="E70" s="2"/>
      <c r="F70" s="6">
        <f t="shared" si="46"/>
        <v>0</v>
      </c>
      <c r="G70" s="2"/>
      <c r="H70" s="7">
        <v>0</v>
      </c>
      <c r="I70" s="2"/>
      <c r="J70" s="6">
        <f t="shared" si="47"/>
        <v>0</v>
      </c>
      <c r="K70" s="2"/>
      <c r="L70" s="7">
        <f t="shared" si="48"/>
        <v>0</v>
      </c>
      <c r="M70" s="2"/>
      <c r="N70" s="6">
        <f t="shared" si="49"/>
        <v>0</v>
      </c>
      <c r="O70" s="11"/>
      <c r="P70" s="7"/>
      <c r="Q70" s="2"/>
      <c r="R70" s="6">
        <f t="shared" si="50"/>
        <v>0</v>
      </c>
      <c r="S70" s="2"/>
      <c r="T70" s="7">
        <v>0</v>
      </c>
      <c r="U70" s="2"/>
      <c r="V70" s="6">
        <f t="shared" si="51"/>
        <v>0</v>
      </c>
      <c r="W70" s="2"/>
      <c r="X70" s="7">
        <f t="shared" si="52"/>
        <v>0</v>
      </c>
      <c r="Y70" s="2"/>
      <c r="Z70" s="6">
        <f t="shared" si="53"/>
        <v>0</v>
      </c>
    </row>
    <row r="71" spans="1:26" s="24" customFormat="1" hidden="1" outlineLevel="2" x14ac:dyDescent="0.35">
      <c r="A71" s="29"/>
      <c r="B71" s="11" t="str">
        <f>CONCATENATE("          ", "6248", " - ", "UNIFORMS")</f>
        <v xml:space="preserve">          6248 - UNIFORMS</v>
      </c>
      <c r="C71" s="11"/>
      <c r="D71" s="7"/>
      <c r="E71" s="2"/>
      <c r="F71" s="6">
        <f t="shared" si="46"/>
        <v>0</v>
      </c>
      <c r="G71" s="2"/>
      <c r="H71" s="7"/>
      <c r="I71" s="2"/>
      <c r="J71" s="6">
        <f t="shared" si="47"/>
        <v>0</v>
      </c>
      <c r="K71" s="2"/>
      <c r="L71" s="7">
        <f t="shared" si="48"/>
        <v>0</v>
      </c>
      <c r="M71" s="2"/>
      <c r="N71" s="6">
        <f t="shared" si="49"/>
        <v>0</v>
      </c>
      <c r="O71" s="11"/>
      <c r="P71" s="7"/>
      <c r="Q71" s="2"/>
      <c r="R71" s="6">
        <f t="shared" si="50"/>
        <v>0</v>
      </c>
      <c r="S71" s="2"/>
      <c r="T71" s="7">
        <v>0</v>
      </c>
      <c r="U71" s="2"/>
      <c r="V71" s="6">
        <f t="shared" si="51"/>
        <v>0</v>
      </c>
      <c r="W71" s="2"/>
      <c r="X71" s="7">
        <f t="shared" si="52"/>
        <v>0</v>
      </c>
      <c r="Y71" s="2"/>
      <c r="Z71" s="6">
        <f t="shared" si="53"/>
        <v>0</v>
      </c>
    </row>
    <row r="72" spans="1:26" s="28" customFormat="1" outlineLevel="1" collapsed="1" x14ac:dyDescent="0.35">
      <c r="A72" s="27"/>
      <c r="B72" s="14" t="str">
        <f>CONCATENATE("     ","Telephone/Data Lines                              ")</f>
        <v xml:space="preserve">     Telephone/Data Lines                              </v>
      </c>
      <c r="C72" s="14"/>
      <c r="D72" s="1">
        <f>SUM(OSRRefD22_11x_0)</f>
        <v>0</v>
      </c>
      <c r="E72" s="1"/>
      <c r="F72" s="5">
        <f t="shared" ref="F72:F74" si="54">IF(D$12=0,0,D72/D$12)</f>
        <v>0</v>
      </c>
      <c r="G72" s="1"/>
      <c r="H72" s="1">
        <f>SUM(OSRRefH22_11x_0)</f>
        <v>0</v>
      </c>
      <c r="I72" s="1"/>
      <c r="J72" s="5">
        <f t="shared" ref="J72:J74" si="55">IF(H$12=0,0,H72/H$12)</f>
        <v>0</v>
      </c>
      <c r="K72" s="1"/>
      <c r="L72" s="1">
        <f t="shared" ref="L72:L74" si="56">+D72-H72</f>
        <v>0</v>
      </c>
      <c r="M72" s="1"/>
      <c r="N72" s="5">
        <f t="shared" ref="N72:N74" si="57">IF(H72=0,0,L72/H72)</f>
        <v>0</v>
      </c>
      <c r="O72" s="14"/>
      <c r="P72" s="1">
        <f>SUM(OSRRefP22_11x_0)</f>
        <v>49.7</v>
      </c>
      <c r="Q72" s="1"/>
      <c r="R72" s="5">
        <f t="shared" ref="R72:R74" si="58">IF(P$12=0,0,P72/P$12)</f>
        <v>0</v>
      </c>
      <c r="S72" s="1"/>
      <c r="T72" s="1">
        <f>SUM(OSRRefT22_11x_0)</f>
        <v>0</v>
      </c>
      <c r="U72" s="1"/>
      <c r="V72" s="5">
        <f t="shared" ref="V72:V74" si="59">IF(T$12=0,0,T72/T$12)</f>
        <v>0</v>
      </c>
      <c r="W72" s="1"/>
      <c r="X72" s="1">
        <f t="shared" ref="X72:X74" si="60">+P72-T72</f>
        <v>49.7</v>
      </c>
      <c r="Y72" s="1"/>
      <c r="Z72" s="5">
        <f t="shared" ref="Z72:Z74" si="61">IF(T72=0,0,X72/T72)</f>
        <v>0</v>
      </c>
    </row>
    <row r="73" spans="1:26" s="24" customFormat="1" hidden="1" outlineLevel="2" x14ac:dyDescent="0.35">
      <c r="A73" s="29"/>
      <c r="B73" s="11" t="str">
        <f>CONCATENATE("          ", "6303", " - ", "DATA PHONE LINES")</f>
        <v xml:space="preserve">          6303 - DATA PHONE LINES</v>
      </c>
      <c r="C73" s="11"/>
      <c r="D73" s="7"/>
      <c r="E73" s="2"/>
      <c r="F73" s="6">
        <f t="shared" si="54"/>
        <v>0</v>
      </c>
      <c r="G73" s="2"/>
      <c r="H73" s="7">
        <v>0</v>
      </c>
      <c r="I73" s="2"/>
      <c r="J73" s="6">
        <f t="shared" si="55"/>
        <v>0</v>
      </c>
      <c r="K73" s="2"/>
      <c r="L73" s="7">
        <f t="shared" si="56"/>
        <v>0</v>
      </c>
      <c r="M73" s="2"/>
      <c r="N73" s="6">
        <f t="shared" si="57"/>
        <v>0</v>
      </c>
      <c r="O73" s="11"/>
      <c r="P73" s="7"/>
      <c r="Q73" s="2"/>
      <c r="R73" s="6">
        <f t="shared" si="58"/>
        <v>0</v>
      </c>
      <c r="S73" s="2"/>
      <c r="T73" s="7">
        <v>0</v>
      </c>
      <c r="U73" s="2"/>
      <c r="V73" s="6">
        <f t="shared" si="59"/>
        <v>0</v>
      </c>
      <c r="W73" s="2"/>
      <c r="X73" s="7">
        <f t="shared" si="60"/>
        <v>0</v>
      </c>
      <c r="Y73" s="2"/>
      <c r="Z73" s="6">
        <f t="shared" si="61"/>
        <v>0</v>
      </c>
    </row>
    <row r="74" spans="1:26" s="24" customFormat="1" hidden="1" outlineLevel="2" x14ac:dyDescent="0.35">
      <c r="A74" s="29"/>
      <c r="B74" s="11" t="str">
        <f>CONCATENATE("          ", "6309", " - ", "TELEPHONE")</f>
        <v xml:space="preserve">          6309 - TELEPHONE</v>
      </c>
      <c r="C74" s="11"/>
      <c r="D74" s="7"/>
      <c r="E74" s="2"/>
      <c r="F74" s="6">
        <f t="shared" si="54"/>
        <v>0</v>
      </c>
      <c r="G74" s="2"/>
      <c r="H74" s="7">
        <v>0</v>
      </c>
      <c r="I74" s="2"/>
      <c r="J74" s="6">
        <f t="shared" si="55"/>
        <v>0</v>
      </c>
      <c r="K74" s="2"/>
      <c r="L74" s="7">
        <f t="shared" si="56"/>
        <v>0</v>
      </c>
      <c r="M74" s="2"/>
      <c r="N74" s="6">
        <f t="shared" si="57"/>
        <v>0</v>
      </c>
      <c r="O74" s="11"/>
      <c r="P74" s="7">
        <v>49.7</v>
      </c>
      <c r="Q74" s="2"/>
      <c r="R74" s="6">
        <f t="shared" si="58"/>
        <v>0</v>
      </c>
      <c r="S74" s="2"/>
      <c r="T74" s="7">
        <v>0</v>
      </c>
      <c r="U74" s="2"/>
      <c r="V74" s="6">
        <f t="shared" si="59"/>
        <v>0</v>
      </c>
      <c r="W74" s="2"/>
      <c r="X74" s="7">
        <f t="shared" si="60"/>
        <v>49.7</v>
      </c>
      <c r="Y74" s="2"/>
      <c r="Z74" s="6">
        <f t="shared" si="61"/>
        <v>0</v>
      </c>
    </row>
    <row r="75" spans="1:26" s="28" customFormat="1" outlineLevel="1" collapsed="1" x14ac:dyDescent="0.35">
      <c r="A75" s="27"/>
      <c r="B75" s="14" t="str">
        <f>CONCATENATE("     ","Travel                                            ")</f>
        <v xml:space="preserve">     Travel                                            </v>
      </c>
      <c r="C75" s="14"/>
      <c r="D75" s="1">
        <f>SUM(OSRRefD22_12x_0)</f>
        <v>0</v>
      </c>
      <c r="E75" s="1"/>
      <c r="F75" s="5">
        <f t="shared" ref="F75:F76" si="62">IF(D$12=0,0,D75/D$12)</f>
        <v>0</v>
      </c>
      <c r="G75" s="1"/>
      <c r="H75" s="1">
        <f>SUM(OSRRefH22_12x_0)</f>
        <v>0</v>
      </c>
      <c r="I75" s="1"/>
      <c r="J75" s="5">
        <f t="shared" ref="J75:J76" si="63">IF(H$12=0,0,H75/H$12)</f>
        <v>0</v>
      </c>
      <c r="K75" s="1"/>
      <c r="L75" s="1">
        <f t="shared" ref="L75:L76" si="64">+D75-H75</f>
        <v>0</v>
      </c>
      <c r="M75" s="1"/>
      <c r="N75" s="5">
        <f t="shared" ref="N75:N76" si="65">IF(H75=0,0,L75/H75)</f>
        <v>0</v>
      </c>
      <c r="O75" s="14"/>
      <c r="P75" s="1">
        <f>SUM(OSRRefP22_12x_0)</f>
        <v>0</v>
      </c>
      <c r="Q75" s="1"/>
      <c r="R75" s="5">
        <f t="shared" ref="R75:R76" si="66">IF(P$12=0,0,P75/P$12)</f>
        <v>0</v>
      </c>
      <c r="S75" s="1"/>
      <c r="T75" s="1">
        <f>SUM(OSRRefT22_12x_0)</f>
        <v>0</v>
      </c>
      <c r="U75" s="1"/>
      <c r="V75" s="5">
        <f t="shared" ref="V75:V76" si="67">IF(T$12=0,0,T75/T$12)</f>
        <v>0</v>
      </c>
      <c r="W75" s="1"/>
      <c r="X75" s="1">
        <f t="shared" ref="X75:X76" si="68">+P75-T75</f>
        <v>0</v>
      </c>
      <c r="Y75" s="1"/>
      <c r="Z75" s="5">
        <f t="shared" ref="Z75:Z76" si="69">IF(T75=0,0,X75/T75)</f>
        <v>0</v>
      </c>
    </row>
    <row r="76" spans="1:26" s="24" customFormat="1" hidden="1" outlineLevel="2" x14ac:dyDescent="0.35">
      <c r="A76" s="29"/>
      <c r="B76" s="11" t="str">
        <f>CONCATENATE("          ", "6292", " - ", "TRAVEL/CONFERENCE")</f>
        <v xml:space="preserve">          6292 - TRAVEL/CONFERENCE</v>
      </c>
      <c r="C76" s="11"/>
      <c r="D76" s="7"/>
      <c r="E76" s="2"/>
      <c r="F76" s="6">
        <f t="shared" si="62"/>
        <v>0</v>
      </c>
      <c r="G76" s="2"/>
      <c r="H76" s="7"/>
      <c r="I76" s="2"/>
      <c r="J76" s="6">
        <f t="shared" si="63"/>
        <v>0</v>
      </c>
      <c r="K76" s="2"/>
      <c r="L76" s="7">
        <f t="shared" si="64"/>
        <v>0</v>
      </c>
      <c r="M76" s="2"/>
      <c r="N76" s="6">
        <f t="shared" si="65"/>
        <v>0</v>
      </c>
      <c r="O76" s="11"/>
      <c r="P76" s="7"/>
      <c r="Q76" s="2"/>
      <c r="R76" s="6">
        <f t="shared" si="66"/>
        <v>0</v>
      </c>
      <c r="S76" s="2"/>
      <c r="T76" s="7">
        <v>0</v>
      </c>
      <c r="U76" s="2"/>
      <c r="V76" s="6">
        <f t="shared" si="67"/>
        <v>0</v>
      </c>
      <c r="W76" s="2"/>
      <c r="X76" s="7">
        <f t="shared" si="68"/>
        <v>0</v>
      </c>
      <c r="Y76" s="2"/>
      <c r="Z76" s="6">
        <f t="shared" si="69"/>
        <v>0</v>
      </c>
    </row>
    <row r="77" spans="1:26" s="55" customFormat="1" x14ac:dyDescent="0.35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35">
      <c r="A78" s="10"/>
      <c r="B78" s="25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3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35">
      <c r="A80" s="10"/>
      <c r="B80" s="26" t="s">
        <v>3</v>
      </c>
      <c r="C80" s="26"/>
      <c r="D80" s="19">
        <f>+D19-D21+D78</f>
        <v>-58.03</v>
      </c>
      <c r="E80" s="13"/>
      <c r="F80" s="21">
        <f>IF(D$12=0,0,D80/D$12)</f>
        <v>0</v>
      </c>
      <c r="G80" s="13"/>
      <c r="H80" s="19">
        <f>+H19-H21+H78</f>
        <v>-630</v>
      </c>
      <c r="I80" s="13"/>
      <c r="J80" s="21">
        <f>IF(H$12=0,0,H80/H$12)</f>
        <v>0</v>
      </c>
      <c r="K80" s="16"/>
      <c r="L80" s="19">
        <f>+D80-H80</f>
        <v>571.97</v>
      </c>
      <c r="M80" s="16"/>
      <c r="N80" s="21">
        <f>IF(H80=0,0,L80/H80)</f>
        <v>-0.90788888888888897</v>
      </c>
      <c r="O80" s="25"/>
      <c r="P80" s="19">
        <f>+P19-P21+P78</f>
        <v>-4905.54</v>
      </c>
      <c r="Q80" s="13"/>
      <c r="R80" s="21">
        <f>IF(P$12=0,0,P80/P$12)</f>
        <v>0</v>
      </c>
      <c r="S80" s="13"/>
      <c r="T80" s="19">
        <f>+T19-T21+T78</f>
        <v>-4410</v>
      </c>
      <c r="U80" s="13"/>
      <c r="V80" s="21">
        <f>IF(T$12=0,0,T80/T$12)</f>
        <v>0</v>
      </c>
      <c r="W80" s="16"/>
      <c r="X80" s="19">
        <f>+P80-T80</f>
        <v>-495.53999999999996</v>
      </c>
      <c r="Y80" s="16"/>
      <c r="Z80" s="21">
        <f>IF(T80=0,0,X80/T80)</f>
        <v>0.11236734693877551</v>
      </c>
    </row>
    <row r="81" spans="1:26" x14ac:dyDescent="0.3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35">
      <c r="A82" s="52"/>
      <c r="B82" s="10" t="s">
        <v>14</v>
      </c>
      <c r="C82" s="10"/>
      <c r="D82" s="4"/>
      <c r="E82" s="4"/>
      <c r="F82" s="12">
        <f>IF(D$12=0,0,D82/D$12)</f>
        <v>0</v>
      </c>
      <c r="G82" s="4"/>
      <c r="H82" s="4"/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/>
      <c r="Q82" s="4"/>
      <c r="R82" s="12">
        <f>IF(P$12=0,0,P82/P$12)</f>
        <v>0</v>
      </c>
      <c r="S82" s="4"/>
      <c r="T82" s="4"/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3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" thickBot="1" x14ac:dyDescent="0.4">
      <c r="A84" s="10"/>
      <c r="B84" s="26" t="s">
        <v>4</v>
      </c>
      <c r="C84" s="26"/>
      <c r="D84" s="33">
        <f>+D80-D82</f>
        <v>-58.03</v>
      </c>
      <c r="E84" s="13"/>
      <c r="F84" s="31">
        <f>IF(D$12=0,0,D84/D$12)</f>
        <v>0</v>
      </c>
      <c r="G84" s="13"/>
      <c r="H84" s="33">
        <f>+H80-H82</f>
        <v>-630</v>
      </c>
      <c r="I84" s="13"/>
      <c r="J84" s="31">
        <f>IF(H$12=0,0,H84/H$12)</f>
        <v>0</v>
      </c>
      <c r="K84" s="16"/>
      <c r="L84" s="33">
        <f>D84-H84</f>
        <v>571.97</v>
      </c>
      <c r="M84" s="16"/>
      <c r="N84" s="31">
        <f>IF(H84=0,0,L84/H84)</f>
        <v>-0.90788888888888897</v>
      </c>
      <c r="O84" s="25"/>
      <c r="P84" s="33">
        <f>+P80-P82</f>
        <v>-4905.54</v>
      </c>
      <c r="Q84" s="13"/>
      <c r="R84" s="31">
        <f>IF(P$12=0,0,P84/P$12)</f>
        <v>0</v>
      </c>
      <c r="S84" s="13"/>
      <c r="T84" s="33">
        <f>+T80-T82</f>
        <v>-4410</v>
      </c>
      <c r="U84" s="13"/>
      <c r="V84" s="31">
        <f>IF(T$12=0,0,T84/T$12)</f>
        <v>0</v>
      </c>
      <c r="W84" s="16"/>
      <c r="X84" s="33">
        <f>P84-T84</f>
        <v>-495.53999999999996</v>
      </c>
      <c r="Y84" s="16"/>
      <c r="Z84" s="31">
        <f>IF(T84=0,0,X84/T84)</f>
        <v>0.11236734693877551</v>
      </c>
    </row>
    <row r="85" spans="1:26" ht="15" thickTop="1" x14ac:dyDescent="0.3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3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" thickBot="1" x14ac:dyDescent="0.4">
      <c r="A87" s="10"/>
      <c r="B87" s="26" t="s">
        <v>5</v>
      </c>
      <c r="C87" s="26"/>
      <c r="D87" s="34">
        <f>SUM(D84:D86)</f>
        <v>-58.03</v>
      </c>
      <c r="E87" s="13"/>
      <c r="F87" s="32">
        <f>IF(D$12=0,0,D87/D$12)</f>
        <v>0</v>
      </c>
      <c r="G87" s="13"/>
      <c r="H87" s="34">
        <f>SUM(H84:H86)</f>
        <v>-630</v>
      </c>
      <c r="I87" s="13"/>
      <c r="J87" s="32">
        <f>IF(H$12=0,0,H87/H$12)</f>
        <v>0</v>
      </c>
      <c r="K87" s="16"/>
      <c r="L87" s="34">
        <f>+D87-H87</f>
        <v>571.97</v>
      </c>
      <c r="M87" s="16"/>
      <c r="N87" s="32">
        <f>IF(H87=0,0,L87/H87)</f>
        <v>-0.90788888888888897</v>
      </c>
      <c r="O87" s="25"/>
      <c r="P87" s="34">
        <f>SUM(P84:P86)</f>
        <v>-4905.54</v>
      </c>
      <c r="Q87" s="13"/>
      <c r="R87" s="32">
        <f>IF(P$12=0,0,P87/P$12)</f>
        <v>0</v>
      </c>
      <c r="S87" s="13"/>
      <c r="T87" s="34">
        <f>SUM(T84:T86)</f>
        <v>-4410</v>
      </c>
      <c r="U87" s="13"/>
      <c r="V87" s="32">
        <f>IF(T$12=0,0,T87/T$12)</f>
        <v>0</v>
      </c>
      <c r="W87" s="16"/>
      <c r="X87" s="34">
        <f>+P87-T87</f>
        <v>-495.53999999999996</v>
      </c>
      <c r="Y87" s="16"/>
      <c r="Z87" s="32">
        <f>IF(T87=0,0,X87/T87)</f>
        <v>0.11236734693877551</v>
      </c>
    </row>
    <row r="88" spans="1:26" ht="15" thickTop="1" x14ac:dyDescent="0.35">
      <c r="A88" s="9"/>
      <c r="C88" s="9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35">
      <c r="A89" s="9"/>
      <c r="B89" s="60">
        <v>44238.490722453702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35">
      <c r="A90" s="9"/>
      <c r="B90" s="59" t="s">
        <v>314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35">
      <c r="A91" s="9"/>
      <c r="B91" s="58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35"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300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","414", " - ", "Starbucks UDP")</f>
        <v>Department 414 - Starbucks UDP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0</v>
      </c>
      <c r="M12" s="4"/>
      <c r="N12" s="12">
        <f t="shared" ref="N12:N15" si="1">IF(H12=0,0,L12/H12)</f>
        <v>0</v>
      </c>
      <c r="O12" s="10"/>
      <c r="P12" s="4">
        <f>SUM(OSRRefP13x_0)</f>
        <v>974.91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5" si="2">+P12-T12</f>
        <v>974.91</v>
      </c>
      <c r="Y12" s="4"/>
      <c r="Z12" s="12">
        <f t="shared" ref="Z12:Z15" si="3">IF(T12=0,0,X12/T12)</f>
        <v>0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35">
      <c r="A14" s="51"/>
      <c r="B14" s="11" t="str">
        <f>CONCATENATE("          ", "4058", " - ", "TAXABLE SALES-FOOD")</f>
        <v xml:space="preserve">          4058 - TAXABLE SALES-FOOD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--974.91</f>
        <v>974.91</v>
      </c>
      <c r="Q14" s="2"/>
      <c r="R14" s="22"/>
      <c r="S14" s="2"/>
      <c r="T14" s="2"/>
      <c r="U14" s="2"/>
      <c r="V14" s="22"/>
      <c r="W14" s="2"/>
      <c r="X14" s="2">
        <f t="shared" si="2"/>
        <v>974.91</v>
      </c>
      <c r="Y14" s="2"/>
      <c r="Z14" s="22">
        <f t="shared" si="3"/>
        <v>0</v>
      </c>
    </row>
    <row r="15" spans="1:26" s="24" customFormat="1" hidden="1" outlineLevel="1" x14ac:dyDescent="0.3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22"/>
      <c r="G15" s="2"/>
      <c r="H15" s="2">
        <v>0</v>
      </c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0</f>
        <v>0</v>
      </c>
      <c r="Q15" s="2"/>
      <c r="R15" s="22"/>
      <c r="S15" s="2"/>
      <c r="T15" s="2">
        <v>0</v>
      </c>
      <c r="U15" s="2"/>
      <c r="V15" s="22"/>
      <c r="W15" s="2"/>
      <c r="X15" s="2">
        <f t="shared" si="2"/>
        <v>0</v>
      </c>
      <c r="Y15" s="2"/>
      <c r="Z15" s="22">
        <f t="shared" si="3"/>
        <v>0</v>
      </c>
    </row>
    <row r="16" spans="1:26" x14ac:dyDescent="0.3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5">
      <c r="A17" s="10"/>
      <c r="B17" s="25" t="s">
        <v>8</v>
      </c>
      <c r="C17" s="10"/>
      <c r="D17" s="4">
        <f>SUM(OSRRefD16x_0)</f>
        <v>0</v>
      </c>
      <c r="E17" s="4"/>
      <c r="F17" s="12">
        <f t="shared" ref="F17:F18" si="5">IF(D$12=0,0,D17/D$12)</f>
        <v>0</v>
      </c>
      <c r="G17" s="4"/>
      <c r="H17" s="4">
        <f>SUM(OSRRefH16x_0)</f>
        <v>0</v>
      </c>
      <c r="I17" s="4"/>
      <c r="J17" s="12">
        <f t="shared" ref="J17:J18" si="6">IF(H$12=0,0,H17/H$12)</f>
        <v>0</v>
      </c>
      <c r="K17" s="4"/>
      <c r="L17" s="4">
        <f t="shared" ref="L17:L18" si="7">+D17-H17</f>
        <v>0</v>
      </c>
      <c r="M17" s="4"/>
      <c r="N17" s="12">
        <f t="shared" ref="N17:N18" si="8">IF(H17=0,0,L17/H17)</f>
        <v>0</v>
      </c>
      <c r="O17" s="10"/>
      <c r="P17" s="4">
        <f>SUM(OSRRefP16x_0)</f>
        <v>0</v>
      </c>
      <c r="Q17" s="4"/>
      <c r="R17" s="12">
        <f t="shared" ref="R17:R18" si="9">IF(P$12=0,0,P17/P$12)</f>
        <v>0</v>
      </c>
      <c r="S17" s="4"/>
      <c r="T17" s="4">
        <f>SUM(OSRRefT16x_0)</f>
        <v>0</v>
      </c>
      <c r="U17" s="4"/>
      <c r="V17" s="12">
        <f t="shared" ref="V17:V18" si="10">IF(T$12=0,0,T17/T$12)</f>
        <v>0</v>
      </c>
      <c r="W17" s="4"/>
      <c r="X17" s="4">
        <f t="shared" ref="X17:X18" si="11">+P17-T17</f>
        <v>0</v>
      </c>
      <c r="Y17" s="4"/>
      <c r="Z17" s="12">
        <f t="shared" ref="Z17:Z18" si="12">IF(T17=0,0,X17/T17)</f>
        <v>0</v>
      </c>
    </row>
    <row r="18" spans="1:26" s="24" customFormat="1" hidden="1" outlineLevel="1" x14ac:dyDescent="0.35">
      <c r="A18" s="51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2">
        <f t="shared" si="5"/>
        <v>0</v>
      </c>
      <c r="G18" s="2"/>
      <c r="H18" s="2">
        <v>0</v>
      </c>
      <c r="I18" s="2"/>
      <c r="J18" s="22">
        <f t="shared" si="6"/>
        <v>0</v>
      </c>
      <c r="K18" s="2"/>
      <c r="L18" s="2">
        <f t="shared" si="7"/>
        <v>0</v>
      </c>
      <c r="M18" s="2"/>
      <c r="N18" s="22">
        <f t="shared" si="8"/>
        <v>0</v>
      </c>
      <c r="O18" s="11"/>
      <c r="P18" s="2"/>
      <c r="Q18" s="2"/>
      <c r="R18" s="22">
        <f t="shared" si="9"/>
        <v>0</v>
      </c>
      <c r="S18" s="2"/>
      <c r="T18" s="2">
        <v>0</v>
      </c>
      <c r="U18" s="2"/>
      <c r="V18" s="22">
        <f t="shared" si="10"/>
        <v>0</v>
      </c>
      <c r="W18" s="2"/>
      <c r="X18" s="2">
        <f t="shared" si="11"/>
        <v>0</v>
      </c>
      <c r="Y18" s="2"/>
      <c r="Z18" s="22">
        <f t="shared" si="12"/>
        <v>0</v>
      </c>
    </row>
    <row r="19" spans="1:26" x14ac:dyDescent="0.3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5">
      <c r="A20" s="10"/>
      <c r="B20" s="26" t="s">
        <v>6</v>
      </c>
      <c r="C20" s="26"/>
      <c r="D20" s="19">
        <f>D12-D17</f>
        <v>0</v>
      </c>
      <c r="E20" s="13"/>
      <c r="F20" s="21">
        <f>IF(D$12=0,0,D20/D$12)</f>
        <v>0</v>
      </c>
      <c r="G20" s="13"/>
      <c r="H20" s="19">
        <f>H12-H17</f>
        <v>0</v>
      </c>
      <c r="I20" s="13"/>
      <c r="J20" s="21">
        <f>IF(H$12=0,0,H20/H$12)</f>
        <v>0</v>
      </c>
      <c r="K20" s="16"/>
      <c r="L20" s="19">
        <f>+D20-H20</f>
        <v>0</v>
      </c>
      <c r="M20" s="16"/>
      <c r="N20" s="21">
        <f>IF(H20=0,0,L20/H20)</f>
        <v>0</v>
      </c>
      <c r="O20" s="25"/>
      <c r="P20" s="19">
        <f>P12-P17</f>
        <v>974.91</v>
      </c>
      <c r="Q20" s="13"/>
      <c r="R20" s="21">
        <f>IF(P$12=0,0,P20/P$12)</f>
        <v>1</v>
      </c>
      <c r="S20" s="13"/>
      <c r="T20" s="19">
        <f>T12-T17</f>
        <v>0</v>
      </c>
      <c r="U20" s="13"/>
      <c r="V20" s="21">
        <f>IF(T$12=0,0,T20/T$12)</f>
        <v>0</v>
      </c>
      <c r="W20" s="16"/>
      <c r="X20" s="19">
        <f>+P20-T20</f>
        <v>974.91</v>
      </c>
      <c r="Y20" s="16"/>
      <c r="Z20" s="21">
        <f>IF(T20=0,0,X20/T20)</f>
        <v>0</v>
      </c>
    </row>
    <row r="21" spans="1:26" x14ac:dyDescent="0.3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5">
      <c r="A22" s="10"/>
      <c r="B22" s="25" t="s">
        <v>9</v>
      </c>
      <c r="C22" s="10"/>
      <c r="D22" s="20">
        <f>SUM(OSRRefD22x_0)</f>
        <v>1825.26</v>
      </c>
      <c r="E22" s="20"/>
      <c r="F22" s="30">
        <f t="shared" ref="F22:F32" si="13">IF(D$12=0,0,D22/D$12)</f>
        <v>0</v>
      </c>
      <c r="G22" s="20"/>
      <c r="H22" s="20">
        <f>SUM(OSRRefH22x_0)</f>
        <v>1972</v>
      </c>
      <c r="I22" s="20"/>
      <c r="J22" s="30">
        <f t="shared" ref="J22:J32" si="14">IF(H$12=0,0,H22/H$12)</f>
        <v>0</v>
      </c>
      <c r="K22" s="4"/>
      <c r="L22" s="20">
        <f t="shared" ref="L22:L32" si="15">+D22-H22</f>
        <v>-146.74</v>
      </c>
      <c r="M22" s="4"/>
      <c r="N22" s="30">
        <f t="shared" ref="N22:N32" si="16">IF(H22=0,0,L22/H22)</f>
        <v>-7.4411764705882358E-2</v>
      </c>
      <c r="O22" s="10"/>
      <c r="P22" s="20">
        <f>SUM(OSRRefP22x_0)</f>
        <v>14228.16</v>
      </c>
      <c r="Q22" s="20"/>
      <c r="R22" s="30">
        <f t="shared" ref="R22:R32" si="17">IF(P$12=0,0,P22/P$12)</f>
        <v>14.594331784472413</v>
      </c>
      <c r="S22" s="20"/>
      <c r="T22" s="20">
        <f>SUM(OSRRefT22x_0)</f>
        <v>13804</v>
      </c>
      <c r="U22" s="20"/>
      <c r="V22" s="30">
        <f t="shared" ref="V22:V32" si="18">IF(T$12=0,0,T22/T$12)</f>
        <v>0</v>
      </c>
      <c r="W22" s="4"/>
      <c r="X22" s="20">
        <f t="shared" ref="X22:X32" si="19">+P22-T22</f>
        <v>424.15999999999985</v>
      </c>
      <c r="Y22" s="4"/>
      <c r="Z22" s="30">
        <f t="shared" ref="Z22:Z32" si="20">IF(T22=0,0,X22/T22)</f>
        <v>3.0727325412923778E-2</v>
      </c>
    </row>
    <row r="23" spans="1:26" s="28" customFormat="1" outlineLevel="1" collapsed="1" x14ac:dyDescent="0.3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0</v>
      </c>
      <c r="I23" s="1"/>
      <c r="J23" s="5">
        <f t="shared" si="14"/>
        <v>0</v>
      </c>
      <c r="K23" s="1"/>
      <c r="L23" s="1">
        <f t="shared" si="15"/>
        <v>0</v>
      </c>
      <c r="M23" s="1"/>
      <c r="N23" s="5">
        <f t="shared" si="16"/>
        <v>0</v>
      </c>
      <c r="O23" s="14"/>
      <c r="P23" s="1">
        <f>SUM(OSRRefP22_0x_0)</f>
        <v>702.51</v>
      </c>
      <c r="Q23" s="1"/>
      <c r="R23" s="5">
        <f t="shared" si="17"/>
        <v>0.72058959288549718</v>
      </c>
      <c r="S23" s="1"/>
      <c r="T23" s="1">
        <f>SUM(OSRRefT22_0x_0)</f>
        <v>0</v>
      </c>
      <c r="U23" s="1"/>
      <c r="V23" s="5">
        <f t="shared" si="18"/>
        <v>0</v>
      </c>
      <c r="W23" s="1"/>
      <c r="X23" s="1">
        <f t="shared" si="19"/>
        <v>702.51</v>
      </c>
      <c r="Y23" s="1"/>
      <c r="Z23" s="5">
        <f t="shared" si="20"/>
        <v>0</v>
      </c>
    </row>
    <row r="24" spans="1:26" s="24" customFormat="1" hidden="1" outlineLevel="2" x14ac:dyDescent="0.35">
      <c r="A24" s="29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3"/>
        <v>0</v>
      </c>
      <c r="G24" s="2"/>
      <c r="H24" s="7">
        <v>0</v>
      </c>
      <c r="I24" s="2"/>
      <c r="J24" s="6">
        <f t="shared" si="14"/>
        <v>0</v>
      </c>
      <c r="K24" s="2"/>
      <c r="L24" s="7">
        <f t="shared" si="15"/>
        <v>0</v>
      </c>
      <c r="M24" s="2"/>
      <c r="N24" s="6">
        <f t="shared" si="16"/>
        <v>0</v>
      </c>
      <c r="O24" s="11"/>
      <c r="P24" s="7"/>
      <c r="Q24" s="2"/>
      <c r="R24" s="6">
        <f t="shared" si="17"/>
        <v>0</v>
      </c>
      <c r="S24" s="2"/>
      <c r="T24" s="7">
        <v>0</v>
      </c>
      <c r="U24" s="2"/>
      <c r="V24" s="6">
        <f t="shared" si="18"/>
        <v>0</v>
      </c>
      <c r="W24" s="2"/>
      <c r="X24" s="7">
        <f t="shared" si="19"/>
        <v>0</v>
      </c>
      <c r="Y24" s="2"/>
      <c r="Z24" s="6">
        <f t="shared" si="20"/>
        <v>0</v>
      </c>
    </row>
    <row r="25" spans="1:26" s="24" customFormat="1" hidden="1" outlineLevel="2" x14ac:dyDescent="0.3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3"/>
        <v>0</v>
      </c>
      <c r="G25" s="2"/>
      <c r="H25" s="7">
        <v>0</v>
      </c>
      <c r="I25" s="2"/>
      <c r="J25" s="6">
        <f t="shared" si="14"/>
        <v>0</v>
      </c>
      <c r="K25" s="2"/>
      <c r="L25" s="7">
        <f t="shared" si="15"/>
        <v>0</v>
      </c>
      <c r="M25" s="2"/>
      <c r="N25" s="6">
        <f t="shared" si="16"/>
        <v>0</v>
      </c>
      <c r="O25" s="11"/>
      <c r="P25" s="7"/>
      <c r="Q25" s="2"/>
      <c r="R25" s="6">
        <f t="shared" si="17"/>
        <v>0</v>
      </c>
      <c r="S25" s="2"/>
      <c r="T25" s="7">
        <v>0</v>
      </c>
      <c r="U25" s="2"/>
      <c r="V25" s="6">
        <f t="shared" si="18"/>
        <v>0</v>
      </c>
      <c r="W25" s="2"/>
      <c r="X25" s="7">
        <f t="shared" si="19"/>
        <v>0</v>
      </c>
      <c r="Y25" s="2"/>
      <c r="Z25" s="6">
        <f t="shared" si="20"/>
        <v>0</v>
      </c>
    </row>
    <row r="26" spans="1:26" s="24" customFormat="1" hidden="1" outlineLevel="2" x14ac:dyDescent="0.35">
      <c r="A26" s="29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3"/>
        <v>0</v>
      </c>
      <c r="G26" s="2"/>
      <c r="H26" s="7">
        <v>0</v>
      </c>
      <c r="I26" s="2"/>
      <c r="J26" s="6">
        <f t="shared" si="14"/>
        <v>0</v>
      </c>
      <c r="K26" s="2"/>
      <c r="L26" s="7">
        <f t="shared" si="15"/>
        <v>0</v>
      </c>
      <c r="M26" s="2"/>
      <c r="N26" s="6">
        <f t="shared" si="16"/>
        <v>0</v>
      </c>
      <c r="O26" s="11"/>
      <c r="P26" s="7">
        <v>702.51</v>
      </c>
      <c r="Q26" s="2"/>
      <c r="R26" s="6">
        <f t="shared" si="17"/>
        <v>0.72058959288549718</v>
      </c>
      <c r="S26" s="2"/>
      <c r="T26" s="7">
        <v>0</v>
      </c>
      <c r="U26" s="2"/>
      <c r="V26" s="6">
        <f t="shared" si="18"/>
        <v>0</v>
      </c>
      <c r="W26" s="2"/>
      <c r="X26" s="7">
        <f t="shared" si="19"/>
        <v>702.51</v>
      </c>
      <c r="Y26" s="2"/>
      <c r="Z26" s="6">
        <f t="shared" si="20"/>
        <v>0</v>
      </c>
    </row>
    <row r="27" spans="1:26" s="24" customFormat="1" hidden="1" outlineLevel="2" x14ac:dyDescent="0.3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3"/>
        <v>0</v>
      </c>
      <c r="G27" s="2"/>
      <c r="H27" s="7">
        <v>0</v>
      </c>
      <c r="I27" s="2"/>
      <c r="J27" s="6">
        <f t="shared" si="14"/>
        <v>0</v>
      </c>
      <c r="K27" s="2"/>
      <c r="L27" s="7">
        <f t="shared" si="15"/>
        <v>0</v>
      </c>
      <c r="M27" s="2"/>
      <c r="N27" s="6">
        <f t="shared" si="16"/>
        <v>0</v>
      </c>
      <c r="O27" s="11"/>
      <c r="P27" s="7"/>
      <c r="Q27" s="2"/>
      <c r="R27" s="6">
        <f t="shared" si="17"/>
        <v>0</v>
      </c>
      <c r="S27" s="2"/>
      <c r="T27" s="7">
        <v>0</v>
      </c>
      <c r="U27" s="2"/>
      <c r="V27" s="6">
        <f t="shared" si="18"/>
        <v>0</v>
      </c>
      <c r="W27" s="2"/>
      <c r="X27" s="7">
        <f t="shared" si="19"/>
        <v>0</v>
      </c>
      <c r="Y27" s="2"/>
      <c r="Z27" s="6">
        <f t="shared" si="20"/>
        <v>0</v>
      </c>
    </row>
    <row r="28" spans="1:26" s="24" customFormat="1" hidden="1" outlineLevel="2" x14ac:dyDescent="0.35">
      <c r="A28" s="29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3"/>
        <v>0</v>
      </c>
      <c r="G28" s="2"/>
      <c r="H28" s="7">
        <v>0</v>
      </c>
      <c r="I28" s="2"/>
      <c r="J28" s="6">
        <f t="shared" si="14"/>
        <v>0</v>
      </c>
      <c r="K28" s="2"/>
      <c r="L28" s="7">
        <f t="shared" si="15"/>
        <v>0</v>
      </c>
      <c r="M28" s="2"/>
      <c r="N28" s="6">
        <f t="shared" si="16"/>
        <v>0</v>
      </c>
      <c r="O28" s="11"/>
      <c r="P28" s="7"/>
      <c r="Q28" s="2"/>
      <c r="R28" s="6">
        <f t="shared" si="17"/>
        <v>0</v>
      </c>
      <c r="S28" s="2"/>
      <c r="T28" s="7">
        <v>0</v>
      </c>
      <c r="U28" s="2"/>
      <c r="V28" s="6">
        <f t="shared" si="18"/>
        <v>0</v>
      </c>
      <c r="W28" s="2"/>
      <c r="X28" s="7">
        <f t="shared" si="19"/>
        <v>0</v>
      </c>
      <c r="Y28" s="2"/>
      <c r="Z28" s="6">
        <f t="shared" si="20"/>
        <v>0</v>
      </c>
    </row>
    <row r="29" spans="1:26" s="24" customFormat="1" hidden="1" outlineLevel="2" x14ac:dyDescent="0.35">
      <c r="A29" s="29"/>
      <c r="B29" s="11" t="str">
        <f>CONCATENATE("          ", "6116", " - ", "EDUCATIONAL BENEFITS")</f>
        <v xml:space="preserve">          6116 - EDUCATIONAL BENEFITS</v>
      </c>
      <c r="C29" s="11"/>
      <c r="D29" s="7"/>
      <c r="E29" s="2"/>
      <c r="F29" s="6">
        <f t="shared" si="13"/>
        <v>0</v>
      </c>
      <c r="G29" s="2"/>
      <c r="H29" s="7">
        <v>0</v>
      </c>
      <c r="I29" s="2"/>
      <c r="J29" s="6">
        <f t="shared" si="14"/>
        <v>0</v>
      </c>
      <c r="K29" s="2"/>
      <c r="L29" s="7">
        <f t="shared" si="15"/>
        <v>0</v>
      </c>
      <c r="M29" s="2"/>
      <c r="N29" s="6">
        <f t="shared" si="16"/>
        <v>0</v>
      </c>
      <c r="O29" s="11"/>
      <c r="P29" s="7"/>
      <c r="Q29" s="2"/>
      <c r="R29" s="6">
        <f t="shared" si="17"/>
        <v>0</v>
      </c>
      <c r="S29" s="2"/>
      <c r="T29" s="7">
        <v>0</v>
      </c>
      <c r="U29" s="2"/>
      <c r="V29" s="6">
        <f t="shared" si="18"/>
        <v>0</v>
      </c>
      <c r="W29" s="2"/>
      <c r="X29" s="7">
        <f t="shared" si="19"/>
        <v>0</v>
      </c>
      <c r="Y29" s="2"/>
      <c r="Z29" s="6">
        <f t="shared" si="20"/>
        <v>0</v>
      </c>
    </row>
    <row r="30" spans="1:26" s="24" customFormat="1" hidden="1" outlineLevel="2" x14ac:dyDescent="0.35">
      <c r="A30" s="29"/>
      <c r="B30" s="11" t="str">
        <f>CONCATENATE("          ", "6118", " - ", "VACATION")</f>
        <v xml:space="preserve">          6118 - VACATION</v>
      </c>
      <c r="C30" s="11"/>
      <c r="D30" s="7"/>
      <c r="E30" s="2"/>
      <c r="F30" s="6">
        <f t="shared" si="13"/>
        <v>0</v>
      </c>
      <c r="G30" s="2"/>
      <c r="H30" s="7">
        <v>0</v>
      </c>
      <c r="I30" s="2"/>
      <c r="J30" s="6">
        <f t="shared" si="14"/>
        <v>0</v>
      </c>
      <c r="K30" s="2"/>
      <c r="L30" s="7">
        <f t="shared" si="15"/>
        <v>0</v>
      </c>
      <c r="M30" s="2"/>
      <c r="N30" s="6">
        <f t="shared" si="16"/>
        <v>0</v>
      </c>
      <c r="O30" s="11"/>
      <c r="P30" s="7"/>
      <c r="Q30" s="2"/>
      <c r="R30" s="6">
        <f t="shared" si="17"/>
        <v>0</v>
      </c>
      <c r="S30" s="2"/>
      <c r="T30" s="7">
        <v>0</v>
      </c>
      <c r="U30" s="2"/>
      <c r="V30" s="6">
        <f t="shared" si="18"/>
        <v>0</v>
      </c>
      <c r="W30" s="2"/>
      <c r="X30" s="7">
        <f t="shared" si="19"/>
        <v>0</v>
      </c>
      <c r="Y30" s="2"/>
      <c r="Z30" s="6">
        <f t="shared" si="20"/>
        <v>0</v>
      </c>
    </row>
    <row r="31" spans="1:26" s="24" customFormat="1" hidden="1" outlineLevel="2" x14ac:dyDescent="0.35">
      <c r="A31" s="29"/>
      <c r="B31" s="11" t="str">
        <f>CONCATENATE("          ", "6119", " - ", "SICK LEAVE")</f>
        <v xml:space="preserve">          6119 - SICK LEAVE</v>
      </c>
      <c r="C31" s="11"/>
      <c r="D31" s="7"/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/>
      <c r="Q31" s="2"/>
      <c r="R31" s="6">
        <f t="shared" si="17"/>
        <v>0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0</v>
      </c>
      <c r="Y31" s="2"/>
      <c r="Z31" s="6">
        <f t="shared" si="20"/>
        <v>0</v>
      </c>
    </row>
    <row r="32" spans="1:26" s="24" customFormat="1" hidden="1" outlineLevel="2" x14ac:dyDescent="0.35">
      <c r="A32" s="29"/>
      <c r="B32" s="11" t="str">
        <f>CONCATENATE("          ", "6156", " - ", "EMPLOYEE MEALS")</f>
        <v xml:space="preserve">          6156 - EMPLOYEE MEALS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8" customFormat="1" outlineLevel="1" collapsed="1" x14ac:dyDescent="0.35">
      <c r="A33" s="27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0</v>
      </c>
      <c r="E33" s="1"/>
      <c r="F33" s="5">
        <f t="shared" ref="F33:F43" si="21">IF(D$12=0,0,D33/D$12)</f>
        <v>0</v>
      </c>
      <c r="G33" s="1"/>
      <c r="H33" s="1">
        <f>SUM(OSRRefH22_1x_0)</f>
        <v>0</v>
      </c>
      <c r="I33" s="1"/>
      <c r="J33" s="5">
        <f t="shared" ref="J33:J43" si="22">IF(H$12=0,0,H33/H$12)</f>
        <v>0</v>
      </c>
      <c r="K33" s="1"/>
      <c r="L33" s="1">
        <f t="shared" ref="L33:L43" si="23">+D33-H33</f>
        <v>0</v>
      </c>
      <c r="M33" s="1"/>
      <c r="N33" s="5">
        <f t="shared" ref="N33:N43" si="24">IF(H33=0,0,L33/H33)</f>
        <v>0</v>
      </c>
      <c r="O33" s="14"/>
      <c r="P33" s="1">
        <f>SUM(OSRRefP22_1x_0)</f>
        <v>0</v>
      </c>
      <c r="Q33" s="1"/>
      <c r="R33" s="5">
        <f t="shared" ref="R33:R43" si="25">IF(P$12=0,0,P33/P$12)</f>
        <v>0</v>
      </c>
      <c r="S33" s="1"/>
      <c r="T33" s="1">
        <f>SUM(OSRRefT22_1x_0)</f>
        <v>0</v>
      </c>
      <c r="U33" s="1"/>
      <c r="V33" s="5">
        <f t="shared" ref="V33:V43" si="26">IF(T$12=0,0,T33/T$12)</f>
        <v>0</v>
      </c>
      <c r="W33" s="1"/>
      <c r="X33" s="1">
        <f t="shared" ref="X33:X43" si="27">+P33-T33</f>
        <v>0</v>
      </c>
      <c r="Y33" s="1"/>
      <c r="Z33" s="5">
        <f t="shared" ref="Z33:Z43" si="28">IF(T33=0,0,X33/T33)</f>
        <v>0</v>
      </c>
    </row>
    <row r="34" spans="1:26" s="24" customFormat="1" hidden="1" outlineLevel="2" x14ac:dyDescent="0.35">
      <c r="A34" s="29"/>
      <c r="B34" s="11" t="str">
        <f>CONCATENATE("          ", "6001", " - ", "ADMINISTRATIVE SALARIES")</f>
        <v xml:space="preserve">          6001 - ADMINISTRATIVE SALARIES</v>
      </c>
      <c r="C34" s="11"/>
      <c r="D34" s="7"/>
      <c r="E34" s="2"/>
      <c r="F34" s="6">
        <f t="shared" si="21"/>
        <v>0</v>
      </c>
      <c r="G34" s="2"/>
      <c r="H34" s="7">
        <v>0</v>
      </c>
      <c r="I34" s="2"/>
      <c r="J34" s="6">
        <f t="shared" si="22"/>
        <v>0</v>
      </c>
      <c r="K34" s="2"/>
      <c r="L34" s="7">
        <f t="shared" si="23"/>
        <v>0</v>
      </c>
      <c r="M34" s="2"/>
      <c r="N34" s="6">
        <f t="shared" si="24"/>
        <v>0</v>
      </c>
      <c r="O34" s="11"/>
      <c r="P34" s="7"/>
      <c r="Q34" s="2"/>
      <c r="R34" s="6">
        <f t="shared" si="25"/>
        <v>0</v>
      </c>
      <c r="S34" s="2"/>
      <c r="T34" s="7">
        <v>0</v>
      </c>
      <c r="U34" s="2"/>
      <c r="V34" s="6">
        <f t="shared" si="26"/>
        <v>0</v>
      </c>
      <c r="W34" s="2"/>
      <c r="X34" s="7">
        <f t="shared" si="27"/>
        <v>0</v>
      </c>
      <c r="Y34" s="2"/>
      <c r="Z34" s="6">
        <f t="shared" si="28"/>
        <v>0</v>
      </c>
    </row>
    <row r="35" spans="1:26" s="24" customFormat="1" hidden="1" outlineLevel="2" x14ac:dyDescent="0.35">
      <c r="A35" s="29"/>
      <c r="B35" s="11" t="str">
        <f>CONCATENATE("          ", "6002", " - ", "STAFF SALARIES")</f>
        <v xml:space="preserve">          6002 - STAFF SALARIES</v>
      </c>
      <c r="C35" s="11"/>
      <c r="D35" s="7"/>
      <c r="E35" s="2"/>
      <c r="F35" s="6">
        <f t="shared" si="21"/>
        <v>0</v>
      </c>
      <c r="G35" s="2"/>
      <c r="H35" s="7">
        <v>0</v>
      </c>
      <c r="I35" s="2"/>
      <c r="J35" s="6">
        <f t="shared" si="22"/>
        <v>0</v>
      </c>
      <c r="K35" s="2"/>
      <c r="L35" s="7">
        <f t="shared" si="23"/>
        <v>0</v>
      </c>
      <c r="M35" s="2"/>
      <c r="N35" s="6">
        <f t="shared" si="24"/>
        <v>0</v>
      </c>
      <c r="O35" s="11"/>
      <c r="P35" s="7"/>
      <c r="Q35" s="2"/>
      <c r="R35" s="6">
        <f t="shared" si="25"/>
        <v>0</v>
      </c>
      <c r="S35" s="2"/>
      <c r="T35" s="7">
        <v>0</v>
      </c>
      <c r="U35" s="2"/>
      <c r="V35" s="6">
        <f t="shared" si="26"/>
        <v>0</v>
      </c>
      <c r="W35" s="2"/>
      <c r="X35" s="7">
        <f t="shared" si="27"/>
        <v>0</v>
      </c>
      <c r="Y35" s="2"/>
      <c r="Z35" s="6">
        <f t="shared" si="28"/>
        <v>0</v>
      </c>
    </row>
    <row r="36" spans="1:26" s="24" customFormat="1" hidden="1" outlineLevel="2" x14ac:dyDescent="0.35">
      <c r="A36" s="29"/>
      <c r="B36" s="11" t="str">
        <f>CONCATENATE("          ", "6003", " - ", "STAFF HOURLY-9 MONTH")</f>
        <v xml:space="preserve">          6003 - STAFF HOURLY-9 MONTH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/>
      <c r="Q36" s="2"/>
      <c r="R36" s="6">
        <f t="shared" si="25"/>
        <v>0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0</v>
      </c>
      <c r="Y36" s="2"/>
      <c r="Z36" s="6">
        <f t="shared" si="28"/>
        <v>0</v>
      </c>
    </row>
    <row r="37" spans="1:26" s="24" customFormat="1" hidden="1" outlineLevel="2" x14ac:dyDescent="0.35">
      <c r="A37" s="29"/>
      <c r="B37" s="11" t="str">
        <f>CONCATENATE("          ", "6004", " - ", "STAFF HOURLY")</f>
        <v xml:space="preserve">          6004 - STAFF HOURLY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/>
      <c r="Q37" s="2"/>
      <c r="R37" s="6">
        <f t="shared" si="25"/>
        <v>0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0</v>
      </c>
      <c r="Y37" s="2"/>
      <c r="Z37" s="6">
        <f t="shared" si="28"/>
        <v>0</v>
      </c>
    </row>
    <row r="38" spans="1:26" s="24" customFormat="1" hidden="1" outlineLevel="2" x14ac:dyDescent="0.35">
      <c r="A38" s="29"/>
      <c r="B38" s="11" t="str">
        <f>CONCATENATE("          ", "6005", " - ", "TEMPORARY WAGES-HOURLY")</f>
        <v xml:space="preserve">          6005 - TEMPORARY WAGES-HOURLY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35">
      <c r="A39" s="29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/>
      <c r="Q39" s="2"/>
      <c r="R39" s="6">
        <f t="shared" si="25"/>
        <v>0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0</v>
      </c>
      <c r="Y39" s="2"/>
      <c r="Z39" s="6">
        <f t="shared" si="28"/>
        <v>0</v>
      </c>
    </row>
    <row r="40" spans="1:26" s="24" customFormat="1" hidden="1" outlineLevel="2" x14ac:dyDescent="0.35">
      <c r="A40" s="29"/>
      <c r="B40" s="11" t="str">
        <f>CONCATENATE("          ", "6007", " - ", "STUDENT HOURLY")</f>
        <v xml:space="preserve">          6007 - STUDENT HOURLY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35">
      <c r="A41" s="29"/>
      <c r="B41" s="11" t="str">
        <f>CONCATENATE("          ", "6008", " - ", "STUDENT HOURLY-FICA EXEMPT")</f>
        <v xml:space="preserve">          6008 - STUDENT HOURLY-FICA EXEMPT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/>
      <c r="Q41" s="2"/>
      <c r="R41" s="6">
        <f t="shared" si="25"/>
        <v>0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0</v>
      </c>
      <c r="Y41" s="2"/>
      <c r="Z41" s="6">
        <f t="shared" si="28"/>
        <v>0</v>
      </c>
    </row>
    <row r="42" spans="1:26" s="24" customFormat="1" hidden="1" outlineLevel="2" x14ac:dyDescent="0.35">
      <c r="A42" s="29"/>
      <c r="B42" s="11" t="str">
        <f>CONCATENATE("          ", "6009", " - ", "TEMPORARY-SEASONAL")</f>
        <v xml:space="preserve">          6009 - TEMPORARY-SEASONAL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/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35">
      <c r="A43" s="29"/>
      <c r="B43" s="11" t="str">
        <f>CONCATENATE("          ", "6010", " - ", "GRATUITY")</f>
        <v xml:space="preserve">          6010 - GRATUITY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8" customFormat="1" outlineLevel="1" collapsed="1" x14ac:dyDescent="0.35">
      <c r="A44" s="27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58" si="29">IF(D$12=0,0,D44/D$12)</f>
        <v>0</v>
      </c>
      <c r="G44" s="1"/>
      <c r="H44" s="1">
        <f>SUM(OSRRefH22_2x_0)</f>
        <v>0</v>
      </c>
      <c r="I44" s="1"/>
      <c r="J44" s="5">
        <f t="shared" ref="J44:J58" si="30">IF(H$12=0,0,H44/H$12)</f>
        <v>0</v>
      </c>
      <c r="K44" s="1"/>
      <c r="L44" s="1">
        <f t="shared" ref="L44:L58" si="31">+D44-H44</f>
        <v>0</v>
      </c>
      <c r="M44" s="1"/>
      <c r="N44" s="5">
        <f t="shared" ref="N44:N58" si="32">IF(H44=0,0,L44/H44)</f>
        <v>0</v>
      </c>
      <c r="O44" s="14"/>
      <c r="P44" s="1">
        <f>SUM(OSRRefP22_2x_0)</f>
        <v>0</v>
      </c>
      <c r="Q44" s="1"/>
      <c r="R44" s="5">
        <f t="shared" ref="R44:R58" si="33">IF(P$12=0,0,P44/P$12)</f>
        <v>0</v>
      </c>
      <c r="S44" s="1"/>
      <c r="T44" s="1">
        <f>SUM(OSRRefT22_2x_0)</f>
        <v>0</v>
      </c>
      <c r="U44" s="1"/>
      <c r="V44" s="5">
        <f t="shared" ref="V44:V58" si="34">IF(T$12=0,0,T44/T$12)</f>
        <v>0</v>
      </c>
      <c r="W44" s="1"/>
      <c r="X44" s="1">
        <f t="shared" ref="X44:X58" si="35">+P44-T44</f>
        <v>0</v>
      </c>
      <c r="Y44" s="1"/>
      <c r="Z44" s="5">
        <f t="shared" ref="Z44:Z58" si="36">IF(T44=0,0,X44/T44)</f>
        <v>0</v>
      </c>
    </row>
    <row r="45" spans="1:26" s="24" customFormat="1" hidden="1" outlineLevel="2" x14ac:dyDescent="0.35">
      <c r="A45" s="29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29"/>
        <v>0</v>
      </c>
      <c r="G45" s="2"/>
      <c r="H45" s="7">
        <v>0</v>
      </c>
      <c r="I45" s="2"/>
      <c r="J45" s="6">
        <f t="shared" si="30"/>
        <v>0</v>
      </c>
      <c r="K45" s="2"/>
      <c r="L45" s="7">
        <f t="shared" si="31"/>
        <v>0</v>
      </c>
      <c r="M45" s="2"/>
      <c r="N45" s="6">
        <f t="shared" si="32"/>
        <v>0</v>
      </c>
      <c r="O45" s="11"/>
      <c r="P45" s="7"/>
      <c r="Q45" s="2"/>
      <c r="R45" s="6">
        <f t="shared" si="33"/>
        <v>0</v>
      </c>
      <c r="S45" s="2"/>
      <c r="T45" s="7">
        <v>0</v>
      </c>
      <c r="U45" s="2"/>
      <c r="V45" s="6">
        <f t="shared" si="34"/>
        <v>0</v>
      </c>
      <c r="W45" s="2"/>
      <c r="X45" s="7">
        <f t="shared" si="35"/>
        <v>0</v>
      </c>
      <c r="Y45" s="2"/>
      <c r="Z45" s="6">
        <f t="shared" si="36"/>
        <v>0</v>
      </c>
    </row>
    <row r="46" spans="1:26" s="28" customFormat="1" outlineLevel="1" collapsed="1" x14ac:dyDescent="0.35">
      <c r="A46" s="27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SUM(OSRRefD22_3x_0)</f>
        <v>0</v>
      </c>
      <c r="E46" s="1"/>
      <c r="F46" s="5">
        <f t="shared" si="29"/>
        <v>0</v>
      </c>
      <c r="G46" s="1"/>
      <c r="H46" s="1">
        <f>SUM(OSRRefH22_3x_0)</f>
        <v>0</v>
      </c>
      <c r="I46" s="1"/>
      <c r="J46" s="5">
        <f t="shared" si="30"/>
        <v>0</v>
      </c>
      <c r="K46" s="1"/>
      <c r="L46" s="1">
        <f t="shared" si="31"/>
        <v>0</v>
      </c>
      <c r="M46" s="1"/>
      <c r="N46" s="5">
        <f t="shared" si="32"/>
        <v>0</v>
      </c>
      <c r="O46" s="14"/>
      <c r="P46" s="1">
        <f>SUM(OSRRefP22_3x_0)</f>
        <v>0</v>
      </c>
      <c r="Q46" s="1"/>
      <c r="R46" s="5">
        <f t="shared" si="33"/>
        <v>0</v>
      </c>
      <c r="S46" s="1"/>
      <c r="T46" s="1">
        <f>SUM(OSRRefT22_3x_0)</f>
        <v>0</v>
      </c>
      <c r="U46" s="1"/>
      <c r="V46" s="5">
        <f t="shared" si="34"/>
        <v>0</v>
      </c>
      <c r="W46" s="1"/>
      <c r="X46" s="1">
        <f t="shared" si="35"/>
        <v>0</v>
      </c>
      <c r="Y46" s="1"/>
      <c r="Z46" s="5">
        <f t="shared" si="36"/>
        <v>0</v>
      </c>
    </row>
    <row r="47" spans="1:26" s="24" customFormat="1" hidden="1" outlineLevel="2" x14ac:dyDescent="0.35">
      <c r="A47" s="29"/>
      <c r="B47" s="11" t="str">
        <f>CONCATENATE("          ", "6381", " - ", "BANK/CREDIT CARD FEES")</f>
        <v xml:space="preserve">          6381 - BANK/CREDIT CARD FEES</v>
      </c>
      <c r="C47" s="11"/>
      <c r="D47" s="7"/>
      <c r="E47" s="2"/>
      <c r="F47" s="6">
        <f t="shared" si="29"/>
        <v>0</v>
      </c>
      <c r="G47" s="2"/>
      <c r="H47" s="7">
        <v>0</v>
      </c>
      <c r="I47" s="2"/>
      <c r="J47" s="6">
        <f t="shared" si="30"/>
        <v>0</v>
      </c>
      <c r="K47" s="2"/>
      <c r="L47" s="7">
        <f t="shared" si="31"/>
        <v>0</v>
      </c>
      <c r="M47" s="2"/>
      <c r="N47" s="6">
        <f t="shared" si="32"/>
        <v>0</v>
      </c>
      <c r="O47" s="11"/>
      <c r="P47" s="7"/>
      <c r="Q47" s="2"/>
      <c r="R47" s="6">
        <f t="shared" si="33"/>
        <v>0</v>
      </c>
      <c r="S47" s="2"/>
      <c r="T47" s="7">
        <v>0</v>
      </c>
      <c r="U47" s="2"/>
      <c r="V47" s="6">
        <f t="shared" si="34"/>
        <v>0</v>
      </c>
      <c r="W47" s="2"/>
      <c r="X47" s="7">
        <f t="shared" si="35"/>
        <v>0</v>
      </c>
      <c r="Y47" s="2"/>
      <c r="Z47" s="6">
        <f t="shared" si="36"/>
        <v>0</v>
      </c>
    </row>
    <row r="48" spans="1:26" s="28" customFormat="1" outlineLevel="1" collapsed="1" x14ac:dyDescent="0.35">
      <c r="A48" s="27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SUM(OSRRefD22_4x_0)</f>
        <v>1825.26</v>
      </c>
      <c r="E48" s="1"/>
      <c r="F48" s="5">
        <f t="shared" si="29"/>
        <v>0</v>
      </c>
      <c r="G48" s="1"/>
      <c r="H48" s="1">
        <f>SUM(OSRRefH22_4x_0)</f>
        <v>1972</v>
      </c>
      <c r="I48" s="1"/>
      <c r="J48" s="5">
        <f t="shared" si="30"/>
        <v>0</v>
      </c>
      <c r="K48" s="1"/>
      <c r="L48" s="1">
        <f t="shared" si="31"/>
        <v>-146.74</v>
      </c>
      <c r="M48" s="1"/>
      <c r="N48" s="5">
        <f t="shared" si="32"/>
        <v>-7.4411764705882358E-2</v>
      </c>
      <c r="O48" s="14"/>
      <c r="P48" s="1">
        <f>SUM(OSRRefP22_4x_0)</f>
        <v>12923.61</v>
      </c>
      <c r="Q48" s="1"/>
      <c r="R48" s="5">
        <f t="shared" si="33"/>
        <v>13.256208265378344</v>
      </c>
      <c r="S48" s="1"/>
      <c r="T48" s="1">
        <f>SUM(OSRRefT22_4x_0)</f>
        <v>13804</v>
      </c>
      <c r="U48" s="1"/>
      <c r="V48" s="5">
        <f t="shared" si="34"/>
        <v>0</v>
      </c>
      <c r="W48" s="1"/>
      <c r="X48" s="1">
        <f t="shared" si="35"/>
        <v>-880.38999999999942</v>
      </c>
      <c r="Y48" s="1"/>
      <c r="Z48" s="5">
        <f t="shared" si="36"/>
        <v>-6.3777890466531401E-2</v>
      </c>
    </row>
    <row r="49" spans="1:26" s="24" customFormat="1" hidden="1" outlineLevel="2" x14ac:dyDescent="0.35">
      <c r="A49" s="29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1825.26</v>
      </c>
      <c r="E49" s="2"/>
      <c r="F49" s="6">
        <f t="shared" si="29"/>
        <v>0</v>
      </c>
      <c r="G49" s="2"/>
      <c r="H49" s="7">
        <v>1972</v>
      </c>
      <c r="I49" s="2"/>
      <c r="J49" s="6">
        <f t="shared" si="30"/>
        <v>0</v>
      </c>
      <c r="K49" s="2"/>
      <c r="L49" s="7">
        <f t="shared" si="31"/>
        <v>-146.74</v>
      </c>
      <c r="M49" s="2"/>
      <c r="N49" s="6">
        <f t="shared" si="32"/>
        <v>-7.4411764705882358E-2</v>
      </c>
      <c r="O49" s="11"/>
      <c r="P49" s="7">
        <v>12923.61</v>
      </c>
      <c r="Q49" s="2"/>
      <c r="R49" s="6">
        <f t="shared" si="33"/>
        <v>13.256208265378344</v>
      </c>
      <c r="S49" s="2"/>
      <c r="T49" s="7">
        <v>13804</v>
      </c>
      <c r="U49" s="2"/>
      <c r="V49" s="6">
        <f t="shared" si="34"/>
        <v>0</v>
      </c>
      <c r="W49" s="2"/>
      <c r="X49" s="7">
        <f t="shared" si="35"/>
        <v>-880.38999999999942</v>
      </c>
      <c r="Y49" s="2"/>
      <c r="Z49" s="6">
        <f t="shared" si="36"/>
        <v>-6.3777890466531401E-2</v>
      </c>
    </row>
    <row r="50" spans="1:26" s="28" customFormat="1" outlineLevel="1" collapsed="1" x14ac:dyDescent="0.35">
      <c r="A50" s="27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SUM(OSRRefD22_5x_0)</f>
        <v>0</v>
      </c>
      <c r="E50" s="1"/>
      <c r="F50" s="5">
        <f t="shared" si="29"/>
        <v>0</v>
      </c>
      <c r="G50" s="1"/>
      <c r="H50" s="1">
        <f>SUM(OSRRefH22_5x_0)</f>
        <v>0</v>
      </c>
      <c r="I50" s="1"/>
      <c r="J50" s="5">
        <f t="shared" si="30"/>
        <v>0</v>
      </c>
      <c r="K50" s="1"/>
      <c r="L50" s="1">
        <f t="shared" si="31"/>
        <v>0</v>
      </c>
      <c r="M50" s="1"/>
      <c r="N50" s="5">
        <f t="shared" si="32"/>
        <v>0</v>
      </c>
      <c r="O50" s="14"/>
      <c r="P50" s="1">
        <f>SUM(OSRRefP22_5x_0)</f>
        <v>0</v>
      </c>
      <c r="Q50" s="1"/>
      <c r="R50" s="5">
        <f t="shared" si="33"/>
        <v>0</v>
      </c>
      <c r="S50" s="1"/>
      <c r="T50" s="1">
        <f>SUM(OSRRefT22_5x_0)</f>
        <v>0</v>
      </c>
      <c r="U50" s="1"/>
      <c r="V50" s="5">
        <f t="shared" si="34"/>
        <v>0</v>
      </c>
      <c r="W50" s="1"/>
      <c r="X50" s="1">
        <f t="shared" si="35"/>
        <v>0</v>
      </c>
      <c r="Y50" s="1"/>
      <c r="Z50" s="5">
        <f t="shared" si="36"/>
        <v>0</v>
      </c>
    </row>
    <row r="51" spans="1:26" s="24" customFormat="1" hidden="1" outlineLevel="2" x14ac:dyDescent="0.35">
      <c r="A51" s="29"/>
      <c r="B51" s="11" t="str">
        <f>CONCATENATE("          ", "6277", " - ", "EMPLOYEE APPRECIATION")</f>
        <v xml:space="preserve">          6277 - EMPLOYEE APPRECIATION</v>
      </c>
      <c r="C51" s="11"/>
      <c r="D51" s="7"/>
      <c r="E51" s="2"/>
      <c r="F51" s="6">
        <f t="shared" si="29"/>
        <v>0</v>
      </c>
      <c r="G51" s="2"/>
      <c r="H51" s="7">
        <v>0</v>
      </c>
      <c r="I51" s="2"/>
      <c r="J51" s="6">
        <f t="shared" si="30"/>
        <v>0</v>
      </c>
      <c r="K51" s="2"/>
      <c r="L51" s="7">
        <f t="shared" si="31"/>
        <v>0</v>
      </c>
      <c r="M51" s="2"/>
      <c r="N51" s="6">
        <f t="shared" si="32"/>
        <v>0</v>
      </c>
      <c r="O51" s="11"/>
      <c r="P51" s="7"/>
      <c r="Q51" s="2"/>
      <c r="R51" s="6">
        <f t="shared" si="33"/>
        <v>0</v>
      </c>
      <c r="S51" s="2"/>
      <c r="T51" s="7">
        <v>0</v>
      </c>
      <c r="U51" s="2"/>
      <c r="V51" s="6">
        <f t="shared" si="34"/>
        <v>0</v>
      </c>
      <c r="W51" s="2"/>
      <c r="X51" s="7">
        <f t="shared" si="35"/>
        <v>0</v>
      </c>
      <c r="Y51" s="2"/>
      <c r="Z51" s="6">
        <f t="shared" si="36"/>
        <v>0</v>
      </c>
    </row>
    <row r="52" spans="1:26" s="28" customFormat="1" outlineLevel="1" collapsed="1" x14ac:dyDescent="0.35">
      <c r="A52" s="27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SUM(OSRRefD22_6x_0)</f>
        <v>0</v>
      </c>
      <c r="E52" s="1"/>
      <c r="F52" s="5">
        <f t="shared" si="29"/>
        <v>0</v>
      </c>
      <c r="G52" s="1"/>
      <c r="H52" s="1">
        <f>SUM(OSRRefH22_6x_0)</f>
        <v>0</v>
      </c>
      <c r="I52" s="1"/>
      <c r="J52" s="5">
        <f t="shared" si="30"/>
        <v>0</v>
      </c>
      <c r="K52" s="1"/>
      <c r="L52" s="1">
        <f t="shared" si="31"/>
        <v>0</v>
      </c>
      <c r="M52" s="1"/>
      <c r="N52" s="5">
        <f t="shared" si="32"/>
        <v>0</v>
      </c>
      <c r="O52" s="14"/>
      <c r="P52" s="1">
        <f>SUM(OSRRefP22_6x_0)</f>
        <v>96.3</v>
      </c>
      <c r="Q52" s="1"/>
      <c r="R52" s="5">
        <f t="shared" si="33"/>
        <v>9.8778348770655749E-2</v>
      </c>
      <c r="S52" s="1"/>
      <c r="T52" s="1">
        <f>SUM(OSRRefT22_6x_0)</f>
        <v>0</v>
      </c>
      <c r="U52" s="1"/>
      <c r="V52" s="5">
        <f t="shared" si="34"/>
        <v>0</v>
      </c>
      <c r="W52" s="1"/>
      <c r="X52" s="1">
        <f t="shared" si="35"/>
        <v>96.3</v>
      </c>
      <c r="Y52" s="1"/>
      <c r="Z52" s="5">
        <f t="shared" si="36"/>
        <v>0</v>
      </c>
    </row>
    <row r="53" spans="1:26" s="24" customFormat="1" hidden="1" outlineLevel="2" x14ac:dyDescent="0.35">
      <c r="A53" s="29"/>
      <c r="B53" s="11" t="str">
        <f>CONCATENATE("          ", "6351", " - ", "EQUIPMENT RENTAL")</f>
        <v xml:space="preserve">          6351 - EQUIPMENT RENTAL</v>
      </c>
      <c r="C53" s="11"/>
      <c r="D53" s="7"/>
      <c r="E53" s="2"/>
      <c r="F53" s="6">
        <f t="shared" si="29"/>
        <v>0</v>
      </c>
      <c r="G53" s="2"/>
      <c r="H53" s="7"/>
      <c r="I53" s="2"/>
      <c r="J53" s="6">
        <f t="shared" si="30"/>
        <v>0</v>
      </c>
      <c r="K53" s="2"/>
      <c r="L53" s="7">
        <f t="shared" si="31"/>
        <v>0</v>
      </c>
      <c r="M53" s="2"/>
      <c r="N53" s="6">
        <f t="shared" si="32"/>
        <v>0</v>
      </c>
      <c r="O53" s="11"/>
      <c r="P53" s="7">
        <v>96.3</v>
      </c>
      <c r="Q53" s="2"/>
      <c r="R53" s="6">
        <f t="shared" si="33"/>
        <v>9.8778348770655749E-2</v>
      </c>
      <c r="S53" s="2"/>
      <c r="T53" s="7"/>
      <c r="U53" s="2"/>
      <c r="V53" s="6">
        <f t="shared" si="34"/>
        <v>0</v>
      </c>
      <c r="W53" s="2"/>
      <c r="X53" s="7">
        <f t="shared" si="35"/>
        <v>96.3</v>
      </c>
      <c r="Y53" s="2"/>
      <c r="Z53" s="6">
        <f t="shared" si="36"/>
        <v>0</v>
      </c>
    </row>
    <row r="54" spans="1:26" s="28" customFormat="1" outlineLevel="1" collapsed="1" x14ac:dyDescent="0.35">
      <c r="A54" s="27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SUM(OSRRefD22_7x_0)</f>
        <v>0</v>
      </c>
      <c r="E54" s="1"/>
      <c r="F54" s="5">
        <f t="shared" si="29"/>
        <v>0</v>
      </c>
      <c r="G54" s="1"/>
      <c r="H54" s="1">
        <f>SUM(OSRRefH22_7x_0)</f>
        <v>0</v>
      </c>
      <c r="I54" s="1"/>
      <c r="J54" s="5">
        <f t="shared" si="30"/>
        <v>0</v>
      </c>
      <c r="K54" s="1"/>
      <c r="L54" s="1">
        <f t="shared" si="31"/>
        <v>0</v>
      </c>
      <c r="M54" s="1"/>
      <c r="N54" s="5">
        <f t="shared" si="32"/>
        <v>0</v>
      </c>
      <c r="O54" s="14"/>
      <c r="P54" s="1">
        <f>SUM(OSRRefP22_7x_0)</f>
        <v>7.28</v>
      </c>
      <c r="Q54" s="1"/>
      <c r="R54" s="5">
        <f t="shared" si="33"/>
        <v>7.467355961063073E-3</v>
      </c>
      <c r="S54" s="1"/>
      <c r="T54" s="1">
        <f>SUM(OSRRefT22_7x_0)</f>
        <v>0</v>
      </c>
      <c r="U54" s="1"/>
      <c r="V54" s="5">
        <f t="shared" si="34"/>
        <v>0</v>
      </c>
      <c r="W54" s="1"/>
      <c r="X54" s="1">
        <f t="shared" si="35"/>
        <v>7.28</v>
      </c>
      <c r="Y54" s="1"/>
      <c r="Z54" s="5">
        <f t="shared" si="36"/>
        <v>0</v>
      </c>
    </row>
    <row r="55" spans="1:26" s="24" customFormat="1" hidden="1" outlineLevel="2" x14ac:dyDescent="0.35">
      <c r="A55" s="29"/>
      <c r="B55" s="11" t="str">
        <f>CONCATENATE("          ", "6279", " - ", "GENERAL EXPENSE")</f>
        <v xml:space="preserve">          6279 - GENERAL EXPENSE</v>
      </c>
      <c r="C55" s="11"/>
      <c r="D55" s="7"/>
      <c r="E55" s="2"/>
      <c r="F55" s="6">
        <f t="shared" si="29"/>
        <v>0</v>
      </c>
      <c r="G55" s="2"/>
      <c r="H55" s="7"/>
      <c r="I55" s="2"/>
      <c r="J55" s="6">
        <f t="shared" si="30"/>
        <v>0</v>
      </c>
      <c r="K55" s="2"/>
      <c r="L55" s="7">
        <f t="shared" si="31"/>
        <v>0</v>
      </c>
      <c r="M55" s="2"/>
      <c r="N55" s="6">
        <f t="shared" si="32"/>
        <v>0</v>
      </c>
      <c r="O55" s="11"/>
      <c r="P55" s="7">
        <v>7.28</v>
      </c>
      <c r="Q55" s="2"/>
      <c r="R55" s="6">
        <f t="shared" si="33"/>
        <v>7.467355961063073E-3</v>
      </c>
      <c r="S55" s="2"/>
      <c r="T55" s="7">
        <v>0</v>
      </c>
      <c r="U55" s="2"/>
      <c r="V55" s="6">
        <f t="shared" si="34"/>
        <v>0</v>
      </c>
      <c r="W55" s="2"/>
      <c r="X55" s="7">
        <f t="shared" si="35"/>
        <v>7.28</v>
      </c>
      <c r="Y55" s="2"/>
      <c r="Z55" s="6">
        <f t="shared" si="36"/>
        <v>0</v>
      </c>
    </row>
    <row r="56" spans="1:26" s="28" customFormat="1" outlineLevel="1" collapsed="1" x14ac:dyDescent="0.35">
      <c r="A56" s="27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SUM(OSRRefD22_8x_0)</f>
        <v>0</v>
      </c>
      <c r="E56" s="1"/>
      <c r="F56" s="5">
        <f t="shared" si="29"/>
        <v>0</v>
      </c>
      <c r="G56" s="1"/>
      <c r="H56" s="1">
        <f>SUM(OSRRefH22_8x_0)</f>
        <v>0</v>
      </c>
      <c r="I56" s="1"/>
      <c r="J56" s="5">
        <f t="shared" si="30"/>
        <v>0</v>
      </c>
      <c r="K56" s="1"/>
      <c r="L56" s="1">
        <f t="shared" si="31"/>
        <v>0</v>
      </c>
      <c r="M56" s="1"/>
      <c r="N56" s="5">
        <f t="shared" si="32"/>
        <v>0</v>
      </c>
      <c r="O56" s="14"/>
      <c r="P56" s="1">
        <f>SUM(OSRRefP22_8x_0)</f>
        <v>498.46</v>
      </c>
      <c r="Q56" s="1"/>
      <c r="R56" s="5">
        <f t="shared" si="33"/>
        <v>0.51128822147685427</v>
      </c>
      <c r="S56" s="1"/>
      <c r="T56" s="1">
        <f>SUM(OSRRefT22_8x_0)</f>
        <v>0</v>
      </c>
      <c r="U56" s="1"/>
      <c r="V56" s="5">
        <f t="shared" si="34"/>
        <v>0</v>
      </c>
      <c r="W56" s="1"/>
      <c r="X56" s="1">
        <f t="shared" si="35"/>
        <v>498.46</v>
      </c>
      <c r="Y56" s="1"/>
      <c r="Z56" s="5">
        <f t="shared" si="36"/>
        <v>0</v>
      </c>
    </row>
    <row r="57" spans="1:26" s="24" customFormat="1" hidden="1" outlineLevel="2" x14ac:dyDescent="0.35">
      <c r="A57" s="29"/>
      <c r="B57" s="11" t="str">
        <f>CONCATENATE("          ", "6373", " - ", "MAINTENANCE CONTRACTS")</f>
        <v xml:space="preserve">          6373 - MAINTENANCE CONTRACTS</v>
      </c>
      <c r="C57" s="11"/>
      <c r="D57" s="7"/>
      <c r="E57" s="2"/>
      <c r="F57" s="6">
        <f t="shared" si="29"/>
        <v>0</v>
      </c>
      <c r="G57" s="2"/>
      <c r="H57" s="7"/>
      <c r="I57" s="2"/>
      <c r="J57" s="6">
        <f t="shared" si="30"/>
        <v>0</v>
      </c>
      <c r="K57" s="2"/>
      <c r="L57" s="7">
        <f t="shared" si="31"/>
        <v>0</v>
      </c>
      <c r="M57" s="2"/>
      <c r="N57" s="6">
        <f t="shared" si="32"/>
        <v>0</v>
      </c>
      <c r="O57" s="11"/>
      <c r="P57" s="7">
        <v>298.45999999999998</v>
      </c>
      <c r="Q57" s="2"/>
      <c r="R57" s="6">
        <f t="shared" si="33"/>
        <v>0.30614107968940724</v>
      </c>
      <c r="S57" s="2"/>
      <c r="T57" s="7"/>
      <c r="U57" s="2"/>
      <c r="V57" s="6">
        <f t="shared" si="34"/>
        <v>0</v>
      </c>
      <c r="W57" s="2"/>
      <c r="X57" s="7">
        <f t="shared" si="35"/>
        <v>298.45999999999998</v>
      </c>
      <c r="Y57" s="2"/>
      <c r="Z57" s="6">
        <f t="shared" si="36"/>
        <v>0</v>
      </c>
    </row>
    <row r="58" spans="1:26" s="24" customFormat="1" hidden="1" outlineLevel="2" x14ac:dyDescent="0.35">
      <c r="A58" s="29"/>
      <c r="B58" s="11" t="str">
        <f>CONCATENATE("          ", "6375", " - ", "OUTSIDE REPAIRS &amp; MAINTENANCE")</f>
        <v xml:space="preserve">          6375 - OUTSIDE REPAIRS &amp; MAINTENANCE</v>
      </c>
      <c r="C58" s="11"/>
      <c r="D58" s="7"/>
      <c r="E58" s="2"/>
      <c r="F58" s="6">
        <f t="shared" si="29"/>
        <v>0</v>
      </c>
      <c r="G58" s="2"/>
      <c r="H58" s="7"/>
      <c r="I58" s="2"/>
      <c r="J58" s="6">
        <f t="shared" si="30"/>
        <v>0</v>
      </c>
      <c r="K58" s="2"/>
      <c r="L58" s="7">
        <f t="shared" si="31"/>
        <v>0</v>
      </c>
      <c r="M58" s="2"/>
      <c r="N58" s="6">
        <f t="shared" si="32"/>
        <v>0</v>
      </c>
      <c r="O58" s="11"/>
      <c r="P58" s="7">
        <v>200</v>
      </c>
      <c r="Q58" s="2"/>
      <c r="R58" s="6">
        <f t="shared" si="33"/>
        <v>0.20514714178744706</v>
      </c>
      <c r="S58" s="2"/>
      <c r="T58" s="7"/>
      <c r="U58" s="2"/>
      <c r="V58" s="6">
        <f t="shared" si="34"/>
        <v>0</v>
      </c>
      <c r="W58" s="2"/>
      <c r="X58" s="7">
        <f t="shared" si="35"/>
        <v>200</v>
      </c>
      <c r="Y58" s="2"/>
      <c r="Z58" s="6">
        <f t="shared" si="36"/>
        <v>0</v>
      </c>
    </row>
    <row r="59" spans="1:26" s="28" customFormat="1" outlineLevel="1" collapsed="1" x14ac:dyDescent="0.35">
      <c r="A59" s="27"/>
      <c r="B59" s="14" t="str">
        <f>CONCATENATE("     ","Royalty &amp; Commissions                             ")</f>
        <v xml:space="preserve">     Royalty &amp; Commissions                             </v>
      </c>
      <c r="C59" s="14"/>
      <c r="D59" s="1">
        <f>SUM(OSRRefD22_9x_0)</f>
        <v>0</v>
      </c>
      <c r="E59" s="1"/>
      <c r="F59" s="5">
        <f t="shared" ref="F59:F68" si="37">IF(D$12=0,0,D59/D$12)</f>
        <v>0</v>
      </c>
      <c r="G59" s="1"/>
      <c r="H59" s="1">
        <f>SUM(OSRRefH22_9x_0)</f>
        <v>0</v>
      </c>
      <c r="I59" s="1"/>
      <c r="J59" s="5">
        <f t="shared" ref="J59:J68" si="38">IF(H$12=0,0,H59/H$12)</f>
        <v>0</v>
      </c>
      <c r="K59" s="1"/>
      <c r="L59" s="1">
        <f t="shared" ref="L59:L68" si="39">+D59-H59</f>
        <v>0</v>
      </c>
      <c r="M59" s="1"/>
      <c r="N59" s="5">
        <f t="shared" ref="N59:N68" si="40">IF(H59=0,0,L59/H59)</f>
        <v>0</v>
      </c>
      <c r="O59" s="14"/>
      <c r="P59" s="1">
        <f>SUM(OSRRefP22_9x_0)</f>
        <v>0</v>
      </c>
      <c r="Q59" s="1"/>
      <c r="R59" s="5">
        <f t="shared" ref="R59:R68" si="41">IF(P$12=0,0,P59/P$12)</f>
        <v>0</v>
      </c>
      <c r="S59" s="1"/>
      <c r="T59" s="1">
        <f>SUM(OSRRefT22_9x_0)</f>
        <v>0</v>
      </c>
      <c r="U59" s="1"/>
      <c r="V59" s="5">
        <f t="shared" ref="V59:V68" si="42">IF(T$12=0,0,T59/T$12)</f>
        <v>0</v>
      </c>
      <c r="W59" s="1"/>
      <c r="X59" s="1">
        <f t="shared" ref="X59:X68" si="43">+P59-T59</f>
        <v>0</v>
      </c>
      <c r="Y59" s="1"/>
      <c r="Z59" s="5">
        <f t="shared" ref="Z59:Z68" si="44">IF(T59=0,0,X59/T59)</f>
        <v>0</v>
      </c>
    </row>
    <row r="60" spans="1:26" s="24" customFormat="1" hidden="1" outlineLevel="2" x14ac:dyDescent="0.35">
      <c r="A60" s="29"/>
      <c r="B60" s="11" t="str">
        <f>CONCATENATE("          ", "6259", " - ", "ROYALTY &amp; COMMISSIONS")</f>
        <v xml:space="preserve">          6259 - ROYALTY &amp; COMMISSIONS</v>
      </c>
      <c r="C60" s="11"/>
      <c r="D60" s="7"/>
      <c r="E60" s="2"/>
      <c r="F60" s="6">
        <f t="shared" si="37"/>
        <v>0</v>
      </c>
      <c r="G60" s="2"/>
      <c r="H60" s="7">
        <v>0</v>
      </c>
      <c r="I60" s="2"/>
      <c r="J60" s="6">
        <f t="shared" si="38"/>
        <v>0</v>
      </c>
      <c r="K60" s="2"/>
      <c r="L60" s="7">
        <f t="shared" si="39"/>
        <v>0</v>
      </c>
      <c r="M60" s="2"/>
      <c r="N60" s="6">
        <f t="shared" si="40"/>
        <v>0</v>
      </c>
      <c r="O60" s="11"/>
      <c r="P60" s="7"/>
      <c r="Q60" s="2"/>
      <c r="R60" s="6">
        <f t="shared" si="41"/>
        <v>0</v>
      </c>
      <c r="S60" s="2"/>
      <c r="T60" s="7">
        <v>0</v>
      </c>
      <c r="U60" s="2"/>
      <c r="V60" s="6">
        <f t="shared" si="42"/>
        <v>0</v>
      </c>
      <c r="W60" s="2"/>
      <c r="X60" s="7">
        <f t="shared" si="43"/>
        <v>0</v>
      </c>
      <c r="Y60" s="2"/>
      <c r="Z60" s="6">
        <f t="shared" si="44"/>
        <v>0</v>
      </c>
    </row>
    <row r="61" spans="1:26" s="28" customFormat="1" outlineLevel="1" collapsed="1" x14ac:dyDescent="0.35">
      <c r="A61" s="27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SUM(OSRRefD22_10x_0)</f>
        <v>0</v>
      </c>
      <c r="E61" s="1"/>
      <c r="F61" s="5">
        <f t="shared" si="37"/>
        <v>0</v>
      </c>
      <c r="G61" s="1"/>
      <c r="H61" s="1">
        <f>SUM(OSRRefH22_10x_0)</f>
        <v>0</v>
      </c>
      <c r="I61" s="1"/>
      <c r="J61" s="5">
        <f t="shared" si="38"/>
        <v>0</v>
      </c>
      <c r="K61" s="1"/>
      <c r="L61" s="1">
        <f t="shared" si="39"/>
        <v>0</v>
      </c>
      <c r="M61" s="1"/>
      <c r="N61" s="5">
        <f t="shared" si="40"/>
        <v>0</v>
      </c>
      <c r="O61" s="14"/>
      <c r="P61" s="1">
        <f>SUM(OSRRefP22_10x_0)</f>
        <v>0</v>
      </c>
      <c r="Q61" s="1"/>
      <c r="R61" s="5">
        <f t="shared" si="41"/>
        <v>0</v>
      </c>
      <c r="S61" s="1"/>
      <c r="T61" s="1">
        <f>SUM(OSRRefT22_10x_0)</f>
        <v>0</v>
      </c>
      <c r="U61" s="1"/>
      <c r="V61" s="5">
        <f t="shared" si="42"/>
        <v>0</v>
      </c>
      <c r="W61" s="1"/>
      <c r="X61" s="1">
        <f t="shared" si="43"/>
        <v>0</v>
      </c>
      <c r="Y61" s="1"/>
      <c r="Z61" s="5">
        <f t="shared" si="44"/>
        <v>0</v>
      </c>
    </row>
    <row r="62" spans="1:26" s="24" customFormat="1" hidden="1" outlineLevel="2" x14ac:dyDescent="0.35">
      <c r="A62" s="29"/>
      <c r="B62" s="11" t="str">
        <f>CONCATENATE("          ", "6286", " - ", "LAUNDRY EXPENSE")</f>
        <v xml:space="preserve">          6286 - LAUNDRY EXPENSE</v>
      </c>
      <c r="C62" s="11"/>
      <c r="D62" s="7"/>
      <c r="E62" s="2"/>
      <c r="F62" s="6">
        <f t="shared" si="37"/>
        <v>0</v>
      </c>
      <c r="G62" s="2"/>
      <c r="H62" s="7">
        <v>0</v>
      </c>
      <c r="I62" s="2"/>
      <c r="J62" s="6">
        <f t="shared" si="38"/>
        <v>0</v>
      </c>
      <c r="K62" s="2"/>
      <c r="L62" s="7">
        <f t="shared" si="39"/>
        <v>0</v>
      </c>
      <c r="M62" s="2"/>
      <c r="N62" s="6">
        <f t="shared" si="40"/>
        <v>0</v>
      </c>
      <c r="O62" s="11"/>
      <c r="P62" s="7"/>
      <c r="Q62" s="2"/>
      <c r="R62" s="6">
        <f t="shared" si="41"/>
        <v>0</v>
      </c>
      <c r="S62" s="2"/>
      <c r="T62" s="7">
        <v>0</v>
      </c>
      <c r="U62" s="2"/>
      <c r="V62" s="6">
        <f t="shared" si="42"/>
        <v>0</v>
      </c>
      <c r="W62" s="2"/>
      <c r="X62" s="7">
        <f t="shared" si="43"/>
        <v>0</v>
      </c>
      <c r="Y62" s="2"/>
      <c r="Z62" s="6">
        <f t="shared" si="44"/>
        <v>0</v>
      </c>
    </row>
    <row r="63" spans="1:26" s="28" customFormat="1" outlineLevel="1" collapsed="1" x14ac:dyDescent="0.35">
      <c r="A63" s="27"/>
      <c r="B63" s="14" t="str">
        <f>CONCATENATE("     ","Subscriptions &amp; Dues                              ")</f>
        <v xml:space="preserve">     Subscriptions &amp; Dues                              </v>
      </c>
      <c r="C63" s="14"/>
      <c r="D63" s="1">
        <f>SUM(OSRRefD22_11x_0)</f>
        <v>0</v>
      </c>
      <c r="E63" s="1"/>
      <c r="F63" s="5">
        <f t="shared" si="37"/>
        <v>0</v>
      </c>
      <c r="G63" s="1"/>
      <c r="H63" s="1">
        <f>SUM(OSRRefH22_11x_0)</f>
        <v>0</v>
      </c>
      <c r="I63" s="1"/>
      <c r="J63" s="5">
        <f t="shared" si="38"/>
        <v>0</v>
      </c>
      <c r="K63" s="1"/>
      <c r="L63" s="1">
        <f t="shared" si="39"/>
        <v>0</v>
      </c>
      <c r="M63" s="1"/>
      <c r="N63" s="5">
        <f t="shared" si="40"/>
        <v>0</v>
      </c>
      <c r="O63" s="14"/>
      <c r="P63" s="1">
        <f>SUM(OSRRefP22_11x_0)</f>
        <v>0</v>
      </c>
      <c r="Q63" s="1"/>
      <c r="R63" s="5">
        <f t="shared" si="41"/>
        <v>0</v>
      </c>
      <c r="S63" s="1"/>
      <c r="T63" s="1">
        <f>SUM(OSRRefT22_11x_0)</f>
        <v>0</v>
      </c>
      <c r="U63" s="1"/>
      <c r="V63" s="5">
        <f t="shared" si="42"/>
        <v>0</v>
      </c>
      <c r="W63" s="1"/>
      <c r="X63" s="1">
        <f t="shared" si="43"/>
        <v>0</v>
      </c>
      <c r="Y63" s="1"/>
      <c r="Z63" s="5">
        <f t="shared" si="44"/>
        <v>0</v>
      </c>
    </row>
    <row r="64" spans="1:26" s="24" customFormat="1" hidden="1" outlineLevel="2" x14ac:dyDescent="0.35">
      <c r="A64" s="29"/>
      <c r="B64" s="11" t="str">
        <f>CONCATENATE("          ", "6275", " - ", "SUBSCRIPTIONS")</f>
        <v xml:space="preserve">          6275 - SUBSCRIPTIONS</v>
      </c>
      <c r="C64" s="11"/>
      <c r="D64" s="7"/>
      <c r="E64" s="2"/>
      <c r="F64" s="6">
        <f t="shared" si="37"/>
        <v>0</v>
      </c>
      <c r="G64" s="2"/>
      <c r="H64" s="7">
        <v>0</v>
      </c>
      <c r="I64" s="2"/>
      <c r="J64" s="6">
        <f t="shared" si="38"/>
        <v>0</v>
      </c>
      <c r="K64" s="2"/>
      <c r="L64" s="7">
        <f t="shared" si="39"/>
        <v>0</v>
      </c>
      <c r="M64" s="2"/>
      <c r="N64" s="6">
        <f t="shared" si="40"/>
        <v>0</v>
      </c>
      <c r="O64" s="11"/>
      <c r="P64" s="7"/>
      <c r="Q64" s="2"/>
      <c r="R64" s="6">
        <f t="shared" si="41"/>
        <v>0</v>
      </c>
      <c r="S64" s="2"/>
      <c r="T64" s="7">
        <v>0</v>
      </c>
      <c r="U64" s="2"/>
      <c r="V64" s="6">
        <f t="shared" si="42"/>
        <v>0</v>
      </c>
      <c r="W64" s="2"/>
      <c r="X64" s="7">
        <f t="shared" si="43"/>
        <v>0</v>
      </c>
      <c r="Y64" s="2"/>
      <c r="Z64" s="6">
        <f t="shared" si="44"/>
        <v>0</v>
      </c>
    </row>
    <row r="65" spans="1:26" s="28" customFormat="1" outlineLevel="1" collapsed="1" x14ac:dyDescent="0.35">
      <c r="A65" s="27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SUM(OSRRefD22_12x_0)</f>
        <v>0</v>
      </c>
      <c r="E65" s="1"/>
      <c r="F65" s="5">
        <f t="shared" si="37"/>
        <v>0</v>
      </c>
      <c r="G65" s="1"/>
      <c r="H65" s="1">
        <f>SUM(OSRRefH22_12x_0)</f>
        <v>0</v>
      </c>
      <c r="I65" s="1"/>
      <c r="J65" s="5">
        <f t="shared" si="38"/>
        <v>0</v>
      </c>
      <c r="K65" s="1"/>
      <c r="L65" s="1">
        <f t="shared" si="39"/>
        <v>0</v>
      </c>
      <c r="M65" s="1"/>
      <c r="N65" s="5">
        <f t="shared" si="40"/>
        <v>0</v>
      </c>
      <c r="O65" s="14"/>
      <c r="P65" s="1">
        <f>SUM(OSRRefP22_12x_0)</f>
        <v>0</v>
      </c>
      <c r="Q65" s="1"/>
      <c r="R65" s="5">
        <f t="shared" si="41"/>
        <v>0</v>
      </c>
      <c r="S65" s="1"/>
      <c r="T65" s="1">
        <f>SUM(OSRRefT22_12x_0)</f>
        <v>0</v>
      </c>
      <c r="U65" s="1"/>
      <c r="V65" s="5">
        <f t="shared" si="42"/>
        <v>0</v>
      </c>
      <c r="W65" s="1"/>
      <c r="X65" s="1">
        <f t="shared" si="43"/>
        <v>0</v>
      </c>
      <c r="Y65" s="1"/>
      <c r="Z65" s="5">
        <f t="shared" si="44"/>
        <v>0</v>
      </c>
    </row>
    <row r="66" spans="1:26" s="24" customFormat="1" hidden="1" outlineLevel="2" x14ac:dyDescent="0.35">
      <c r="A66" s="29"/>
      <c r="B66" s="11" t="str">
        <f>CONCATENATE("          ", "6235", " - ", "COVID-19 EXPENSES")</f>
        <v xml:space="preserve">          6235 - COVID-19 EXPENSES</v>
      </c>
      <c r="C66" s="11"/>
      <c r="D66" s="7"/>
      <c r="E66" s="2"/>
      <c r="F66" s="6">
        <f t="shared" si="37"/>
        <v>0</v>
      </c>
      <c r="G66" s="2"/>
      <c r="H66" s="7">
        <v>0</v>
      </c>
      <c r="I66" s="2"/>
      <c r="J66" s="6">
        <f t="shared" si="38"/>
        <v>0</v>
      </c>
      <c r="K66" s="2"/>
      <c r="L66" s="7">
        <f t="shared" si="39"/>
        <v>0</v>
      </c>
      <c r="M66" s="2"/>
      <c r="N66" s="6">
        <f t="shared" si="40"/>
        <v>0</v>
      </c>
      <c r="O66" s="11"/>
      <c r="P66" s="7"/>
      <c r="Q66" s="2"/>
      <c r="R66" s="6">
        <f t="shared" si="41"/>
        <v>0</v>
      </c>
      <c r="S66" s="2"/>
      <c r="T66" s="7">
        <v>0</v>
      </c>
      <c r="U66" s="2"/>
      <c r="V66" s="6">
        <f t="shared" si="42"/>
        <v>0</v>
      </c>
      <c r="W66" s="2"/>
      <c r="X66" s="7">
        <f t="shared" si="43"/>
        <v>0</v>
      </c>
      <c r="Y66" s="2"/>
      <c r="Z66" s="6">
        <f t="shared" si="44"/>
        <v>0</v>
      </c>
    </row>
    <row r="67" spans="1:26" s="24" customFormat="1" hidden="1" outlineLevel="2" x14ac:dyDescent="0.35">
      <c r="A67" s="29"/>
      <c r="B67" s="11" t="str">
        <f>CONCATENATE("          ", "6241", " - ", "OFFICE EXPENSE")</f>
        <v xml:space="preserve">          6241 - OFFICE EXPENSE</v>
      </c>
      <c r="C67" s="11"/>
      <c r="D67" s="7"/>
      <c r="E67" s="2"/>
      <c r="F67" s="6">
        <f t="shared" si="37"/>
        <v>0</v>
      </c>
      <c r="G67" s="2"/>
      <c r="H67" s="7">
        <v>0</v>
      </c>
      <c r="I67" s="2"/>
      <c r="J67" s="6">
        <f t="shared" si="38"/>
        <v>0</v>
      </c>
      <c r="K67" s="2"/>
      <c r="L67" s="7">
        <f t="shared" si="39"/>
        <v>0</v>
      </c>
      <c r="M67" s="2"/>
      <c r="N67" s="6">
        <f t="shared" si="40"/>
        <v>0</v>
      </c>
      <c r="O67" s="11"/>
      <c r="P67" s="7"/>
      <c r="Q67" s="2"/>
      <c r="R67" s="6">
        <f t="shared" si="41"/>
        <v>0</v>
      </c>
      <c r="S67" s="2"/>
      <c r="T67" s="7">
        <v>0</v>
      </c>
      <c r="U67" s="2"/>
      <c r="V67" s="6">
        <f t="shared" si="42"/>
        <v>0</v>
      </c>
      <c r="W67" s="2"/>
      <c r="X67" s="7">
        <f t="shared" si="43"/>
        <v>0</v>
      </c>
      <c r="Y67" s="2"/>
      <c r="Z67" s="6">
        <f t="shared" si="44"/>
        <v>0</v>
      </c>
    </row>
    <row r="68" spans="1:26" s="24" customFormat="1" hidden="1" outlineLevel="2" x14ac:dyDescent="0.35">
      <c r="A68" s="29"/>
      <c r="B68" s="11" t="str">
        <f>CONCATENATE("          ", "6247", " - ", "STORE SUPPLIES")</f>
        <v xml:space="preserve">          6247 - STORE SUPPLIES</v>
      </c>
      <c r="C68" s="11"/>
      <c r="D68" s="7"/>
      <c r="E68" s="2"/>
      <c r="F68" s="6">
        <f t="shared" si="37"/>
        <v>0</v>
      </c>
      <c r="G68" s="2"/>
      <c r="H68" s="7">
        <v>0</v>
      </c>
      <c r="I68" s="2"/>
      <c r="J68" s="6">
        <f t="shared" si="38"/>
        <v>0</v>
      </c>
      <c r="K68" s="2"/>
      <c r="L68" s="7">
        <f t="shared" si="39"/>
        <v>0</v>
      </c>
      <c r="M68" s="2"/>
      <c r="N68" s="6">
        <f t="shared" si="40"/>
        <v>0</v>
      </c>
      <c r="O68" s="11"/>
      <c r="P68" s="7"/>
      <c r="Q68" s="2"/>
      <c r="R68" s="6">
        <f t="shared" si="41"/>
        <v>0</v>
      </c>
      <c r="S68" s="2"/>
      <c r="T68" s="7">
        <v>0</v>
      </c>
      <c r="U68" s="2"/>
      <c r="V68" s="6">
        <f t="shared" si="42"/>
        <v>0</v>
      </c>
      <c r="W68" s="2"/>
      <c r="X68" s="7">
        <f t="shared" si="43"/>
        <v>0</v>
      </c>
      <c r="Y68" s="2"/>
      <c r="Z68" s="6">
        <f t="shared" si="44"/>
        <v>0</v>
      </c>
    </row>
    <row r="69" spans="1:26" s="28" customFormat="1" outlineLevel="1" collapsed="1" x14ac:dyDescent="0.35">
      <c r="A69" s="27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SUM(OSRRefD22_13x_0)</f>
        <v>0</v>
      </c>
      <c r="E69" s="1"/>
      <c r="F69" s="5">
        <f t="shared" ref="F69:F74" si="45">IF(D$12=0,0,D69/D$12)</f>
        <v>0</v>
      </c>
      <c r="G69" s="1"/>
      <c r="H69" s="1">
        <f>SUM(OSRRefH22_13x_0)</f>
        <v>0</v>
      </c>
      <c r="I69" s="1"/>
      <c r="J69" s="5">
        <f t="shared" ref="J69:J74" si="46">IF(H$12=0,0,H69/H$12)</f>
        <v>0</v>
      </c>
      <c r="K69" s="1"/>
      <c r="L69" s="1">
        <f t="shared" ref="L69:L74" si="47">+D69-H69</f>
        <v>0</v>
      </c>
      <c r="M69" s="1"/>
      <c r="N69" s="5">
        <f t="shared" ref="N69:N74" si="48">IF(H69=0,0,L69/H69)</f>
        <v>0</v>
      </c>
      <c r="O69" s="14"/>
      <c r="P69" s="1">
        <f>SUM(OSRRefP22_13x_0)</f>
        <v>0</v>
      </c>
      <c r="Q69" s="1"/>
      <c r="R69" s="5">
        <f t="shared" ref="R69:R74" si="49">IF(P$12=0,0,P69/P$12)</f>
        <v>0</v>
      </c>
      <c r="S69" s="1"/>
      <c r="T69" s="1">
        <f>SUM(OSRRefT22_13x_0)</f>
        <v>0</v>
      </c>
      <c r="U69" s="1"/>
      <c r="V69" s="5">
        <f t="shared" ref="V69:V74" si="50">IF(T$12=0,0,T69/T$12)</f>
        <v>0</v>
      </c>
      <c r="W69" s="1"/>
      <c r="X69" s="1">
        <f t="shared" ref="X69:X74" si="51">+P69-T69</f>
        <v>0</v>
      </c>
      <c r="Y69" s="1"/>
      <c r="Z69" s="5">
        <f t="shared" ref="Z69:Z74" si="52">IF(T69=0,0,X69/T69)</f>
        <v>0</v>
      </c>
    </row>
    <row r="70" spans="1:26" s="24" customFormat="1" hidden="1" outlineLevel="2" x14ac:dyDescent="0.35">
      <c r="A70" s="29"/>
      <c r="B70" s="11" t="str">
        <f>CONCATENATE("          ", "6309", " - ", "TELEPHONE")</f>
        <v xml:space="preserve">          6309 - TELEPHONE</v>
      </c>
      <c r="C70" s="11"/>
      <c r="D70" s="7"/>
      <c r="E70" s="2"/>
      <c r="F70" s="6">
        <f t="shared" si="45"/>
        <v>0</v>
      </c>
      <c r="G70" s="2"/>
      <c r="H70" s="7">
        <v>0</v>
      </c>
      <c r="I70" s="2"/>
      <c r="J70" s="6">
        <f t="shared" si="46"/>
        <v>0</v>
      </c>
      <c r="K70" s="2"/>
      <c r="L70" s="7">
        <f t="shared" si="47"/>
        <v>0</v>
      </c>
      <c r="M70" s="2"/>
      <c r="N70" s="6">
        <f t="shared" si="48"/>
        <v>0</v>
      </c>
      <c r="O70" s="11"/>
      <c r="P70" s="7"/>
      <c r="Q70" s="2"/>
      <c r="R70" s="6">
        <f t="shared" si="49"/>
        <v>0</v>
      </c>
      <c r="S70" s="2"/>
      <c r="T70" s="7">
        <v>0</v>
      </c>
      <c r="U70" s="2"/>
      <c r="V70" s="6">
        <f t="shared" si="50"/>
        <v>0</v>
      </c>
      <c r="W70" s="2"/>
      <c r="X70" s="7">
        <f t="shared" si="51"/>
        <v>0</v>
      </c>
      <c r="Y70" s="2"/>
      <c r="Z70" s="6">
        <f t="shared" si="52"/>
        <v>0</v>
      </c>
    </row>
    <row r="71" spans="1:26" s="28" customFormat="1" outlineLevel="1" collapsed="1" x14ac:dyDescent="0.35">
      <c r="A71" s="27"/>
      <c r="B71" s="14" t="str">
        <f>CONCATENATE("     ","Training                                          ")</f>
        <v xml:space="preserve">     Training                                          </v>
      </c>
      <c r="C71" s="14"/>
      <c r="D71" s="1">
        <f>SUM(OSRRefD22_14x_0)</f>
        <v>0</v>
      </c>
      <c r="E71" s="1"/>
      <c r="F71" s="5">
        <f t="shared" si="45"/>
        <v>0</v>
      </c>
      <c r="G71" s="1"/>
      <c r="H71" s="1">
        <f>SUM(OSRRefH22_14x_0)</f>
        <v>0</v>
      </c>
      <c r="I71" s="1"/>
      <c r="J71" s="5">
        <f t="shared" si="46"/>
        <v>0</v>
      </c>
      <c r="K71" s="1"/>
      <c r="L71" s="1">
        <f t="shared" si="47"/>
        <v>0</v>
      </c>
      <c r="M71" s="1"/>
      <c r="N71" s="5">
        <f t="shared" si="48"/>
        <v>0</v>
      </c>
      <c r="O71" s="14"/>
      <c r="P71" s="1">
        <f>SUM(OSRRefP22_14x_0)</f>
        <v>0</v>
      </c>
      <c r="Q71" s="1"/>
      <c r="R71" s="5">
        <f t="shared" si="49"/>
        <v>0</v>
      </c>
      <c r="S71" s="1"/>
      <c r="T71" s="1">
        <f>SUM(OSRRefT22_14x_0)</f>
        <v>0</v>
      </c>
      <c r="U71" s="1"/>
      <c r="V71" s="5">
        <f t="shared" si="50"/>
        <v>0</v>
      </c>
      <c r="W71" s="1"/>
      <c r="X71" s="1">
        <f t="shared" si="51"/>
        <v>0</v>
      </c>
      <c r="Y71" s="1"/>
      <c r="Z71" s="5">
        <f t="shared" si="52"/>
        <v>0</v>
      </c>
    </row>
    <row r="72" spans="1:26" s="24" customFormat="1" hidden="1" outlineLevel="2" x14ac:dyDescent="0.35">
      <c r="A72" s="29"/>
      <c r="B72" s="11" t="str">
        <f>CONCATENATE("          ", "6376", " - ", "TRAINING")</f>
        <v xml:space="preserve">          6376 - TRAINING</v>
      </c>
      <c r="C72" s="11"/>
      <c r="D72" s="7"/>
      <c r="E72" s="2"/>
      <c r="F72" s="6">
        <f t="shared" si="45"/>
        <v>0</v>
      </c>
      <c r="G72" s="2"/>
      <c r="H72" s="7">
        <v>0</v>
      </c>
      <c r="I72" s="2"/>
      <c r="J72" s="6">
        <f t="shared" si="46"/>
        <v>0</v>
      </c>
      <c r="K72" s="2"/>
      <c r="L72" s="7">
        <f t="shared" si="47"/>
        <v>0</v>
      </c>
      <c r="M72" s="2"/>
      <c r="N72" s="6">
        <f t="shared" si="48"/>
        <v>0</v>
      </c>
      <c r="O72" s="11"/>
      <c r="P72" s="7"/>
      <c r="Q72" s="2"/>
      <c r="R72" s="6">
        <f t="shared" si="49"/>
        <v>0</v>
      </c>
      <c r="S72" s="2"/>
      <c r="T72" s="7">
        <v>0</v>
      </c>
      <c r="U72" s="2"/>
      <c r="V72" s="6">
        <f t="shared" si="50"/>
        <v>0</v>
      </c>
      <c r="W72" s="2"/>
      <c r="X72" s="7">
        <f t="shared" si="51"/>
        <v>0</v>
      </c>
      <c r="Y72" s="2"/>
      <c r="Z72" s="6">
        <f t="shared" si="52"/>
        <v>0</v>
      </c>
    </row>
    <row r="73" spans="1:26" s="28" customFormat="1" outlineLevel="1" collapsed="1" x14ac:dyDescent="0.35">
      <c r="A73" s="27"/>
      <c r="B73" s="14" t="str">
        <f>CONCATENATE("     ","Travel                                            ")</f>
        <v xml:space="preserve">     Travel                                            </v>
      </c>
      <c r="C73" s="14"/>
      <c r="D73" s="1">
        <f>SUM(OSRRefD22_15x_0)</f>
        <v>0</v>
      </c>
      <c r="E73" s="1"/>
      <c r="F73" s="5">
        <f t="shared" si="45"/>
        <v>0</v>
      </c>
      <c r="G73" s="1"/>
      <c r="H73" s="1">
        <f>SUM(OSRRefH22_15x_0)</f>
        <v>0</v>
      </c>
      <c r="I73" s="1"/>
      <c r="J73" s="5">
        <f t="shared" si="46"/>
        <v>0</v>
      </c>
      <c r="K73" s="1"/>
      <c r="L73" s="1">
        <f t="shared" si="47"/>
        <v>0</v>
      </c>
      <c r="M73" s="1"/>
      <c r="N73" s="5">
        <f t="shared" si="48"/>
        <v>0</v>
      </c>
      <c r="O73" s="14"/>
      <c r="P73" s="1">
        <f>SUM(OSRRefP22_15x_0)</f>
        <v>0</v>
      </c>
      <c r="Q73" s="1"/>
      <c r="R73" s="5">
        <f t="shared" si="49"/>
        <v>0</v>
      </c>
      <c r="S73" s="1"/>
      <c r="T73" s="1">
        <f>SUM(OSRRefT22_15x_0)</f>
        <v>0</v>
      </c>
      <c r="U73" s="1"/>
      <c r="V73" s="5">
        <f t="shared" si="50"/>
        <v>0</v>
      </c>
      <c r="W73" s="1"/>
      <c r="X73" s="1">
        <f t="shared" si="51"/>
        <v>0</v>
      </c>
      <c r="Y73" s="1"/>
      <c r="Z73" s="5">
        <f t="shared" si="52"/>
        <v>0</v>
      </c>
    </row>
    <row r="74" spans="1:26" s="24" customFormat="1" hidden="1" outlineLevel="2" x14ac:dyDescent="0.35">
      <c r="A74" s="29"/>
      <c r="B74" s="11" t="str">
        <f>CONCATENATE("          ", "6292", " - ", "TRAVEL/CONFERENCE")</f>
        <v xml:space="preserve">          6292 - TRAVEL/CONFERENCE</v>
      </c>
      <c r="C74" s="11"/>
      <c r="D74" s="7"/>
      <c r="E74" s="2"/>
      <c r="F74" s="6">
        <f t="shared" si="45"/>
        <v>0</v>
      </c>
      <c r="G74" s="2"/>
      <c r="H74" s="7"/>
      <c r="I74" s="2"/>
      <c r="J74" s="6">
        <f t="shared" si="46"/>
        <v>0</v>
      </c>
      <c r="K74" s="2"/>
      <c r="L74" s="7">
        <f t="shared" si="47"/>
        <v>0</v>
      </c>
      <c r="M74" s="2"/>
      <c r="N74" s="6">
        <f t="shared" si="48"/>
        <v>0</v>
      </c>
      <c r="O74" s="11"/>
      <c r="P74" s="7"/>
      <c r="Q74" s="2"/>
      <c r="R74" s="6">
        <f t="shared" si="49"/>
        <v>0</v>
      </c>
      <c r="S74" s="2"/>
      <c r="T74" s="7">
        <v>0</v>
      </c>
      <c r="U74" s="2"/>
      <c r="V74" s="6">
        <f t="shared" si="50"/>
        <v>0</v>
      </c>
      <c r="W74" s="2"/>
      <c r="X74" s="7">
        <f t="shared" si="51"/>
        <v>0</v>
      </c>
      <c r="Y74" s="2"/>
      <c r="Z74" s="6">
        <f t="shared" si="52"/>
        <v>0</v>
      </c>
    </row>
    <row r="75" spans="1:26" s="55" customFormat="1" x14ac:dyDescent="0.3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35">
      <c r="A76" s="10"/>
      <c r="B76" s="25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3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35">
      <c r="A78" s="10"/>
      <c r="B78" s="26" t="s">
        <v>3</v>
      </c>
      <c r="C78" s="26"/>
      <c r="D78" s="19">
        <f>+D20-D22+D76</f>
        <v>-1825.26</v>
      </c>
      <c r="E78" s="13"/>
      <c r="F78" s="21">
        <f>IF(D$12=0,0,D78/D$12)</f>
        <v>0</v>
      </c>
      <c r="G78" s="13"/>
      <c r="H78" s="19">
        <f>+H20-H22+H76</f>
        <v>-1972</v>
      </c>
      <c r="I78" s="13"/>
      <c r="J78" s="21">
        <f>IF(H$12=0,0,H78/H$12)</f>
        <v>0</v>
      </c>
      <c r="K78" s="16"/>
      <c r="L78" s="19">
        <f>+D78-H78</f>
        <v>146.74</v>
      </c>
      <c r="M78" s="16"/>
      <c r="N78" s="21">
        <f>IF(H78=0,0,L78/H78)</f>
        <v>-7.4411764705882358E-2</v>
      </c>
      <c r="O78" s="25"/>
      <c r="P78" s="19">
        <f>+P20-P22+P76</f>
        <v>-13253.25</v>
      </c>
      <c r="Q78" s="13"/>
      <c r="R78" s="21">
        <f>IF(P$12=0,0,P78/P$12)</f>
        <v>-13.594331784472413</v>
      </c>
      <c r="S78" s="13"/>
      <c r="T78" s="19">
        <f>+T20-T22+T76</f>
        <v>-13804</v>
      </c>
      <c r="U78" s="13"/>
      <c r="V78" s="21">
        <f>IF(T$12=0,0,T78/T$12)</f>
        <v>0</v>
      </c>
      <c r="W78" s="16"/>
      <c r="X78" s="19">
        <f>+P78-T78</f>
        <v>550.75</v>
      </c>
      <c r="Y78" s="16"/>
      <c r="Z78" s="21">
        <f>IF(T78=0,0,X78/T78)</f>
        <v>-3.9897855694001741E-2</v>
      </c>
    </row>
    <row r="79" spans="1:26" x14ac:dyDescent="0.3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35">
      <c r="A80" s="52"/>
      <c r="B80" s="10" t="s">
        <v>14</v>
      </c>
      <c r="C80" s="10"/>
      <c r="D80" s="4">
        <v>-3.41</v>
      </c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-3.41</v>
      </c>
      <c r="M80" s="4"/>
      <c r="N80" s="12">
        <f>IF(H80=0,0,L80/H80)</f>
        <v>0</v>
      </c>
      <c r="O80" s="10"/>
      <c r="P80" s="4">
        <v>176.97</v>
      </c>
      <c r="Q80" s="4"/>
      <c r="R80" s="12">
        <f>IF(P$12=0,0,P80/P$12)</f>
        <v>0.18152444841062251</v>
      </c>
      <c r="S80" s="4"/>
      <c r="T80" s="4"/>
      <c r="U80" s="4"/>
      <c r="V80" s="12">
        <f>IF(T$12=0,0,T80/T$12)</f>
        <v>0</v>
      </c>
      <c r="W80" s="4"/>
      <c r="X80" s="4">
        <f>+P80-T80</f>
        <v>176.97</v>
      </c>
      <c r="Y80" s="4"/>
      <c r="Z80" s="12">
        <f>IF(T80=0,0,X80/T80)</f>
        <v>0</v>
      </c>
    </row>
    <row r="81" spans="1:26" x14ac:dyDescent="0.3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4">
      <c r="A82" s="10"/>
      <c r="B82" s="26" t="s">
        <v>4</v>
      </c>
      <c r="C82" s="26"/>
      <c r="D82" s="33">
        <f>+D78-D80</f>
        <v>-1821.85</v>
      </c>
      <c r="E82" s="13"/>
      <c r="F82" s="31">
        <f>IF(D$12=0,0,D82/D$12)</f>
        <v>0</v>
      </c>
      <c r="G82" s="13"/>
      <c r="H82" s="33">
        <f>+H78-H80</f>
        <v>-1972</v>
      </c>
      <c r="I82" s="13"/>
      <c r="J82" s="31">
        <f>IF(H$12=0,0,H82/H$12)</f>
        <v>0</v>
      </c>
      <c r="K82" s="16"/>
      <c r="L82" s="33">
        <f>D82-H82</f>
        <v>150.15000000000009</v>
      </c>
      <c r="M82" s="16"/>
      <c r="N82" s="31">
        <f>IF(H82=0,0,L82/H82)</f>
        <v>-7.6140973630831693E-2</v>
      </c>
      <c r="O82" s="25"/>
      <c r="P82" s="33">
        <f>+P78-P80</f>
        <v>-13430.22</v>
      </c>
      <c r="Q82" s="13"/>
      <c r="R82" s="31">
        <f>IF(P$12=0,0,P82/P$12)</f>
        <v>-13.775856232883035</v>
      </c>
      <c r="S82" s="13"/>
      <c r="T82" s="33">
        <f>+T78-T80</f>
        <v>-13804</v>
      </c>
      <c r="U82" s="13"/>
      <c r="V82" s="31">
        <f>IF(T$12=0,0,T82/T$12)</f>
        <v>0</v>
      </c>
      <c r="W82" s="16"/>
      <c r="X82" s="33">
        <f>P82-T82</f>
        <v>373.78000000000065</v>
      </c>
      <c r="Y82" s="16"/>
      <c r="Z82" s="31">
        <f>IF(T82=0,0,X82/T82)</f>
        <v>-2.7077658649666811E-2</v>
      </c>
    </row>
    <row r="83" spans="1:26" ht="15" thickTop="1" x14ac:dyDescent="0.3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3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" thickBot="1" x14ac:dyDescent="0.4">
      <c r="A85" s="10"/>
      <c r="B85" s="26" t="s">
        <v>5</v>
      </c>
      <c r="C85" s="26"/>
      <c r="D85" s="34">
        <f>SUM(D82:D84)</f>
        <v>-1821.85</v>
      </c>
      <c r="E85" s="13"/>
      <c r="F85" s="32">
        <f>IF(D$12=0,0,D85/D$12)</f>
        <v>0</v>
      </c>
      <c r="G85" s="13"/>
      <c r="H85" s="34">
        <f>SUM(H82:H84)</f>
        <v>-1972</v>
      </c>
      <c r="I85" s="13"/>
      <c r="J85" s="32">
        <f>IF(H$12=0,0,H85/H$12)</f>
        <v>0</v>
      </c>
      <c r="K85" s="16"/>
      <c r="L85" s="34">
        <f>+D85-H85</f>
        <v>150.15000000000009</v>
      </c>
      <c r="M85" s="16"/>
      <c r="N85" s="32">
        <f>IF(H85=0,0,L85/H85)</f>
        <v>-7.6140973630831693E-2</v>
      </c>
      <c r="O85" s="25"/>
      <c r="P85" s="34">
        <f>SUM(P82:P84)</f>
        <v>-13430.22</v>
      </c>
      <c r="Q85" s="13"/>
      <c r="R85" s="32">
        <f>IF(P$12=0,0,P85/P$12)</f>
        <v>-13.775856232883035</v>
      </c>
      <c r="S85" s="13"/>
      <c r="T85" s="34">
        <f>SUM(T82:T84)</f>
        <v>-13804</v>
      </c>
      <c r="U85" s="13"/>
      <c r="V85" s="32">
        <f>IF(T$12=0,0,T85/T$12)</f>
        <v>0</v>
      </c>
      <c r="W85" s="16"/>
      <c r="X85" s="34">
        <f>+P85-T85</f>
        <v>373.78000000000065</v>
      </c>
      <c r="Y85" s="16"/>
      <c r="Z85" s="32">
        <f>IF(T85=0,0,X85/T85)</f>
        <v>-2.7077658649666811E-2</v>
      </c>
    </row>
    <row r="86" spans="1:26" ht="15" thickTop="1" x14ac:dyDescent="0.3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35">
      <c r="A87" s="9"/>
      <c r="B87" s="60">
        <v>44238.490733877312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35">
      <c r="A88" s="9"/>
      <c r="B88" s="59" t="s">
        <v>314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35">
      <c r="A89" s="9"/>
      <c r="B89" s="58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3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","415", " - ", "Outpost")</f>
        <v>Department 415 - Outpost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23576</v>
      </c>
      <c r="I12" s="4"/>
      <c r="J12" s="12"/>
      <c r="K12" s="4"/>
      <c r="L12" s="4">
        <f t="shared" ref="L12:L16" si="0">+D12-H12</f>
        <v>-23576</v>
      </c>
      <c r="M12" s="4"/>
      <c r="N12" s="12">
        <f t="shared" ref="N12:N16" si="1">IF(H12=0,0,L12/H12)</f>
        <v>-1</v>
      </c>
      <c r="O12" s="10"/>
      <c r="P12" s="4">
        <f>SUM(OSRRefP13x_0)</f>
        <v>45135.7</v>
      </c>
      <c r="Q12" s="4"/>
      <c r="R12" s="12"/>
      <c r="S12" s="4"/>
      <c r="T12" s="4">
        <f>SUM(OSRRefT13x_0)</f>
        <v>112714</v>
      </c>
      <c r="U12" s="4"/>
      <c r="V12" s="12"/>
      <c r="W12" s="4"/>
      <c r="X12" s="4">
        <f t="shared" ref="X12:X16" si="2">+P12-T12</f>
        <v>-67578.3</v>
      </c>
      <c r="Y12" s="4"/>
      <c r="Z12" s="12">
        <f t="shared" ref="Z12:Z16" si="3">IF(T12=0,0,X12/T12)</f>
        <v>-0.59955551218127301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22"/>
      <c r="G13" s="2"/>
      <c r="H13" s="2">
        <v>7333</v>
      </c>
      <c r="I13" s="2"/>
      <c r="J13" s="22"/>
      <c r="K13" s="2"/>
      <c r="L13" s="2">
        <f t="shared" si="0"/>
        <v>-7333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35057</v>
      </c>
      <c r="U13" s="2"/>
      <c r="V13" s="22"/>
      <c r="W13" s="2"/>
      <c r="X13" s="2">
        <f t="shared" si="2"/>
        <v>-35057</v>
      </c>
      <c r="Y13" s="2"/>
      <c r="Z13" s="22">
        <f t="shared" si="3"/>
        <v>-1</v>
      </c>
    </row>
    <row r="14" spans="1:26" s="24" customFormat="1" hidden="1" outlineLevel="1" x14ac:dyDescent="0.3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--22964.48</f>
        <v>22964.48</v>
      </c>
      <c r="Q14" s="2"/>
      <c r="R14" s="22"/>
      <c r="S14" s="2"/>
      <c r="T14" s="2"/>
      <c r="U14" s="2"/>
      <c r="V14" s="22"/>
      <c r="W14" s="2"/>
      <c r="X14" s="2">
        <f t="shared" si="2"/>
        <v>22964.48</v>
      </c>
      <c r="Y14" s="2"/>
      <c r="Z14" s="22">
        <f t="shared" si="3"/>
        <v>0</v>
      </c>
    </row>
    <row r="15" spans="1:26" s="24" customFormat="1" hidden="1" outlineLevel="1" x14ac:dyDescent="0.3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22"/>
      <c r="G15" s="2"/>
      <c r="H15" s="2">
        <v>16243</v>
      </c>
      <c r="I15" s="2"/>
      <c r="J15" s="22"/>
      <c r="K15" s="2"/>
      <c r="L15" s="2">
        <f t="shared" si="0"/>
        <v>-16243</v>
      </c>
      <c r="M15" s="2"/>
      <c r="N15" s="22">
        <f t="shared" si="1"/>
        <v>-1</v>
      </c>
      <c r="O15" s="11"/>
      <c r="P15" s="2">
        <f>0</f>
        <v>0</v>
      </c>
      <c r="Q15" s="2"/>
      <c r="R15" s="22"/>
      <c r="S15" s="2"/>
      <c r="T15" s="2">
        <v>77657</v>
      </c>
      <c r="U15" s="2"/>
      <c r="V15" s="22"/>
      <c r="W15" s="2"/>
      <c r="X15" s="2">
        <f t="shared" si="2"/>
        <v>-77657</v>
      </c>
      <c r="Y15" s="2"/>
      <c r="Z15" s="22">
        <f t="shared" si="3"/>
        <v>-1</v>
      </c>
    </row>
    <row r="16" spans="1:26" s="24" customFormat="1" hidden="1" outlineLevel="1" x14ac:dyDescent="0.35">
      <c r="A16" s="51"/>
      <c r="B16" s="11" t="str">
        <f>CONCATENATE("          ", "4151", " - ", "NON-TAXABLE SALES-FOOD")</f>
        <v xml:space="preserve">          4151 - NON-TAXABLE SALES-FOOD</v>
      </c>
      <c r="C16" s="11"/>
      <c r="D16" s="2">
        <f t="shared" si="4"/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--22171.22</f>
        <v>22171.22</v>
      </c>
      <c r="Q16" s="2"/>
      <c r="R16" s="22"/>
      <c r="S16" s="2"/>
      <c r="T16" s="2"/>
      <c r="U16" s="2"/>
      <c r="V16" s="22"/>
      <c r="W16" s="2"/>
      <c r="X16" s="2">
        <f t="shared" si="2"/>
        <v>22171.22</v>
      </c>
      <c r="Y16" s="2"/>
      <c r="Z16" s="22">
        <f t="shared" si="3"/>
        <v>0</v>
      </c>
    </row>
    <row r="17" spans="1:26" x14ac:dyDescent="0.3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5">
      <c r="A18" s="10"/>
      <c r="B18" s="25" t="s">
        <v>8</v>
      </c>
      <c r="C18" s="10"/>
      <c r="D18" s="4">
        <f>SUM(OSRRefD16x_0)</f>
        <v>1319.87</v>
      </c>
      <c r="E18" s="4"/>
      <c r="F18" s="12">
        <f t="shared" ref="F18:F21" si="5">IF(D$12=0,0,D18/D$12)</f>
        <v>0</v>
      </c>
      <c r="G18" s="4"/>
      <c r="H18" s="4">
        <f>SUM(OSRRefH16x_0)</f>
        <v>7308</v>
      </c>
      <c r="I18" s="4"/>
      <c r="J18" s="12">
        <f t="shared" ref="J18:J21" si="6">IF(H$12=0,0,H18/H$12)</f>
        <v>0.30997624703087884</v>
      </c>
      <c r="K18" s="4"/>
      <c r="L18" s="4">
        <f t="shared" ref="L18:L21" si="7">+D18-H18</f>
        <v>-5988.13</v>
      </c>
      <c r="M18" s="4"/>
      <c r="N18" s="12">
        <f t="shared" ref="N18:N21" si="8">IF(H18=0,0,L18/H18)</f>
        <v>-0.81939381499726327</v>
      </c>
      <c r="O18" s="10"/>
      <c r="P18" s="4">
        <f>SUM(OSRRefP16x_0)</f>
        <v>20173.350000000002</v>
      </c>
      <c r="Q18" s="4"/>
      <c r="R18" s="12">
        <f t="shared" ref="R18:R21" si="9">IF(P$12=0,0,P18/P$12)</f>
        <v>0.44694886752614899</v>
      </c>
      <c r="S18" s="4"/>
      <c r="T18" s="4">
        <f>SUM(OSRRefT16x_0)</f>
        <v>35611</v>
      </c>
      <c r="U18" s="4"/>
      <c r="V18" s="12">
        <f t="shared" ref="V18:V21" si="10">IF(T$12=0,0,T18/T$12)</f>
        <v>0.31594123179019468</v>
      </c>
      <c r="W18" s="4"/>
      <c r="X18" s="4">
        <f t="shared" ref="X18:X21" si="11">+P18-T18</f>
        <v>-15437.649999999998</v>
      </c>
      <c r="Y18" s="4"/>
      <c r="Z18" s="12">
        <f t="shared" ref="Z18:Z21" si="12">IF(T18=0,0,X18/T18)</f>
        <v>-0.43350790486085755</v>
      </c>
    </row>
    <row r="19" spans="1:26" s="24" customFormat="1" hidden="1" outlineLevel="1" x14ac:dyDescent="0.3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5"/>
        <v>0</v>
      </c>
      <c r="G19" s="2"/>
      <c r="H19" s="2">
        <v>7308</v>
      </c>
      <c r="I19" s="2"/>
      <c r="J19" s="22">
        <f t="shared" si="6"/>
        <v>0.30997624703087884</v>
      </c>
      <c r="K19" s="2"/>
      <c r="L19" s="2">
        <f t="shared" si="7"/>
        <v>-7308</v>
      </c>
      <c r="M19" s="2"/>
      <c r="N19" s="22">
        <f t="shared" si="8"/>
        <v>-1</v>
      </c>
      <c r="O19" s="11"/>
      <c r="P19" s="2"/>
      <c r="Q19" s="2"/>
      <c r="R19" s="22">
        <f t="shared" si="9"/>
        <v>0</v>
      </c>
      <c r="S19" s="2"/>
      <c r="T19" s="2">
        <v>35611</v>
      </c>
      <c r="U19" s="2"/>
      <c r="V19" s="22">
        <f t="shared" si="10"/>
        <v>0.31594123179019468</v>
      </c>
      <c r="W19" s="2"/>
      <c r="X19" s="2">
        <f t="shared" si="11"/>
        <v>-35611</v>
      </c>
      <c r="Y19" s="2"/>
      <c r="Z19" s="22">
        <f t="shared" si="12"/>
        <v>-1</v>
      </c>
    </row>
    <row r="20" spans="1:26" s="24" customFormat="1" hidden="1" outlineLevel="1" x14ac:dyDescent="0.3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1534.85</v>
      </c>
      <c r="E20" s="2"/>
      <c r="F20" s="22">
        <f t="shared" si="5"/>
        <v>0</v>
      </c>
      <c r="G20" s="2"/>
      <c r="H20" s="2"/>
      <c r="I20" s="2"/>
      <c r="J20" s="22">
        <f t="shared" si="6"/>
        <v>0</v>
      </c>
      <c r="K20" s="2"/>
      <c r="L20" s="2">
        <f t="shared" si="7"/>
        <v>1534.85</v>
      </c>
      <c r="M20" s="2"/>
      <c r="N20" s="22">
        <f t="shared" si="8"/>
        <v>0</v>
      </c>
      <c r="O20" s="11"/>
      <c r="P20" s="2">
        <v>14844.270000000002</v>
      </c>
      <c r="Q20" s="2"/>
      <c r="R20" s="22">
        <f t="shared" si="9"/>
        <v>0.32888090801737879</v>
      </c>
      <c r="S20" s="2"/>
      <c r="T20" s="2"/>
      <c r="U20" s="2"/>
      <c r="V20" s="22">
        <f t="shared" si="10"/>
        <v>0</v>
      </c>
      <c r="W20" s="2"/>
      <c r="X20" s="2">
        <f t="shared" si="11"/>
        <v>14844.270000000002</v>
      </c>
      <c r="Y20" s="2"/>
      <c r="Z20" s="22">
        <f t="shared" si="12"/>
        <v>0</v>
      </c>
    </row>
    <row r="21" spans="1:26" s="24" customFormat="1" hidden="1" outlineLevel="1" x14ac:dyDescent="0.3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-214.98</v>
      </c>
      <c r="E21" s="2"/>
      <c r="F21" s="22">
        <f t="shared" si="5"/>
        <v>0</v>
      </c>
      <c r="G21" s="2"/>
      <c r="H21" s="2"/>
      <c r="I21" s="2"/>
      <c r="J21" s="22">
        <f t="shared" si="6"/>
        <v>0</v>
      </c>
      <c r="K21" s="2"/>
      <c r="L21" s="2">
        <f t="shared" si="7"/>
        <v>-214.98</v>
      </c>
      <c r="M21" s="2"/>
      <c r="N21" s="22">
        <f t="shared" si="8"/>
        <v>0</v>
      </c>
      <c r="O21" s="11"/>
      <c r="P21" s="2">
        <v>5329.08</v>
      </c>
      <c r="Q21" s="2"/>
      <c r="R21" s="22">
        <f t="shared" si="9"/>
        <v>0.11806795950877022</v>
      </c>
      <c r="S21" s="2"/>
      <c r="T21" s="2"/>
      <c r="U21" s="2"/>
      <c r="V21" s="22">
        <f t="shared" si="10"/>
        <v>0</v>
      </c>
      <c r="W21" s="2"/>
      <c r="X21" s="2">
        <f t="shared" si="11"/>
        <v>5329.08</v>
      </c>
      <c r="Y21" s="2"/>
      <c r="Z21" s="22">
        <f t="shared" si="12"/>
        <v>0</v>
      </c>
    </row>
    <row r="22" spans="1:26" x14ac:dyDescent="0.3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5">
      <c r="A23" s="10"/>
      <c r="B23" s="26" t="s">
        <v>6</v>
      </c>
      <c r="C23" s="26"/>
      <c r="D23" s="19">
        <f>D12-D18</f>
        <v>-1319.87</v>
      </c>
      <c r="E23" s="13"/>
      <c r="F23" s="21">
        <f>IF(D$12=0,0,D23/D$12)</f>
        <v>0</v>
      </c>
      <c r="G23" s="13"/>
      <c r="H23" s="19">
        <f>H12-H18</f>
        <v>16268</v>
      </c>
      <c r="I23" s="13"/>
      <c r="J23" s="21">
        <f>IF(H$12=0,0,H23/H$12)</f>
        <v>0.69002375296912111</v>
      </c>
      <c r="K23" s="16"/>
      <c r="L23" s="19">
        <f>+D23-H23</f>
        <v>-17587.87</v>
      </c>
      <c r="M23" s="16"/>
      <c r="N23" s="21">
        <f>IF(H23=0,0,L23/H23)</f>
        <v>-1.0811328989427096</v>
      </c>
      <c r="O23" s="25"/>
      <c r="P23" s="19">
        <f>P12-P18</f>
        <v>24962.349999999995</v>
      </c>
      <c r="Q23" s="13"/>
      <c r="R23" s="21">
        <f>IF(P$12=0,0,P23/P$12)</f>
        <v>0.55305113247385096</v>
      </c>
      <c r="S23" s="13"/>
      <c r="T23" s="19">
        <f>T12-T18</f>
        <v>77103</v>
      </c>
      <c r="U23" s="13"/>
      <c r="V23" s="21">
        <f>IF(T$12=0,0,T23/T$12)</f>
        <v>0.68405876820980538</v>
      </c>
      <c r="W23" s="16"/>
      <c r="X23" s="19">
        <f>+P23-T23</f>
        <v>-52140.650000000009</v>
      </c>
      <c r="Y23" s="16"/>
      <c r="Z23" s="21">
        <f>IF(T23=0,0,X23/T23)</f>
        <v>-0.67624670894777128</v>
      </c>
    </row>
    <row r="24" spans="1:26" x14ac:dyDescent="0.3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5">
      <c r="A25" s="10"/>
      <c r="B25" s="25" t="s">
        <v>9</v>
      </c>
      <c r="C25" s="10"/>
      <c r="D25" s="20">
        <f>SUM(OSRRefD22x_0)</f>
        <v>57994.26</v>
      </c>
      <c r="E25" s="20"/>
      <c r="F25" s="30">
        <f t="shared" ref="F25:F35" si="13">IF(D$12=0,0,D25/D$12)</f>
        <v>0</v>
      </c>
      <c r="G25" s="20"/>
      <c r="H25" s="20">
        <f>SUM(OSRRefH22x_0)</f>
        <v>58343.865333288457</v>
      </c>
      <c r="I25" s="20"/>
      <c r="J25" s="30">
        <f t="shared" ref="J25:J35" si="14">IF(H$12=0,0,H25/H$12)</f>
        <v>2.4747143422670708</v>
      </c>
      <c r="K25" s="4"/>
      <c r="L25" s="20">
        <f t="shared" ref="L25:L35" si="15">+D25-H25</f>
        <v>-349.60533328845486</v>
      </c>
      <c r="M25" s="4"/>
      <c r="N25" s="30">
        <f t="shared" ref="N25:N35" si="16">IF(H25=0,0,L25/H25)</f>
        <v>-5.9921524103920716E-3</v>
      </c>
      <c r="O25" s="10"/>
      <c r="P25" s="20">
        <f>SUM(OSRRefP22x_0)</f>
        <v>441368.82</v>
      </c>
      <c r="Q25" s="20"/>
      <c r="R25" s="30">
        <f t="shared" ref="R25:R35" si="17">IF(P$12=0,0,P25/P$12)</f>
        <v>9.7787077634776907</v>
      </c>
      <c r="S25" s="20"/>
      <c r="T25" s="20">
        <f>SUM(OSRRefT22x_0)</f>
        <v>392465.74907284998</v>
      </c>
      <c r="U25" s="20"/>
      <c r="V25" s="30">
        <f t="shared" ref="V25:V35" si="18">IF(T$12=0,0,T25/T$12)</f>
        <v>3.4819609726639991</v>
      </c>
      <c r="W25" s="4"/>
      <c r="X25" s="20">
        <f t="shared" ref="X25:X35" si="19">+P25-T25</f>
        <v>48903.070927150024</v>
      </c>
      <c r="Y25" s="4"/>
      <c r="Z25" s="30">
        <f t="shared" ref="Z25:Z35" si="20">IF(T25=0,0,X25/T25)</f>
        <v>0.12460468472134768</v>
      </c>
    </row>
    <row r="26" spans="1:26" s="28" customFormat="1" outlineLevel="1" collapsed="1" x14ac:dyDescent="0.3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12650.69</v>
      </c>
      <c r="E26" s="1"/>
      <c r="F26" s="5">
        <f t="shared" si="13"/>
        <v>0</v>
      </c>
      <c r="G26" s="1"/>
      <c r="H26" s="1">
        <f>SUM(OSRRefH22_0x_0)</f>
        <v>6460.4888332884602</v>
      </c>
      <c r="I26" s="1"/>
      <c r="J26" s="5">
        <f t="shared" si="14"/>
        <v>0.27402819957959196</v>
      </c>
      <c r="K26" s="1"/>
      <c r="L26" s="1">
        <f t="shared" si="15"/>
        <v>6190.2011667115403</v>
      </c>
      <c r="M26" s="1"/>
      <c r="N26" s="5">
        <f t="shared" si="16"/>
        <v>0.95816296977649285</v>
      </c>
      <c r="O26" s="14"/>
      <c r="P26" s="1">
        <f>SUM(OSRRefP22_0x_0)</f>
        <v>94769.27</v>
      </c>
      <c r="Q26" s="1"/>
      <c r="R26" s="5">
        <f t="shared" si="17"/>
        <v>2.0996521600418299</v>
      </c>
      <c r="S26" s="1"/>
      <c r="T26" s="1">
        <f>SUM(OSRRefT22_0x_0)</f>
        <v>42049.613572849987</v>
      </c>
      <c r="U26" s="1"/>
      <c r="V26" s="5">
        <f t="shared" si="18"/>
        <v>0.37306469092437483</v>
      </c>
      <c r="W26" s="1"/>
      <c r="X26" s="1">
        <f t="shared" si="19"/>
        <v>52719.656427150017</v>
      </c>
      <c r="Y26" s="1"/>
      <c r="Z26" s="5">
        <f t="shared" si="20"/>
        <v>1.2537488920276147</v>
      </c>
    </row>
    <row r="27" spans="1:26" s="24" customFormat="1" hidden="1" outlineLevel="2" x14ac:dyDescent="0.35">
      <c r="A27" s="29"/>
      <c r="B27" s="11" t="str">
        <f>CONCATENATE("          ", "6111", " - ", "F.I.C.A.")</f>
        <v xml:space="preserve">          6111 - F.I.C.A.</v>
      </c>
      <c r="C27" s="11"/>
      <c r="D27" s="7">
        <v>1178.27</v>
      </c>
      <c r="E27" s="2"/>
      <c r="F27" s="6">
        <f t="shared" si="13"/>
        <v>0</v>
      </c>
      <c r="G27" s="2"/>
      <c r="H27" s="7">
        <v>758.85043424999992</v>
      </c>
      <c r="I27" s="2"/>
      <c r="J27" s="6">
        <f t="shared" si="14"/>
        <v>3.218741237911435E-2</v>
      </c>
      <c r="K27" s="2"/>
      <c r="L27" s="7">
        <f t="shared" si="15"/>
        <v>419.41956575000006</v>
      </c>
      <c r="M27" s="2"/>
      <c r="N27" s="6">
        <f t="shared" si="16"/>
        <v>0.55270386207860311</v>
      </c>
      <c r="O27" s="11"/>
      <c r="P27" s="7">
        <v>10877.71</v>
      </c>
      <c r="Q27" s="2"/>
      <c r="R27" s="6">
        <f t="shared" si="17"/>
        <v>0.2410001395790915</v>
      </c>
      <c r="S27" s="2"/>
      <c r="T27" s="7">
        <v>4970.4011803500007</v>
      </c>
      <c r="U27" s="2"/>
      <c r="V27" s="6">
        <f t="shared" si="18"/>
        <v>4.409746065573044E-2</v>
      </c>
      <c r="W27" s="2"/>
      <c r="X27" s="7">
        <f t="shared" si="19"/>
        <v>5907.3088196499984</v>
      </c>
      <c r="Y27" s="2"/>
      <c r="Z27" s="6">
        <f t="shared" si="20"/>
        <v>1.188497387897776</v>
      </c>
    </row>
    <row r="28" spans="1:26" s="24" customFormat="1" hidden="1" outlineLevel="2" x14ac:dyDescent="0.3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227.35</v>
      </c>
      <c r="E28" s="2"/>
      <c r="F28" s="6">
        <f t="shared" si="13"/>
        <v>0</v>
      </c>
      <c r="G28" s="2"/>
      <c r="H28" s="7">
        <v>614.11028249999993</v>
      </c>
      <c r="I28" s="2"/>
      <c r="J28" s="6">
        <f t="shared" si="14"/>
        <v>2.6048111744994908E-2</v>
      </c>
      <c r="K28" s="2"/>
      <c r="L28" s="7">
        <f t="shared" si="15"/>
        <v>-386.7602824999999</v>
      </c>
      <c r="M28" s="2"/>
      <c r="N28" s="6">
        <f t="shared" si="16"/>
        <v>-0.62978962170365538</v>
      </c>
      <c r="O28" s="11"/>
      <c r="P28" s="7">
        <v>4758.9799999999996</v>
      </c>
      <c r="Q28" s="2"/>
      <c r="R28" s="6">
        <f t="shared" si="17"/>
        <v>0.10543715949902184</v>
      </c>
      <c r="S28" s="2"/>
      <c r="T28" s="7">
        <v>3824.1100755000002</v>
      </c>
      <c r="U28" s="2"/>
      <c r="V28" s="6">
        <f t="shared" si="18"/>
        <v>3.392755181698813E-2</v>
      </c>
      <c r="W28" s="2"/>
      <c r="X28" s="7">
        <f t="shared" si="19"/>
        <v>934.86992449999934</v>
      </c>
      <c r="Y28" s="2"/>
      <c r="Z28" s="6">
        <f t="shared" si="20"/>
        <v>0.24446731554341192</v>
      </c>
    </row>
    <row r="29" spans="1:26" s="24" customFormat="1" hidden="1" outlineLevel="2" x14ac:dyDescent="0.35">
      <c r="A29" s="29"/>
      <c r="B29" s="11" t="str">
        <f>CONCATENATE("          ", "6113", " - ", "GROUP INSURANCE")</f>
        <v xml:space="preserve">          6113 - GROUP INSURANCE</v>
      </c>
      <c r="C29" s="11"/>
      <c r="D29" s="7">
        <v>6634.06</v>
      </c>
      <c r="E29" s="2"/>
      <c r="F29" s="6">
        <f t="shared" si="13"/>
        <v>0</v>
      </c>
      <c r="G29" s="2"/>
      <c r="H29" s="7">
        <v>3384.0384615384601</v>
      </c>
      <c r="I29" s="2"/>
      <c r="J29" s="6">
        <f t="shared" si="14"/>
        <v>0.14353743050298864</v>
      </c>
      <c r="K29" s="2"/>
      <c r="L29" s="7">
        <f t="shared" si="15"/>
        <v>3250.0215384615403</v>
      </c>
      <c r="M29" s="2"/>
      <c r="N29" s="6">
        <f t="shared" si="16"/>
        <v>0.96039734045576053</v>
      </c>
      <c r="O29" s="11"/>
      <c r="P29" s="7">
        <v>47565.45</v>
      </c>
      <c r="Q29" s="2"/>
      <c r="R29" s="6">
        <f t="shared" si="17"/>
        <v>1.0538321107238837</v>
      </c>
      <c r="S29" s="2"/>
      <c r="T29" s="7">
        <v>22614.499999999989</v>
      </c>
      <c r="U29" s="2"/>
      <c r="V29" s="6">
        <f t="shared" si="18"/>
        <v>0.20063612328548353</v>
      </c>
      <c r="W29" s="2"/>
      <c r="X29" s="7">
        <f t="shared" si="19"/>
        <v>24950.950000000008</v>
      </c>
      <c r="Y29" s="2"/>
      <c r="Z29" s="6">
        <f t="shared" si="20"/>
        <v>1.1033164562559428</v>
      </c>
    </row>
    <row r="30" spans="1:26" s="24" customFormat="1" hidden="1" outlineLevel="2" x14ac:dyDescent="0.3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107.19</v>
      </c>
      <c r="E30" s="2"/>
      <c r="F30" s="6">
        <f t="shared" si="13"/>
        <v>0</v>
      </c>
      <c r="G30" s="2"/>
      <c r="H30" s="7">
        <v>37.218805000000003</v>
      </c>
      <c r="I30" s="2"/>
      <c r="J30" s="6">
        <f t="shared" si="14"/>
        <v>1.5786734390906007E-3</v>
      </c>
      <c r="K30" s="2"/>
      <c r="L30" s="7">
        <f t="shared" si="15"/>
        <v>69.971194999999994</v>
      </c>
      <c r="M30" s="2"/>
      <c r="N30" s="6">
        <f t="shared" si="16"/>
        <v>1.8799957440868933</v>
      </c>
      <c r="O30" s="11"/>
      <c r="P30" s="7">
        <v>420.19</v>
      </c>
      <c r="Q30" s="2"/>
      <c r="R30" s="6">
        <f t="shared" si="17"/>
        <v>9.3094822945030218E-3</v>
      </c>
      <c r="S30" s="2"/>
      <c r="T30" s="7">
        <v>231.76424700000001</v>
      </c>
      <c r="U30" s="2"/>
      <c r="V30" s="6">
        <f t="shared" si="18"/>
        <v>2.0562152616356443E-3</v>
      </c>
      <c r="W30" s="2"/>
      <c r="X30" s="7">
        <f t="shared" si="19"/>
        <v>188.42575299999999</v>
      </c>
      <c r="Y30" s="2"/>
      <c r="Z30" s="6">
        <f t="shared" si="20"/>
        <v>0.81300612773116798</v>
      </c>
    </row>
    <row r="31" spans="1:26" s="24" customFormat="1" hidden="1" outlineLevel="2" x14ac:dyDescent="0.35">
      <c r="A31" s="29"/>
      <c r="B31" s="11" t="str">
        <f>CONCATENATE("          ", "6115", " - ", "P.E.R.S.")</f>
        <v xml:space="preserve">          6115 - P.E.R.S.</v>
      </c>
      <c r="C31" s="11"/>
      <c r="D31" s="7">
        <v>2127.25</v>
      </c>
      <c r="E31" s="2"/>
      <c r="F31" s="6">
        <f t="shared" si="13"/>
        <v>0</v>
      </c>
      <c r="G31" s="2"/>
      <c r="H31" s="7">
        <v>542.72235000000001</v>
      </c>
      <c r="I31" s="2"/>
      <c r="J31" s="6">
        <f t="shared" si="14"/>
        <v>2.3020120037326095E-2</v>
      </c>
      <c r="K31" s="2"/>
      <c r="L31" s="7">
        <f t="shared" si="15"/>
        <v>1584.52765</v>
      </c>
      <c r="M31" s="2"/>
      <c r="N31" s="6">
        <f t="shared" si="16"/>
        <v>2.9195916659780088</v>
      </c>
      <c r="O31" s="11"/>
      <c r="P31" s="7">
        <v>11383.39</v>
      </c>
      <c r="Q31" s="2"/>
      <c r="R31" s="6">
        <f t="shared" si="17"/>
        <v>0.25220368798977305</v>
      </c>
      <c r="S31" s="2"/>
      <c r="T31" s="7">
        <v>3364.8785699999999</v>
      </c>
      <c r="U31" s="2"/>
      <c r="V31" s="6">
        <f t="shared" si="18"/>
        <v>2.9853244228755967E-2</v>
      </c>
      <c r="W31" s="2"/>
      <c r="X31" s="7">
        <f t="shared" si="19"/>
        <v>8018.5114299999996</v>
      </c>
      <c r="Y31" s="2"/>
      <c r="Z31" s="6">
        <f t="shared" si="20"/>
        <v>2.3830017230012555</v>
      </c>
    </row>
    <row r="32" spans="1:26" s="24" customFormat="1" hidden="1" outlineLevel="2" x14ac:dyDescent="0.3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35">
      <c r="A33" s="29"/>
      <c r="B33" s="11" t="str">
        <f>CONCATENATE("          ", "6118", " - ", "VACATION")</f>
        <v xml:space="preserve">          6118 - VACATION</v>
      </c>
      <c r="C33" s="11"/>
      <c r="D33" s="7">
        <v>1401.26</v>
      </c>
      <c r="E33" s="2"/>
      <c r="F33" s="6">
        <f t="shared" si="13"/>
        <v>0</v>
      </c>
      <c r="G33" s="2"/>
      <c r="H33" s="7">
        <v>495.78625</v>
      </c>
      <c r="I33" s="2"/>
      <c r="J33" s="6">
        <f t="shared" si="14"/>
        <v>2.102927765524262E-2</v>
      </c>
      <c r="K33" s="2"/>
      <c r="L33" s="7">
        <f t="shared" si="15"/>
        <v>905.47375</v>
      </c>
      <c r="M33" s="2"/>
      <c r="N33" s="6">
        <f t="shared" si="16"/>
        <v>1.8263389716838658</v>
      </c>
      <c r="O33" s="11"/>
      <c r="P33" s="7">
        <v>10217.48</v>
      </c>
      <c r="Q33" s="2"/>
      <c r="R33" s="6">
        <f t="shared" si="17"/>
        <v>0.2263724723445078</v>
      </c>
      <c r="S33" s="2"/>
      <c r="T33" s="7">
        <v>3121.2547500000001</v>
      </c>
      <c r="U33" s="2"/>
      <c r="V33" s="6">
        <f t="shared" si="18"/>
        <v>2.7691810689000479E-2</v>
      </c>
      <c r="W33" s="2"/>
      <c r="X33" s="7">
        <f t="shared" si="19"/>
        <v>7096.2252499999995</v>
      </c>
      <c r="Y33" s="2"/>
      <c r="Z33" s="6">
        <f t="shared" si="20"/>
        <v>2.2735168444677574</v>
      </c>
    </row>
    <row r="34" spans="1:26" s="24" customFormat="1" hidden="1" outlineLevel="2" x14ac:dyDescent="0.35">
      <c r="A34" s="29"/>
      <c r="B34" s="11" t="str">
        <f>CONCATENATE("          ", "6119", " - ", "SICK LEAVE")</f>
        <v xml:space="preserve">          6119 - SICK LEAVE</v>
      </c>
      <c r="C34" s="11"/>
      <c r="D34" s="7">
        <v>872.28</v>
      </c>
      <c r="E34" s="2"/>
      <c r="F34" s="6">
        <f t="shared" si="13"/>
        <v>0</v>
      </c>
      <c r="G34" s="2"/>
      <c r="H34" s="7">
        <v>627.76224999999999</v>
      </c>
      <c r="I34" s="2"/>
      <c r="J34" s="6">
        <f t="shared" si="14"/>
        <v>2.6627173820834748E-2</v>
      </c>
      <c r="K34" s="2"/>
      <c r="L34" s="7">
        <f t="shared" si="15"/>
        <v>244.51774999999998</v>
      </c>
      <c r="M34" s="2"/>
      <c r="N34" s="6">
        <f t="shared" si="16"/>
        <v>0.38950693514941365</v>
      </c>
      <c r="O34" s="11"/>
      <c r="P34" s="7">
        <v>6456.88</v>
      </c>
      <c r="Q34" s="2"/>
      <c r="R34" s="6">
        <f t="shared" si="17"/>
        <v>0.14305483242754627</v>
      </c>
      <c r="S34" s="2"/>
      <c r="T34" s="7">
        <v>3922.7047500000003</v>
      </c>
      <c r="U34" s="2"/>
      <c r="V34" s="6">
        <f t="shared" si="18"/>
        <v>3.4802284986780702E-2</v>
      </c>
      <c r="W34" s="2"/>
      <c r="X34" s="7">
        <f t="shared" si="19"/>
        <v>2534.1752499999998</v>
      </c>
      <c r="Y34" s="2"/>
      <c r="Z34" s="6">
        <f t="shared" si="20"/>
        <v>0.64602752730752921</v>
      </c>
    </row>
    <row r="35" spans="1:26" s="24" customFormat="1" hidden="1" outlineLevel="2" x14ac:dyDescent="0.35">
      <c r="A35" s="29"/>
      <c r="B35" s="11" t="str">
        <f>CONCATENATE("          ", "6156", " - ", "EMPLOYEE MEALS")</f>
        <v xml:space="preserve">          6156 - EMPLOYEE MEALS</v>
      </c>
      <c r="C35" s="11"/>
      <c r="D35" s="7">
        <v>103.03</v>
      </c>
      <c r="E35" s="2"/>
      <c r="F35" s="6">
        <f t="shared" si="13"/>
        <v>0</v>
      </c>
      <c r="G35" s="2"/>
      <c r="H35" s="7"/>
      <c r="I35" s="2"/>
      <c r="J35" s="6">
        <f t="shared" si="14"/>
        <v>0</v>
      </c>
      <c r="K35" s="2"/>
      <c r="L35" s="7">
        <f t="shared" si="15"/>
        <v>103.03</v>
      </c>
      <c r="M35" s="2"/>
      <c r="N35" s="6">
        <f t="shared" si="16"/>
        <v>0</v>
      </c>
      <c r="O35" s="11"/>
      <c r="P35" s="7">
        <v>3089.19</v>
      </c>
      <c r="Q35" s="2"/>
      <c r="R35" s="6">
        <f t="shared" si="17"/>
        <v>6.8442275183502196E-2</v>
      </c>
      <c r="S35" s="2"/>
      <c r="T35" s="7"/>
      <c r="U35" s="2"/>
      <c r="V35" s="6">
        <f t="shared" si="18"/>
        <v>0</v>
      </c>
      <c r="W35" s="2"/>
      <c r="X35" s="7">
        <f t="shared" si="19"/>
        <v>3089.19</v>
      </c>
      <c r="Y35" s="2"/>
      <c r="Z35" s="6">
        <f t="shared" si="20"/>
        <v>0</v>
      </c>
    </row>
    <row r="36" spans="1:26" s="28" customFormat="1" outlineLevel="1" collapsed="1" x14ac:dyDescent="0.35">
      <c r="A36" s="27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15294.730000000001</v>
      </c>
      <c r="E36" s="1"/>
      <c r="F36" s="5">
        <f t="shared" ref="F36:F46" si="21">IF(D$12=0,0,D36/D$12)</f>
        <v>0</v>
      </c>
      <c r="G36" s="1"/>
      <c r="H36" s="1">
        <f>SUM(OSRRefH22_1x_0)</f>
        <v>13191.3765</v>
      </c>
      <c r="I36" s="1"/>
      <c r="J36" s="5">
        <f t="shared" ref="J36:J46" si="22">IF(H$12=0,0,H36/H$12)</f>
        <v>0.55952564048184594</v>
      </c>
      <c r="K36" s="1"/>
      <c r="L36" s="1">
        <f t="shared" ref="L36:L46" si="23">+D36-H36</f>
        <v>2103.3535000000011</v>
      </c>
      <c r="M36" s="1"/>
      <c r="N36" s="5">
        <f t="shared" ref="N36:N46" si="24">IF(H36=0,0,L36/H36)</f>
        <v>0.15944912951275411</v>
      </c>
      <c r="O36" s="14"/>
      <c r="P36" s="1">
        <f>SUM(OSRRefP22_1x_0)</f>
        <v>123371.81000000001</v>
      </c>
      <c r="Q36" s="1"/>
      <c r="R36" s="5">
        <f t="shared" ref="R36:R46" si="25">IF(P$12=0,0,P36/P$12)</f>
        <v>2.7333531993521762</v>
      </c>
      <c r="S36" s="1"/>
      <c r="T36" s="1">
        <f>SUM(OSRRefT22_1x_0)</f>
        <v>82096.135500000004</v>
      </c>
      <c r="U36" s="1"/>
      <c r="V36" s="5">
        <f t="shared" ref="V36:V46" si="26">IF(T$12=0,0,T36/T$12)</f>
        <v>0.7283579280302358</v>
      </c>
      <c r="W36" s="1"/>
      <c r="X36" s="1">
        <f t="shared" ref="X36:X46" si="27">+P36-T36</f>
        <v>41275.674500000008</v>
      </c>
      <c r="Y36" s="1"/>
      <c r="Z36" s="5">
        <f t="shared" ref="Z36:Z46" si="28">IF(T36=0,0,X36/T36)</f>
        <v>0.50277244170646751</v>
      </c>
    </row>
    <row r="37" spans="1:26" s="24" customFormat="1" hidden="1" outlineLevel="2" x14ac:dyDescent="0.35">
      <c r="A37" s="29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/>
      <c r="Q37" s="2"/>
      <c r="R37" s="6">
        <f t="shared" si="25"/>
        <v>0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0</v>
      </c>
      <c r="Y37" s="2"/>
      <c r="Z37" s="6">
        <f t="shared" si="28"/>
        <v>0</v>
      </c>
    </row>
    <row r="38" spans="1:26" s="24" customFormat="1" hidden="1" outlineLevel="2" x14ac:dyDescent="0.35">
      <c r="A38" s="29"/>
      <c r="B38" s="11" t="str">
        <f>CONCATENATE("          ", "6002", " - ", "STAFF SALARIES")</f>
        <v xml:space="preserve">          6002 - STAFF SALARIES</v>
      </c>
      <c r="C38" s="11"/>
      <c r="D38" s="7">
        <v>14173.28</v>
      </c>
      <c r="E38" s="2"/>
      <c r="F38" s="6">
        <f t="shared" si="21"/>
        <v>0</v>
      </c>
      <c r="G38" s="2"/>
      <c r="H38" s="7">
        <v>5679.6524999999992</v>
      </c>
      <c r="I38" s="2"/>
      <c r="J38" s="6">
        <f t="shared" si="22"/>
        <v>0.24090823294876143</v>
      </c>
      <c r="K38" s="2"/>
      <c r="L38" s="7">
        <f t="shared" si="23"/>
        <v>8493.6275000000023</v>
      </c>
      <c r="M38" s="2"/>
      <c r="N38" s="6">
        <f t="shared" si="24"/>
        <v>1.4954484451293462</v>
      </c>
      <c r="O38" s="11"/>
      <c r="P38" s="7">
        <v>99224.31</v>
      </c>
      <c r="Q38" s="2"/>
      <c r="R38" s="6">
        <f t="shared" si="25"/>
        <v>2.1983554038156052</v>
      </c>
      <c r="S38" s="2"/>
      <c r="T38" s="7">
        <v>35213.845499999996</v>
      </c>
      <c r="U38" s="2"/>
      <c r="V38" s="6">
        <f t="shared" si="26"/>
        <v>0.3124176721613996</v>
      </c>
      <c r="W38" s="2"/>
      <c r="X38" s="7">
        <f t="shared" si="27"/>
        <v>64010.464500000002</v>
      </c>
      <c r="Y38" s="2"/>
      <c r="Z38" s="6">
        <f t="shared" si="28"/>
        <v>1.8177641092904782</v>
      </c>
    </row>
    <row r="39" spans="1:26" s="24" customFormat="1" hidden="1" outlineLevel="2" x14ac:dyDescent="0.35">
      <c r="A39" s="29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/>
      <c r="Q39" s="2"/>
      <c r="R39" s="6">
        <f t="shared" si="25"/>
        <v>0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0</v>
      </c>
      <c r="Y39" s="2"/>
      <c r="Z39" s="6">
        <f t="shared" si="28"/>
        <v>0</v>
      </c>
    </row>
    <row r="40" spans="1:26" s="24" customFormat="1" hidden="1" outlineLevel="2" x14ac:dyDescent="0.35">
      <c r="A40" s="29"/>
      <c r="B40" s="11" t="str">
        <f>CONCATENATE("          ", "6004", " - ", "STAFF HOURLY")</f>
        <v xml:space="preserve">          6004 - STAFF HOURLY</v>
      </c>
      <c r="C40" s="11"/>
      <c r="D40" s="7">
        <v>960.45</v>
      </c>
      <c r="E40" s="2"/>
      <c r="F40" s="6">
        <f t="shared" si="21"/>
        <v>0</v>
      </c>
      <c r="G40" s="2"/>
      <c r="H40" s="7">
        <v>3244.5</v>
      </c>
      <c r="I40" s="2"/>
      <c r="J40" s="6">
        <f t="shared" si="22"/>
        <v>0.1376187648456057</v>
      </c>
      <c r="K40" s="2"/>
      <c r="L40" s="7">
        <f t="shared" si="23"/>
        <v>-2284.0500000000002</v>
      </c>
      <c r="M40" s="2"/>
      <c r="N40" s="6">
        <f t="shared" si="24"/>
        <v>-0.70397595931576518</v>
      </c>
      <c r="O40" s="11"/>
      <c r="P40" s="7">
        <v>21485.08</v>
      </c>
      <c r="Q40" s="2"/>
      <c r="R40" s="6">
        <f t="shared" si="25"/>
        <v>0.47601078525424451</v>
      </c>
      <c r="S40" s="2"/>
      <c r="T40" s="7">
        <v>20968.740000000002</v>
      </c>
      <c r="U40" s="2"/>
      <c r="V40" s="6">
        <f t="shared" si="26"/>
        <v>0.186034920240609</v>
      </c>
      <c r="W40" s="2"/>
      <c r="X40" s="7">
        <f t="shared" si="27"/>
        <v>516.34000000000015</v>
      </c>
      <c r="Y40" s="2"/>
      <c r="Z40" s="6">
        <f t="shared" si="28"/>
        <v>2.4624274038401932E-2</v>
      </c>
    </row>
    <row r="41" spans="1:26" s="24" customFormat="1" hidden="1" outlineLevel="2" x14ac:dyDescent="0.35">
      <c r="A41" s="29"/>
      <c r="B41" s="11" t="str">
        <f>CONCATENATE("          ", "6005", " - ", "TEMPORARY WAGES-HOURLY")</f>
        <v xml:space="preserve">          6005 - TEMPORARY WAGES-HOURLY</v>
      </c>
      <c r="C41" s="11"/>
      <c r="D41" s="7"/>
      <c r="E41" s="2"/>
      <c r="F41" s="6">
        <f t="shared" si="21"/>
        <v>0</v>
      </c>
      <c r="G41" s="2"/>
      <c r="H41" s="7">
        <v>1815.84</v>
      </c>
      <c r="I41" s="2"/>
      <c r="J41" s="6">
        <f t="shared" si="22"/>
        <v>7.7020699015948421E-2</v>
      </c>
      <c r="K41" s="2"/>
      <c r="L41" s="7">
        <f t="shared" si="23"/>
        <v>-1815.84</v>
      </c>
      <c r="M41" s="2"/>
      <c r="N41" s="6">
        <f t="shared" si="24"/>
        <v>-1</v>
      </c>
      <c r="O41" s="11"/>
      <c r="P41" s="7">
        <v>2431.71</v>
      </c>
      <c r="Q41" s="2"/>
      <c r="R41" s="6">
        <f t="shared" si="25"/>
        <v>5.3875535330126713E-2</v>
      </c>
      <c r="S41" s="2"/>
      <c r="T41" s="7">
        <v>11697.036</v>
      </c>
      <c r="U41" s="2"/>
      <c r="V41" s="6">
        <f t="shared" si="26"/>
        <v>0.10377624784853701</v>
      </c>
      <c r="W41" s="2"/>
      <c r="X41" s="7">
        <f t="shared" si="27"/>
        <v>-9265.3260000000009</v>
      </c>
      <c r="Y41" s="2"/>
      <c r="Z41" s="6">
        <f t="shared" si="28"/>
        <v>-0.79210887270929153</v>
      </c>
    </row>
    <row r="42" spans="1:26" s="24" customFormat="1" hidden="1" outlineLevel="2" x14ac:dyDescent="0.35">
      <c r="A42" s="29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/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35">
      <c r="A43" s="29"/>
      <c r="B43" s="11" t="str">
        <f>CONCATENATE("          ", "6007", " - ", "STUDENT HOURLY")</f>
        <v xml:space="preserve">          6007 - STUDENT HOURLY</v>
      </c>
      <c r="C43" s="11"/>
      <c r="D43" s="7">
        <v>161</v>
      </c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161</v>
      </c>
      <c r="M43" s="2"/>
      <c r="N43" s="6">
        <f t="shared" si="24"/>
        <v>0</v>
      </c>
      <c r="O43" s="11"/>
      <c r="P43" s="7">
        <v>230.71</v>
      </c>
      <c r="Q43" s="2"/>
      <c r="R43" s="6">
        <f t="shared" si="25"/>
        <v>5.1114749521997006E-3</v>
      </c>
      <c r="S43" s="2"/>
      <c r="T43" s="7">
        <v>2446.34</v>
      </c>
      <c r="U43" s="2"/>
      <c r="V43" s="6">
        <f t="shared" si="26"/>
        <v>2.17039586919105E-2</v>
      </c>
      <c r="W43" s="2"/>
      <c r="X43" s="7">
        <f t="shared" si="27"/>
        <v>-2215.63</v>
      </c>
      <c r="Y43" s="2"/>
      <c r="Z43" s="6">
        <f t="shared" si="28"/>
        <v>-0.90569176811072871</v>
      </c>
    </row>
    <row r="44" spans="1:26" s="24" customFormat="1" hidden="1" outlineLevel="2" x14ac:dyDescent="0.35">
      <c r="A44" s="29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1"/>
        <v>0</v>
      </c>
      <c r="G44" s="2"/>
      <c r="H44" s="7">
        <v>2451.384</v>
      </c>
      <c r="I44" s="2"/>
      <c r="J44" s="6">
        <f t="shared" si="22"/>
        <v>0.10397794367153038</v>
      </c>
      <c r="K44" s="2"/>
      <c r="L44" s="7">
        <f t="shared" si="23"/>
        <v>-2451.384</v>
      </c>
      <c r="M44" s="2"/>
      <c r="N44" s="6">
        <f t="shared" si="24"/>
        <v>-1</v>
      </c>
      <c r="O44" s="11"/>
      <c r="P44" s="7"/>
      <c r="Q44" s="2"/>
      <c r="R44" s="6">
        <f t="shared" si="25"/>
        <v>0</v>
      </c>
      <c r="S44" s="2"/>
      <c r="T44" s="7">
        <v>11770.174000000001</v>
      </c>
      <c r="U44" s="2"/>
      <c r="V44" s="6">
        <f t="shared" si="26"/>
        <v>0.10442512908777969</v>
      </c>
      <c r="W44" s="2"/>
      <c r="X44" s="7">
        <f t="shared" si="27"/>
        <v>-11770.174000000001</v>
      </c>
      <c r="Y44" s="2"/>
      <c r="Z44" s="6">
        <f t="shared" si="28"/>
        <v>-1</v>
      </c>
    </row>
    <row r="45" spans="1:26" s="24" customFormat="1" hidden="1" outlineLevel="2" x14ac:dyDescent="0.35">
      <c r="A45" s="29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0</v>
      </c>
      <c r="Y45" s="2"/>
      <c r="Z45" s="6">
        <f t="shared" si="28"/>
        <v>0</v>
      </c>
    </row>
    <row r="46" spans="1:26" s="24" customFormat="1" hidden="1" outlineLevel="2" x14ac:dyDescent="0.35">
      <c r="A46" s="29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8" customFormat="1" outlineLevel="1" collapsed="1" x14ac:dyDescent="0.35">
      <c r="A47" s="27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5.4</v>
      </c>
      <c r="E47" s="1"/>
      <c r="F47" s="5">
        <f t="shared" ref="F47:F55" si="29">IF(D$12=0,0,D47/D$12)</f>
        <v>0</v>
      </c>
      <c r="G47" s="1"/>
      <c r="H47" s="1">
        <f>SUM(OSRRefH22_2x_0)</f>
        <v>489</v>
      </c>
      <c r="I47" s="1"/>
      <c r="J47" s="5">
        <f t="shared" ref="J47:J55" si="30">IF(H$12=0,0,H47/H$12)</f>
        <v>2.0741431964709876E-2</v>
      </c>
      <c r="K47" s="1"/>
      <c r="L47" s="1">
        <f t="shared" ref="L47:L55" si="31">+D47-H47</f>
        <v>-483.6</v>
      </c>
      <c r="M47" s="1"/>
      <c r="N47" s="5">
        <f t="shared" ref="N47:N55" si="32">IF(H47=0,0,L47/H47)</f>
        <v>-0.98895705521472399</v>
      </c>
      <c r="O47" s="14"/>
      <c r="P47" s="1">
        <f>SUM(OSRRefP22_2x_0)</f>
        <v>139.35</v>
      </c>
      <c r="Q47" s="1"/>
      <c r="R47" s="5">
        <f t="shared" ref="R47:R55" si="33">IF(P$12=0,0,P47/P$12)</f>
        <v>3.0873565714057832E-3</v>
      </c>
      <c r="S47" s="1"/>
      <c r="T47" s="1">
        <f>SUM(OSRRefT22_2x_0)</f>
        <v>4183</v>
      </c>
      <c r="U47" s="1"/>
      <c r="V47" s="5">
        <f t="shared" ref="V47:V55" si="34">IF(T$12=0,0,T47/T$12)</f>
        <v>3.71116276593857E-2</v>
      </c>
      <c r="W47" s="1"/>
      <c r="X47" s="1">
        <f t="shared" ref="X47:X55" si="35">+P47-T47</f>
        <v>-4043.65</v>
      </c>
      <c r="Y47" s="1"/>
      <c r="Z47" s="5">
        <f t="shared" ref="Z47:Z55" si="36">IF(T47=0,0,X47/T47)</f>
        <v>-0.96668658857279466</v>
      </c>
    </row>
    <row r="48" spans="1:26" s="24" customFormat="1" hidden="1" outlineLevel="2" x14ac:dyDescent="0.35">
      <c r="A48" s="29"/>
      <c r="B48" s="11" t="str">
        <f>CONCATENATE("          ", "6362", " - ", "ADVERTISING EXPENSE")</f>
        <v xml:space="preserve">          6362 - ADVERTISING EXPENSE</v>
      </c>
      <c r="C48" s="11"/>
      <c r="D48" s="7">
        <v>5.4</v>
      </c>
      <c r="E48" s="2"/>
      <c r="F48" s="6">
        <f t="shared" si="29"/>
        <v>0</v>
      </c>
      <c r="G48" s="2"/>
      <c r="H48" s="7">
        <v>489</v>
      </c>
      <c r="I48" s="2"/>
      <c r="J48" s="6">
        <f t="shared" si="30"/>
        <v>2.0741431964709876E-2</v>
      </c>
      <c r="K48" s="2"/>
      <c r="L48" s="7">
        <f t="shared" si="31"/>
        <v>-483.6</v>
      </c>
      <c r="M48" s="2"/>
      <c r="N48" s="6">
        <f t="shared" si="32"/>
        <v>-0.98895705521472399</v>
      </c>
      <c r="O48" s="11"/>
      <c r="P48" s="7">
        <v>139.35</v>
      </c>
      <c r="Q48" s="2"/>
      <c r="R48" s="6">
        <f t="shared" si="33"/>
        <v>3.0873565714057832E-3</v>
      </c>
      <c r="S48" s="2"/>
      <c r="T48" s="7">
        <v>4183</v>
      </c>
      <c r="U48" s="2"/>
      <c r="V48" s="6">
        <f t="shared" si="34"/>
        <v>3.71116276593857E-2</v>
      </c>
      <c r="W48" s="2"/>
      <c r="X48" s="7">
        <f t="shared" si="35"/>
        <v>-4043.65</v>
      </c>
      <c r="Y48" s="2"/>
      <c r="Z48" s="6">
        <f t="shared" si="36"/>
        <v>-0.96668658857279466</v>
      </c>
    </row>
    <row r="49" spans="1:26" s="28" customFormat="1" outlineLevel="1" collapsed="1" x14ac:dyDescent="0.35">
      <c r="A49" s="27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0</v>
      </c>
      <c r="E49" s="1"/>
      <c r="F49" s="5">
        <f t="shared" si="29"/>
        <v>0</v>
      </c>
      <c r="G49" s="1"/>
      <c r="H49" s="1">
        <f>SUM(OSRRefH22_3x_0)</f>
        <v>5</v>
      </c>
      <c r="I49" s="1"/>
      <c r="J49" s="5">
        <f t="shared" si="30"/>
        <v>2.1208008143875127E-4</v>
      </c>
      <c r="K49" s="1"/>
      <c r="L49" s="1">
        <f t="shared" si="31"/>
        <v>-5</v>
      </c>
      <c r="M49" s="1"/>
      <c r="N49" s="5">
        <f t="shared" si="32"/>
        <v>-1</v>
      </c>
      <c r="O49" s="14"/>
      <c r="P49" s="1">
        <f>SUM(OSRRefP22_3x_0)</f>
        <v>8.7899999999999991</v>
      </c>
      <c r="Q49" s="1"/>
      <c r="R49" s="5">
        <f t="shared" si="33"/>
        <v>1.9474606575282978E-4</v>
      </c>
      <c r="S49" s="1"/>
      <c r="T49" s="1">
        <f>SUM(OSRRefT22_3x_0)</f>
        <v>65</v>
      </c>
      <c r="U49" s="1"/>
      <c r="V49" s="5">
        <f t="shared" si="34"/>
        <v>5.7668080273967745E-4</v>
      </c>
      <c r="W49" s="1"/>
      <c r="X49" s="1">
        <f t="shared" si="35"/>
        <v>-56.21</v>
      </c>
      <c r="Y49" s="1"/>
      <c r="Z49" s="5">
        <f t="shared" si="36"/>
        <v>-0.86476923076923073</v>
      </c>
    </row>
    <row r="50" spans="1:26" s="24" customFormat="1" hidden="1" outlineLevel="2" x14ac:dyDescent="0.35">
      <c r="A50" s="29"/>
      <c r="B50" s="11" t="str">
        <f>CONCATENATE("          ", "6272", " - ", "CASH (OVER/SHORT)")</f>
        <v xml:space="preserve">          6272 - CASH (OVER/SHORT)</v>
      </c>
      <c r="C50" s="11"/>
      <c r="D50" s="7"/>
      <c r="E50" s="2"/>
      <c r="F50" s="6">
        <f t="shared" si="29"/>
        <v>0</v>
      </c>
      <c r="G50" s="2"/>
      <c r="H50" s="7">
        <v>5</v>
      </c>
      <c r="I50" s="2"/>
      <c r="J50" s="6">
        <f t="shared" si="30"/>
        <v>2.1208008143875127E-4</v>
      </c>
      <c r="K50" s="2"/>
      <c r="L50" s="7">
        <f t="shared" si="31"/>
        <v>-5</v>
      </c>
      <c r="M50" s="2"/>
      <c r="N50" s="6">
        <f t="shared" si="32"/>
        <v>-1</v>
      </c>
      <c r="O50" s="11"/>
      <c r="P50" s="7">
        <v>8.7899999999999991</v>
      </c>
      <c r="Q50" s="2"/>
      <c r="R50" s="6">
        <f t="shared" si="33"/>
        <v>1.9474606575282978E-4</v>
      </c>
      <c r="S50" s="2"/>
      <c r="T50" s="7">
        <v>65</v>
      </c>
      <c r="U50" s="2"/>
      <c r="V50" s="6">
        <f t="shared" si="34"/>
        <v>5.7668080273967745E-4</v>
      </c>
      <c r="W50" s="2"/>
      <c r="X50" s="7">
        <f t="shared" si="35"/>
        <v>-56.21</v>
      </c>
      <c r="Y50" s="2"/>
      <c r="Z50" s="6">
        <f t="shared" si="36"/>
        <v>-0.86476923076923073</v>
      </c>
    </row>
    <row r="51" spans="1:26" s="28" customFormat="1" outlineLevel="1" collapsed="1" x14ac:dyDescent="0.35">
      <c r="A51" s="27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179.1</v>
      </c>
      <c r="E51" s="1"/>
      <c r="F51" s="5">
        <f t="shared" si="29"/>
        <v>0</v>
      </c>
      <c r="G51" s="1"/>
      <c r="H51" s="1">
        <f>SUM(OSRRefH22_4x_0)</f>
        <v>1820</v>
      </c>
      <c r="I51" s="1"/>
      <c r="J51" s="5">
        <f t="shared" si="30"/>
        <v>7.7197149643705457E-2</v>
      </c>
      <c r="K51" s="1"/>
      <c r="L51" s="1">
        <f t="shared" si="31"/>
        <v>-1640.9</v>
      </c>
      <c r="M51" s="1"/>
      <c r="N51" s="5">
        <f t="shared" si="32"/>
        <v>-0.9015934065934067</v>
      </c>
      <c r="O51" s="14"/>
      <c r="P51" s="1">
        <f>SUM(OSRRefP22_4x_0)</f>
        <v>1245.95</v>
      </c>
      <c r="Q51" s="1"/>
      <c r="R51" s="5">
        <f t="shared" si="33"/>
        <v>2.7604534769594801E-2</v>
      </c>
      <c r="S51" s="1"/>
      <c r="T51" s="1">
        <f>SUM(OSRRefT22_4x_0)</f>
        <v>21068</v>
      </c>
      <c r="U51" s="1"/>
      <c r="V51" s="5">
        <f t="shared" si="34"/>
        <v>0.18691555618645422</v>
      </c>
      <c r="W51" s="1"/>
      <c r="X51" s="1">
        <f t="shared" si="35"/>
        <v>-19822.05</v>
      </c>
      <c r="Y51" s="1"/>
      <c r="Z51" s="5">
        <f t="shared" si="36"/>
        <v>-0.94086054680083531</v>
      </c>
    </row>
    <row r="52" spans="1:26" s="24" customFormat="1" hidden="1" outlineLevel="2" x14ac:dyDescent="0.35">
      <c r="A52" s="29"/>
      <c r="B52" s="11" t="str">
        <f>CONCATENATE("          ", "6381", " - ", "BANK/CREDIT CARD FEES")</f>
        <v xml:space="preserve">          6381 - BANK/CREDIT CARD FEES</v>
      </c>
      <c r="C52" s="11"/>
      <c r="D52" s="7">
        <v>179.1</v>
      </c>
      <c r="E52" s="2"/>
      <c r="F52" s="6">
        <f t="shared" si="29"/>
        <v>0</v>
      </c>
      <c r="G52" s="2"/>
      <c r="H52" s="7">
        <v>1820</v>
      </c>
      <c r="I52" s="2"/>
      <c r="J52" s="6">
        <f t="shared" si="30"/>
        <v>7.7197149643705457E-2</v>
      </c>
      <c r="K52" s="2"/>
      <c r="L52" s="7">
        <f t="shared" si="31"/>
        <v>-1640.9</v>
      </c>
      <c r="M52" s="2"/>
      <c r="N52" s="6">
        <f t="shared" si="32"/>
        <v>-0.9015934065934067</v>
      </c>
      <c r="O52" s="11"/>
      <c r="P52" s="7">
        <v>1245.95</v>
      </c>
      <c r="Q52" s="2"/>
      <c r="R52" s="6">
        <f t="shared" si="33"/>
        <v>2.7604534769594801E-2</v>
      </c>
      <c r="S52" s="2"/>
      <c r="T52" s="7">
        <v>21068</v>
      </c>
      <c r="U52" s="2"/>
      <c r="V52" s="6">
        <f t="shared" si="34"/>
        <v>0.18691555618645422</v>
      </c>
      <c r="W52" s="2"/>
      <c r="X52" s="7">
        <f t="shared" si="35"/>
        <v>-19822.05</v>
      </c>
      <c r="Y52" s="2"/>
      <c r="Z52" s="6">
        <f t="shared" si="36"/>
        <v>-0.94086054680083531</v>
      </c>
    </row>
    <row r="53" spans="1:26" s="28" customFormat="1" outlineLevel="1" collapsed="1" x14ac:dyDescent="0.35">
      <c r="A53" s="27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13902.32</v>
      </c>
      <c r="E53" s="1"/>
      <c r="F53" s="5">
        <f t="shared" si="29"/>
        <v>0</v>
      </c>
      <c r="G53" s="1"/>
      <c r="H53" s="1">
        <f>SUM(OSRRefH22_5x_0)</f>
        <v>13630</v>
      </c>
      <c r="I53" s="1"/>
      <c r="J53" s="5">
        <f t="shared" si="30"/>
        <v>0.57813030200203597</v>
      </c>
      <c r="K53" s="1"/>
      <c r="L53" s="1">
        <f t="shared" si="31"/>
        <v>272.31999999999971</v>
      </c>
      <c r="M53" s="1"/>
      <c r="N53" s="5">
        <f t="shared" si="32"/>
        <v>1.997945707997063E-2</v>
      </c>
      <c r="O53" s="14"/>
      <c r="P53" s="1">
        <f>SUM(OSRRefP22_5x_0)</f>
        <v>97281.51999999999</v>
      </c>
      <c r="Q53" s="1"/>
      <c r="R53" s="5">
        <f t="shared" si="33"/>
        <v>2.1553120922019597</v>
      </c>
      <c r="S53" s="1"/>
      <c r="T53" s="1">
        <f>SUM(OSRRefT22_5x_0)</f>
        <v>95638</v>
      </c>
      <c r="U53" s="1"/>
      <c r="V53" s="5">
        <f t="shared" si="34"/>
        <v>0.84850151711411181</v>
      </c>
      <c r="W53" s="1"/>
      <c r="X53" s="1">
        <f t="shared" si="35"/>
        <v>1643.5199999999895</v>
      </c>
      <c r="Y53" s="1"/>
      <c r="Z53" s="5">
        <f t="shared" si="36"/>
        <v>1.7184801020514749E-2</v>
      </c>
    </row>
    <row r="54" spans="1:26" s="24" customFormat="1" hidden="1" outlineLevel="2" x14ac:dyDescent="0.35">
      <c r="A54" s="29"/>
      <c r="B54" s="11" t="str">
        <f>CONCATENATE("          ", "6321", " - ", "BUILDING DEPRECIATION")</f>
        <v xml:space="preserve">          6321 - BUILDING DEPRECIATION</v>
      </c>
      <c r="C54" s="11"/>
      <c r="D54" s="7">
        <v>10597.26</v>
      </c>
      <c r="E54" s="2"/>
      <c r="F54" s="6">
        <f t="shared" si="29"/>
        <v>0</v>
      </c>
      <c r="G54" s="2"/>
      <c r="H54" s="7"/>
      <c r="I54" s="2"/>
      <c r="J54" s="6">
        <f t="shared" si="30"/>
        <v>0</v>
      </c>
      <c r="K54" s="2"/>
      <c r="L54" s="7">
        <f t="shared" si="31"/>
        <v>10597.26</v>
      </c>
      <c r="M54" s="2"/>
      <c r="N54" s="6">
        <f t="shared" si="32"/>
        <v>0</v>
      </c>
      <c r="O54" s="11"/>
      <c r="P54" s="7">
        <v>74180.819999999992</v>
      </c>
      <c r="Q54" s="2"/>
      <c r="R54" s="6">
        <f t="shared" si="33"/>
        <v>1.643506581264941</v>
      </c>
      <c r="S54" s="2"/>
      <c r="T54" s="7"/>
      <c r="U54" s="2"/>
      <c r="V54" s="6">
        <f t="shared" si="34"/>
        <v>0</v>
      </c>
      <c r="W54" s="2"/>
      <c r="X54" s="7">
        <f t="shared" si="35"/>
        <v>74180.819999999992</v>
      </c>
      <c r="Y54" s="2"/>
      <c r="Z54" s="6">
        <f t="shared" si="36"/>
        <v>0</v>
      </c>
    </row>
    <row r="55" spans="1:26" s="24" customFormat="1" hidden="1" outlineLevel="2" x14ac:dyDescent="0.35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3305.06</v>
      </c>
      <c r="E55" s="2"/>
      <c r="F55" s="6">
        <f t="shared" si="29"/>
        <v>0</v>
      </c>
      <c r="G55" s="2"/>
      <c r="H55" s="7">
        <v>13630</v>
      </c>
      <c r="I55" s="2"/>
      <c r="J55" s="6">
        <f t="shared" si="30"/>
        <v>0.57813030200203597</v>
      </c>
      <c r="K55" s="2"/>
      <c r="L55" s="7">
        <f t="shared" si="31"/>
        <v>-10324.94</v>
      </c>
      <c r="M55" s="2"/>
      <c r="N55" s="6">
        <f t="shared" si="32"/>
        <v>-0.75751577402787973</v>
      </c>
      <c r="O55" s="11"/>
      <c r="P55" s="7">
        <v>23100.7</v>
      </c>
      <c r="Q55" s="2"/>
      <c r="R55" s="6">
        <f t="shared" si="33"/>
        <v>0.51180551093701887</v>
      </c>
      <c r="S55" s="2"/>
      <c r="T55" s="7">
        <v>95638</v>
      </c>
      <c r="U55" s="2"/>
      <c r="V55" s="6">
        <f t="shared" si="34"/>
        <v>0.84850151711411181</v>
      </c>
      <c r="W55" s="2"/>
      <c r="X55" s="7">
        <f t="shared" si="35"/>
        <v>-72537.3</v>
      </c>
      <c r="Y55" s="2"/>
      <c r="Z55" s="6">
        <f t="shared" si="36"/>
        <v>-0.75845688952090173</v>
      </c>
    </row>
    <row r="56" spans="1:26" s="28" customFormat="1" outlineLevel="1" collapsed="1" x14ac:dyDescent="0.35">
      <c r="A56" s="27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SUM(OSRRefD22_6x_0)</f>
        <v>0</v>
      </c>
      <c r="E56" s="1"/>
      <c r="F56" s="5">
        <f t="shared" ref="F56:F68" si="37">IF(D$12=0,0,D56/D$12)</f>
        <v>0</v>
      </c>
      <c r="G56" s="1"/>
      <c r="H56" s="1">
        <f>SUM(OSRRefH22_6x_0)</f>
        <v>0</v>
      </c>
      <c r="I56" s="1"/>
      <c r="J56" s="5">
        <f t="shared" ref="J56:J68" si="38">IF(H$12=0,0,H56/H$12)</f>
        <v>0</v>
      </c>
      <c r="K56" s="1"/>
      <c r="L56" s="1">
        <f t="shared" ref="L56:L68" si="39">+D56-H56</f>
        <v>0</v>
      </c>
      <c r="M56" s="1"/>
      <c r="N56" s="5">
        <f t="shared" ref="N56:N68" si="40">IF(H56=0,0,L56/H56)</f>
        <v>0</v>
      </c>
      <c r="O56" s="14"/>
      <c r="P56" s="1">
        <f>SUM(OSRRefP22_6x_0)</f>
        <v>10</v>
      </c>
      <c r="Q56" s="1"/>
      <c r="R56" s="5">
        <f t="shared" ref="R56:R68" si="41">IF(P$12=0,0,P56/P$12)</f>
        <v>2.2155411348444802E-4</v>
      </c>
      <c r="S56" s="1"/>
      <c r="T56" s="1">
        <f>SUM(OSRRefT22_6x_0)</f>
        <v>100</v>
      </c>
      <c r="U56" s="1"/>
      <c r="V56" s="5">
        <f t="shared" ref="V56:V68" si="42">IF(T$12=0,0,T56/T$12)</f>
        <v>8.8720123498411908E-4</v>
      </c>
      <c r="W56" s="1"/>
      <c r="X56" s="1">
        <f t="shared" ref="X56:X68" si="43">+P56-T56</f>
        <v>-90</v>
      </c>
      <c r="Y56" s="1"/>
      <c r="Z56" s="5">
        <f t="shared" ref="Z56:Z68" si="44">IF(T56=0,0,X56/T56)</f>
        <v>-0.9</v>
      </c>
    </row>
    <row r="57" spans="1:26" s="24" customFormat="1" hidden="1" outlineLevel="2" x14ac:dyDescent="0.35">
      <c r="A57" s="29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37"/>
        <v>0</v>
      </c>
      <c r="G57" s="2"/>
      <c r="H57" s="7"/>
      <c r="I57" s="2"/>
      <c r="J57" s="6">
        <f t="shared" si="38"/>
        <v>0</v>
      </c>
      <c r="K57" s="2"/>
      <c r="L57" s="7">
        <f t="shared" si="39"/>
        <v>0</v>
      </c>
      <c r="M57" s="2"/>
      <c r="N57" s="6">
        <f t="shared" si="40"/>
        <v>0</v>
      </c>
      <c r="O57" s="11"/>
      <c r="P57" s="7">
        <v>10</v>
      </c>
      <c r="Q57" s="2"/>
      <c r="R57" s="6">
        <f t="shared" si="41"/>
        <v>2.2155411348444802E-4</v>
      </c>
      <c r="S57" s="2"/>
      <c r="T57" s="7">
        <v>100</v>
      </c>
      <c r="U57" s="2"/>
      <c r="V57" s="6">
        <f t="shared" si="42"/>
        <v>8.8720123498411908E-4</v>
      </c>
      <c r="W57" s="2"/>
      <c r="X57" s="7">
        <f t="shared" si="43"/>
        <v>-90</v>
      </c>
      <c r="Y57" s="2"/>
      <c r="Z57" s="6">
        <f t="shared" si="44"/>
        <v>-0.9</v>
      </c>
    </row>
    <row r="58" spans="1:26" s="28" customFormat="1" outlineLevel="1" collapsed="1" x14ac:dyDescent="0.35">
      <c r="A58" s="27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SUM(OSRRefD22_7x_0)</f>
        <v>0</v>
      </c>
      <c r="E58" s="1"/>
      <c r="F58" s="5">
        <f t="shared" si="37"/>
        <v>0</v>
      </c>
      <c r="G58" s="1"/>
      <c r="H58" s="1">
        <f>SUM(OSRRefH22_7x_0)</f>
        <v>166</v>
      </c>
      <c r="I58" s="1"/>
      <c r="J58" s="5">
        <f t="shared" si="38"/>
        <v>7.0410587037665427E-3</v>
      </c>
      <c r="K58" s="1"/>
      <c r="L58" s="1">
        <f t="shared" si="39"/>
        <v>-166</v>
      </c>
      <c r="M58" s="1"/>
      <c r="N58" s="5">
        <f t="shared" si="40"/>
        <v>-1</v>
      </c>
      <c r="O58" s="14"/>
      <c r="P58" s="1">
        <f>SUM(OSRRefP22_7x_0)</f>
        <v>1000.07</v>
      </c>
      <c r="Q58" s="1"/>
      <c r="R58" s="5">
        <f t="shared" si="41"/>
        <v>2.2156962227239195E-2</v>
      </c>
      <c r="S58" s="1"/>
      <c r="T58" s="1">
        <f>SUM(OSRRefT22_7x_0)</f>
        <v>835</v>
      </c>
      <c r="U58" s="1"/>
      <c r="V58" s="5">
        <f t="shared" si="42"/>
        <v>7.4081303121173942E-3</v>
      </c>
      <c r="W58" s="1"/>
      <c r="X58" s="1">
        <f t="shared" si="43"/>
        <v>165.07000000000005</v>
      </c>
      <c r="Y58" s="1"/>
      <c r="Z58" s="5">
        <f t="shared" si="44"/>
        <v>0.19768862275449109</v>
      </c>
    </row>
    <row r="59" spans="1:26" s="24" customFormat="1" hidden="1" outlineLevel="2" x14ac:dyDescent="0.35">
      <c r="A59" s="29"/>
      <c r="B59" s="11" t="str">
        <f>CONCATENATE("          ", "6351", " - ", "EQUIPMENT RENTAL")</f>
        <v xml:space="preserve">          6351 - EQUIPMENT RENTAL</v>
      </c>
      <c r="C59" s="11"/>
      <c r="D59" s="7"/>
      <c r="E59" s="2"/>
      <c r="F59" s="6">
        <f t="shared" si="37"/>
        <v>0</v>
      </c>
      <c r="G59" s="2"/>
      <c r="H59" s="7">
        <v>166</v>
      </c>
      <c r="I59" s="2"/>
      <c r="J59" s="6">
        <f t="shared" si="38"/>
        <v>7.0410587037665427E-3</v>
      </c>
      <c r="K59" s="2"/>
      <c r="L59" s="7">
        <f t="shared" si="39"/>
        <v>-166</v>
      </c>
      <c r="M59" s="2"/>
      <c r="N59" s="6">
        <f t="shared" si="40"/>
        <v>-1</v>
      </c>
      <c r="O59" s="11"/>
      <c r="P59" s="7">
        <v>1000.07</v>
      </c>
      <c r="Q59" s="2"/>
      <c r="R59" s="6">
        <f t="shared" si="41"/>
        <v>2.2156962227239195E-2</v>
      </c>
      <c r="S59" s="2"/>
      <c r="T59" s="7">
        <v>835</v>
      </c>
      <c r="U59" s="2"/>
      <c r="V59" s="6">
        <f t="shared" si="42"/>
        <v>7.4081303121173942E-3</v>
      </c>
      <c r="W59" s="2"/>
      <c r="X59" s="7">
        <f t="shared" si="43"/>
        <v>165.07000000000005</v>
      </c>
      <c r="Y59" s="2"/>
      <c r="Z59" s="6">
        <f t="shared" si="44"/>
        <v>0.19768862275449109</v>
      </c>
    </row>
    <row r="60" spans="1:26" s="28" customFormat="1" outlineLevel="1" collapsed="1" x14ac:dyDescent="0.35">
      <c r="A60" s="27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SUM(OSRRefD22_8x_0)</f>
        <v>0</v>
      </c>
      <c r="E60" s="1"/>
      <c r="F60" s="5">
        <f t="shared" si="37"/>
        <v>0</v>
      </c>
      <c r="G60" s="1"/>
      <c r="H60" s="1">
        <f>SUM(OSRRefH22_8x_0)</f>
        <v>0</v>
      </c>
      <c r="I60" s="1"/>
      <c r="J60" s="5">
        <f t="shared" si="38"/>
        <v>0</v>
      </c>
      <c r="K60" s="1"/>
      <c r="L60" s="1">
        <f t="shared" si="39"/>
        <v>0</v>
      </c>
      <c r="M60" s="1"/>
      <c r="N60" s="5">
        <f t="shared" si="40"/>
        <v>0</v>
      </c>
      <c r="O60" s="14"/>
      <c r="P60" s="1">
        <f>SUM(OSRRefP22_8x_0)</f>
        <v>2410.0700000000002</v>
      </c>
      <c r="Q60" s="1"/>
      <c r="R60" s="5">
        <f t="shared" si="41"/>
        <v>5.3396092228546368E-2</v>
      </c>
      <c r="S60" s="1"/>
      <c r="T60" s="1">
        <f>SUM(OSRRefT22_8x_0)</f>
        <v>1810</v>
      </c>
      <c r="U60" s="1"/>
      <c r="V60" s="5">
        <f t="shared" si="42"/>
        <v>1.6058342353212556E-2</v>
      </c>
      <c r="W60" s="1"/>
      <c r="X60" s="1">
        <f t="shared" si="43"/>
        <v>600.07000000000016</v>
      </c>
      <c r="Y60" s="1"/>
      <c r="Z60" s="5">
        <f t="shared" si="44"/>
        <v>0.33153038674033158</v>
      </c>
    </row>
    <row r="61" spans="1:26" s="24" customFormat="1" hidden="1" outlineLevel="2" x14ac:dyDescent="0.35">
      <c r="A61" s="29"/>
      <c r="B61" s="11" t="str">
        <f>CONCATENATE("          ", "6279", " - ", "GENERAL EXPENSE")</f>
        <v xml:space="preserve">          6279 - GENERAL EXPENSE</v>
      </c>
      <c r="C61" s="11"/>
      <c r="D61" s="7"/>
      <c r="E61" s="2"/>
      <c r="F61" s="6">
        <f t="shared" si="37"/>
        <v>0</v>
      </c>
      <c r="G61" s="2"/>
      <c r="H61" s="7">
        <v>0</v>
      </c>
      <c r="I61" s="2"/>
      <c r="J61" s="6">
        <f t="shared" si="38"/>
        <v>0</v>
      </c>
      <c r="K61" s="2"/>
      <c r="L61" s="7">
        <f t="shared" si="39"/>
        <v>0</v>
      </c>
      <c r="M61" s="2"/>
      <c r="N61" s="6">
        <f t="shared" si="40"/>
        <v>0</v>
      </c>
      <c r="O61" s="11"/>
      <c r="P61" s="7">
        <v>2410.0700000000002</v>
      </c>
      <c r="Q61" s="2"/>
      <c r="R61" s="6">
        <f t="shared" si="41"/>
        <v>5.3396092228546368E-2</v>
      </c>
      <c r="S61" s="2"/>
      <c r="T61" s="7">
        <v>1810</v>
      </c>
      <c r="U61" s="2"/>
      <c r="V61" s="6">
        <f t="shared" si="42"/>
        <v>1.6058342353212556E-2</v>
      </c>
      <c r="W61" s="2"/>
      <c r="X61" s="7">
        <f t="shared" si="43"/>
        <v>600.07000000000016</v>
      </c>
      <c r="Y61" s="2"/>
      <c r="Z61" s="6">
        <f t="shared" si="44"/>
        <v>0.33153038674033158</v>
      </c>
    </row>
    <row r="62" spans="1:26" s="28" customFormat="1" outlineLevel="1" collapsed="1" x14ac:dyDescent="0.35">
      <c r="A62" s="27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SUM(OSRRefD22_9x_0)</f>
        <v>641.28</v>
      </c>
      <c r="E62" s="1"/>
      <c r="F62" s="5">
        <f t="shared" si="37"/>
        <v>0</v>
      </c>
      <c r="G62" s="1"/>
      <c r="H62" s="1">
        <f>SUM(OSRRefH22_9x_0)</f>
        <v>705</v>
      </c>
      <c r="I62" s="1"/>
      <c r="J62" s="5">
        <f t="shared" si="38"/>
        <v>2.9903291482863928E-2</v>
      </c>
      <c r="K62" s="1"/>
      <c r="L62" s="1">
        <f t="shared" si="39"/>
        <v>-63.720000000000027</v>
      </c>
      <c r="M62" s="1"/>
      <c r="N62" s="5">
        <f t="shared" si="40"/>
        <v>-9.0382978723404298E-2</v>
      </c>
      <c r="O62" s="14"/>
      <c r="P62" s="1">
        <f>SUM(OSRRefP22_9x_0)</f>
        <v>4488.96</v>
      </c>
      <c r="Q62" s="1"/>
      <c r="R62" s="5">
        <f t="shared" si="41"/>
        <v>9.9454755326714786E-2</v>
      </c>
      <c r="S62" s="1"/>
      <c r="T62" s="1">
        <f>SUM(OSRRefT22_9x_0)</f>
        <v>4935</v>
      </c>
      <c r="U62" s="1"/>
      <c r="V62" s="5">
        <f t="shared" si="42"/>
        <v>4.3783380946466277E-2</v>
      </c>
      <c r="W62" s="1"/>
      <c r="X62" s="1">
        <f t="shared" si="43"/>
        <v>-446.03999999999996</v>
      </c>
      <c r="Y62" s="1"/>
      <c r="Z62" s="5">
        <f t="shared" si="44"/>
        <v>-9.0382978723404242E-2</v>
      </c>
    </row>
    <row r="63" spans="1:26" s="24" customFormat="1" hidden="1" outlineLevel="2" x14ac:dyDescent="0.35">
      <c r="A63" s="29"/>
      <c r="B63" s="11" t="str">
        <f>CONCATENATE("          ", "6314", " - ", "LIABILITY INSURANCE")</f>
        <v xml:space="preserve">          6314 - LIABILITY INSURANCE</v>
      </c>
      <c r="C63" s="11"/>
      <c r="D63" s="7">
        <v>641.28</v>
      </c>
      <c r="E63" s="2"/>
      <c r="F63" s="6">
        <f t="shared" si="37"/>
        <v>0</v>
      </c>
      <c r="G63" s="2"/>
      <c r="H63" s="7">
        <v>705</v>
      </c>
      <c r="I63" s="2"/>
      <c r="J63" s="6">
        <f t="shared" si="38"/>
        <v>2.9903291482863928E-2</v>
      </c>
      <c r="K63" s="2"/>
      <c r="L63" s="7">
        <f t="shared" si="39"/>
        <v>-63.720000000000027</v>
      </c>
      <c r="M63" s="2"/>
      <c r="N63" s="6">
        <f t="shared" si="40"/>
        <v>-9.0382978723404298E-2</v>
      </c>
      <c r="O63" s="11"/>
      <c r="P63" s="7">
        <v>4488.96</v>
      </c>
      <c r="Q63" s="2"/>
      <c r="R63" s="6">
        <f t="shared" si="41"/>
        <v>9.9454755326714786E-2</v>
      </c>
      <c r="S63" s="2"/>
      <c r="T63" s="7">
        <v>4935</v>
      </c>
      <c r="U63" s="2"/>
      <c r="V63" s="6">
        <f t="shared" si="42"/>
        <v>4.3783380946466277E-2</v>
      </c>
      <c r="W63" s="2"/>
      <c r="X63" s="7">
        <f t="shared" si="43"/>
        <v>-446.03999999999996</v>
      </c>
      <c r="Y63" s="2"/>
      <c r="Z63" s="6">
        <f t="shared" si="44"/>
        <v>-9.0382978723404242E-2</v>
      </c>
    </row>
    <row r="64" spans="1:26" s="28" customFormat="1" outlineLevel="1" collapsed="1" x14ac:dyDescent="0.35">
      <c r="A64" s="27"/>
      <c r="B64" s="14" t="str">
        <f>CONCATENATE("     ","Interest                                          ")</f>
        <v xml:space="preserve">     Interest                                          </v>
      </c>
      <c r="C64" s="14"/>
      <c r="D64" s="1">
        <f>SUM(OSRRefD22_10x_0)</f>
        <v>7510</v>
      </c>
      <c r="E64" s="1"/>
      <c r="F64" s="5">
        <f t="shared" si="37"/>
        <v>0</v>
      </c>
      <c r="G64" s="1"/>
      <c r="H64" s="1">
        <f>SUM(OSRRefH22_10x_0)</f>
        <v>7510</v>
      </c>
      <c r="I64" s="1"/>
      <c r="J64" s="5">
        <f t="shared" si="38"/>
        <v>0.3185442823210044</v>
      </c>
      <c r="K64" s="1"/>
      <c r="L64" s="1">
        <f t="shared" si="39"/>
        <v>0</v>
      </c>
      <c r="M64" s="1"/>
      <c r="N64" s="5">
        <f t="shared" si="40"/>
        <v>0</v>
      </c>
      <c r="O64" s="14"/>
      <c r="P64" s="1">
        <f>SUM(OSRRefP22_10x_0)</f>
        <v>52083.15</v>
      </c>
      <c r="Q64" s="1"/>
      <c r="R64" s="5">
        <f t="shared" si="41"/>
        <v>1.153923612572753</v>
      </c>
      <c r="S64" s="1"/>
      <c r="T64" s="1">
        <f>SUM(OSRRefT22_10x_0)</f>
        <v>52570</v>
      </c>
      <c r="U64" s="1"/>
      <c r="V64" s="5">
        <f t="shared" si="42"/>
        <v>0.46640168923115138</v>
      </c>
      <c r="W64" s="1"/>
      <c r="X64" s="1">
        <f t="shared" si="43"/>
        <v>-486.84999999999854</v>
      </c>
      <c r="Y64" s="1"/>
      <c r="Z64" s="5">
        <f t="shared" si="44"/>
        <v>-9.2609853528628217E-3</v>
      </c>
    </row>
    <row r="65" spans="1:26" s="24" customFormat="1" hidden="1" outlineLevel="2" x14ac:dyDescent="0.35">
      <c r="A65" s="29"/>
      <c r="B65" s="11" t="str">
        <f>CONCATENATE("          ", "6401", " - ", "INTEREST EXPENSE")</f>
        <v xml:space="preserve">          6401 - INTEREST EXPENSE</v>
      </c>
      <c r="C65" s="11"/>
      <c r="D65" s="7">
        <v>7510</v>
      </c>
      <c r="E65" s="2"/>
      <c r="F65" s="6">
        <f t="shared" si="37"/>
        <v>0</v>
      </c>
      <c r="G65" s="2"/>
      <c r="H65" s="7">
        <v>7510</v>
      </c>
      <c r="I65" s="2"/>
      <c r="J65" s="6">
        <f t="shared" si="38"/>
        <v>0.3185442823210044</v>
      </c>
      <c r="K65" s="2"/>
      <c r="L65" s="7">
        <f t="shared" si="39"/>
        <v>0</v>
      </c>
      <c r="M65" s="2"/>
      <c r="N65" s="6">
        <f t="shared" si="40"/>
        <v>0</v>
      </c>
      <c r="O65" s="11"/>
      <c r="P65" s="7">
        <v>52083.15</v>
      </c>
      <c r="Q65" s="2"/>
      <c r="R65" s="6">
        <f t="shared" si="41"/>
        <v>1.153923612572753</v>
      </c>
      <c r="S65" s="2"/>
      <c r="T65" s="7">
        <v>52570</v>
      </c>
      <c r="U65" s="2"/>
      <c r="V65" s="6">
        <f t="shared" si="42"/>
        <v>0.46640168923115138</v>
      </c>
      <c r="W65" s="2"/>
      <c r="X65" s="7">
        <f t="shared" si="43"/>
        <v>-486.84999999999854</v>
      </c>
      <c r="Y65" s="2"/>
      <c r="Z65" s="6">
        <f t="shared" si="44"/>
        <v>-9.2609853528628217E-3</v>
      </c>
    </row>
    <row r="66" spans="1:26" s="28" customFormat="1" outlineLevel="1" collapsed="1" x14ac:dyDescent="0.35">
      <c r="A66" s="27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2871.11</v>
      </c>
      <c r="E66" s="1"/>
      <c r="F66" s="5">
        <f t="shared" si="37"/>
        <v>0</v>
      </c>
      <c r="G66" s="1"/>
      <c r="H66" s="1">
        <f>SUM(OSRRefH22_11x_0)</f>
        <v>3433</v>
      </c>
      <c r="I66" s="1"/>
      <c r="J66" s="5">
        <f t="shared" si="38"/>
        <v>0.14561418391584663</v>
      </c>
      <c r="K66" s="1"/>
      <c r="L66" s="1">
        <f t="shared" si="39"/>
        <v>-561.88999999999987</v>
      </c>
      <c r="M66" s="1"/>
      <c r="N66" s="5">
        <f t="shared" si="40"/>
        <v>-0.16367317215263613</v>
      </c>
      <c r="O66" s="14"/>
      <c r="P66" s="1">
        <f>SUM(OSRRefP22_11x_0)</f>
        <v>15442.7</v>
      </c>
      <c r="Q66" s="1"/>
      <c r="R66" s="5">
        <f t="shared" si="41"/>
        <v>0.34213937083062856</v>
      </c>
      <c r="S66" s="1"/>
      <c r="T66" s="1">
        <f>SUM(OSRRefT22_11x_0)</f>
        <v>19892</v>
      </c>
      <c r="U66" s="1"/>
      <c r="V66" s="5">
        <f t="shared" si="42"/>
        <v>0.17648206966304097</v>
      </c>
      <c r="W66" s="1"/>
      <c r="X66" s="1">
        <f t="shared" si="43"/>
        <v>-4449.2999999999993</v>
      </c>
      <c r="Y66" s="1"/>
      <c r="Z66" s="5">
        <f t="shared" si="44"/>
        <v>-0.22367283329981899</v>
      </c>
    </row>
    <row r="67" spans="1:26" s="24" customFormat="1" hidden="1" outlineLevel="2" x14ac:dyDescent="0.35">
      <c r="A67" s="29"/>
      <c r="B67" s="11" t="str">
        <f>CONCATENATE("          ", "6373", " - ", "MAINTENANCE CONTRACTS")</f>
        <v xml:space="preserve">          6373 - MAINTENANCE CONTRACTS</v>
      </c>
      <c r="C67" s="11"/>
      <c r="D67" s="7"/>
      <c r="E67" s="2"/>
      <c r="F67" s="6">
        <f t="shared" si="37"/>
        <v>0</v>
      </c>
      <c r="G67" s="2"/>
      <c r="H67" s="7"/>
      <c r="I67" s="2"/>
      <c r="J67" s="6">
        <f t="shared" si="38"/>
        <v>0</v>
      </c>
      <c r="K67" s="2"/>
      <c r="L67" s="7">
        <f t="shared" si="39"/>
        <v>0</v>
      </c>
      <c r="M67" s="2"/>
      <c r="N67" s="6">
        <f t="shared" si="40"/>
        <v>0</v>
      </c>
      <c r="O67" s="11"/>
      <c r="P67" s="7">
        <v>6596.34</v>
      </c>
      <c r="Q67" s="2"/>
      <c r="R67" s="6">
        <f t="shared" si="41"/>
        <v>0.1461446260942004</v>
      </c>
      <c r="S67" s="2"/>
      <c r="T67" s="7">
        <v>3769</v>
      </c>
      <c r="U67" s="2"/>
      <c r="V67" s="6">
        <f t="shared" si="42"/>
        <v>3.3438614546551448E-2</v>
      </c>
      <c r="W67" s="2"/>
      <c r="X67" s="7">
        <f t="shared" si="43"/>
        <v>2827.34</v>
      </c>
      <c r="Y67" s="2"/>
      <c r="Z67" s="6">
        <f t="shared" si="44"/>
        <v>0.75015654019633859</v>
      </c>
    </row>
    <row r="68" spans="1:26" s="24" customFormat="1" hidden="1" outlineLevel="2" x14ac:dyDescent="0.35">
      <c r="A68" s="29"/>
      <c r="B68" s="11" t="str">
        <f>CONCATENATE("          ", "6375", " - ", "OUTSIDE REPAIRS &amp; MAINTENANCE")</f>
        <v xml:space="preserve">          6375 - OUTSIDE REPAIRS &amp; MAINTENANCE</v>
      </c>
      <c r="C68" s="11"/>
      <c r="D68" s="7">
        <v>2871.11</v>
      </c>
      <c r="E68" s="2"/>
      <c r="F68" s="6">
        <f t="shared" si="37"/>
        <v>0</v>
      </c>
      <c r="G68" s="2"/>
      <c r="H68" s="7">
        <v>3433</v>
      </c>
      <c r="I68" s="2"/>
      <c r="J68" s="6">
        <f t="shared" si="38"/>
        <v>0.14561418391584663</v>
      </c>
      <c r="K68" s="2"/>
      <c r="L68" s="7">
        <f t="shared" si="39"/>
        <v>-561.88999999999987</v>
      </c>
      <c r="M68" s="2"/>
      <c r="N68" s="6">
        <f t="shared" si="40"/>
        <v>-0.16367317215263613</v>
      </c>
      <c r="O68" s="11"/>
      <c r="P68" s="7">
        <v>8846.36</v>
      </c>
      <c r="Q68" s="2"/>
      <c r="R68" s="6">
        <f t="shared" si="41"/>
        <v>0.19599474473642817</v>
      </c>
      <c r="S68" s="2"/>
      <c r="T68" s="7">
        <v>16123</v>
      </c>
      <c r="U68" s="2"/>
      <c r="V68" s="6">
        <f t="shared" si="42"/>
        <v>0.14304345511648953</v>
      </c>
      <c r="W68" s="2"/>
      <c r="X68" s="7">
        <f t="shared" si="43"/>
        <v>-7276.6399999999994</v>
      </c>
      <c r="Y68" s="2"/>
      <c r="Z68" s="6">
        <f t="shared" si="44"/>
        <v>-0.45132047385722257</v>
      </c>
    </row>
    <row r="69" spans="1:26" s="28" customFormat="1" outlineLevel="1" collapsed="1" x14ac:dyDescent="0.35">
      <c r="A69" s="27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SUM(OSRRefD22_12x_0)</f>
        <v>2314.16</v>
      </c>
      <c r="E69" s="1"/>
      <c r="F69" s="5">
        <f t="shared" ref="F69:F74" si="45">IF(D$12=0,0,D69/D$12)</f>
        <v>0</v>
      </c>
      <c r="G69" s="1"/>
      <c r="H69" s="1">
        <f>SUM(OSRRefH22_12x_0)</f>
        <v>5467</v>
      </c>
      <c r="I69" s="1"/>
      <c r="J69" s="5">
        <f t="shared" ref="J69:J74" si="46">IF(H$12=0,0,H69/H$12)</f>
        <v>0.23188836104513064</v>
      </c>
      <c r="K69" s="1"/>
      <c r="L69" s="1">
        <f t="shared" ref="L69:L74" si="47">+D69-H69</f>
        <v>-3152.84</v>
      </c>
      <c r="M69" s="1"/>
      <c r="N69" s="5">
        <f t="shared" ref="N69:N74" si="48">IF(H69=0,0,L69/H69)</f>
        <v>-0.57670385952076098</v>
      </c>
      <c r="O69" s="14"/>
      <c r="P69" s="1">
        <f>SUM(OSRRefP22_12x_0)</f>
        <v>22784.18</v>
      </c>
      <c r="Q69" s="1"/>
      <c r="R69" s="5">
        <f t="shared" ref="R69:R74" si="49">IF(P$12=0,0,P69/P$12)</f>
        <v>0.50479288013700907</v>
      </c>
      <c r="S69" s="1"/>
      <c r="T69" s="1">
        <f>SUM(OSRRefT22_12x_0)</f>
        <v>30793</v>
      </c>
      <c r="U69" s="1"/>
      <c r="V69" s="5">
        <f t="shared" ref="V69:V74" si="50">IF(T$12=0,0,T69/T$12)</f>
        <v>0.27319587628865977</v>
      </c>
      <c r="W69" s="1"/>
      <c r="X69" s="1">
        <f t="shared" ref="X69:X74" si="51">+P69-T69</f>
        <v>-8008.82</v>
      </c>
      <c r="Y69" s="1"/>
      <c r="Z69" s="5">
        <f t="shared" ref="Z69:Z74" si="52">IF(T69=0,0,X69/T69)</f>
        <v>-0.26008573377066213</v>
      </c>
    </row>
    <row r="70" spans="1:26" s="24" customFormat="1" hidden="1" outlineLevel="2" x14ac:dyDescent="0.35">
      <c r="A70" s="29"/>
      <c r="B70" s="11" t="str">
        <f>CONCATENATE("          ", "6282", " - ", "JANITORIAL/EXTERMINATOR EXPENS")</f>
        <v xml:space="preserve">          6282 - JANITORIAL/EXTERMINATOR EXPENS</v>
      </c>
      <c r="C70" s="11"/>
      <c r="D70" s="7">
        <v>1314.16</v>
      </c>
      <c r="E70" s="2"/>
      <c r="F70" s="6">
        <f t="shared" si="45"/>
        <v>0</v>
      </c>
      <c r="G70" s="2"/>
      <c r="H70" s="7">
        <v>657</v>
      </c>
      <c r="I70" s="2"/>
      <c r="J70" s="6">
        <f t="shared" si="46"/>
        <v>2.7867322701051918E-2</v>
      </c>
      <c r="K70" s="2"/>
      <c r="L70" s="7">
        <f t="shared" si="47"/>
        <v>657.16000000000008</v>
      </c>
      <c r="M70" s="2"/>
      <c r="N70" s="6">
        <f t="shared" si="48"/>
        <v>1.0002435312024354</v>
      </c>
      <c r="O70" s="11"/>
      <c r="P70" s="7">
        <v>2780.19</v>
      </c>
      <c r="Q70" s="2"/>
      <c r="R70" s="6">
        <f t="shared" si="49"/>
        <v>6.1596253076832759E-2</v>
      </c>
      <c r="S70" s="2"/>
      <c r="T70" s="7">
        <v>2631</v>
      </c>
      <c r="U70" s="2"/>
      <c r="V70" s="6">
        <f t="shared" si="50"/>
        <v>2.3342264492432173E-2</v>
      </c>
      <c r="W70" s="2"/>
      <c r="X70" s="7">
        <f t="shared" si="51"/>
        <v>149.19000000000005</v>
      </c>
      <c r="Y70" s="2"/>
      <c r="Z70" s="6">
        <f t="shared" si="52"/>
        <v>5.6704675028506291E-2</v>
      </c>
    </row>
    <row r="71" spans="1:26" s="24" customFormat="1" hidden="1" outlineLevel="2" x14ac:dyDescent="0.35">
      <c r="A71" s="29"/>
      <c r="B71" s="11" t="str">
        <f>CONCATENATE("          ", "6283", " - ", "PLANT SERVICE")</f>
        <v xml:space="preserve">          6283 - PLANT SERVICE</v>
      </c>
      <c r="C71" s="11"/>
      <c r="D71" s="7"/>
      <c r="E71" s="2"/>
      <c r="F71" s="6">
        <f t="shared" si="45"/>
        <v>0</v>
      </c>
      <c r="G71" s="2"/>
      <c r="H71" s="7"/>
      <c r="I71" s="2"/>
      <c r="J71" s="6">
        <f t="shared" si="46"/>
        <v>0</v>
      </c>
      <c r="K71" s="2"/>
      <c r="L71" s="7">
        <f t="shared" si="47"/>
        <v>0</v>
      </c>
      <c r="M71" s="2"/>
      <c r="N71" s="6">
        <f t="shared" si="48"/>
        <v>0</v>
      </c>
      <c r="O71" s="11"/>
      <c r="P71" s="7"/>
      <c r="Q71" s="2"/>
      <c r="R71" s="6">
        <f t="shared" si="49"/>
        <v>0</v>
      </c>
      <c r="S71" s="2"/>
      <c r="T71" s="7">
        <v>248</v>
      </c>
      <c r="U71" s="2"/>
      <c r="V71" s="6">
        <f t="shared" si="50"/>
        <v>2.2002590627606153E-3</v>
      </c>
      <c r="W71" s="2"/>
      <c r="X71" s="7">
        <f t="shared" si="51"/>
        <v>-248</v>
      </c>
      <c r="Y71" s="2"/>
      <c r="Z71" s="6">
        <f t="shared" si="52"/>
        <v>-1</v>
      </c>
    </row>
    <row r="72" spans="1:26" s="24" customFormat="1" hidden="1" outlineLevel="2" x14ac:dyDescent="0.35">
      <c r="A72" s="29"/>
      <c r="B72" s="11" t="str">
        <f>CONCATENATE("          ", "6284", " - ", "TRASH REMOVAL EXPENSE")</f>
        <v xml:space="preserve">          6284 - TRASH REMOVAL EXPENSE</v>
      </c>
      <c r="C72" s="11"/>
      <c r="D72" s="7">
        <v>1000</v>
      </c>
      <c r="E72" s="2"/>
      <c r="F72" s="6">
        <f t="shared" si="45"/>
        <v>0</v>
      </c>
      <c r="G72" s="2"/>
      <c r="H72" s="7">
        <v>761</v>
      </c>
      <c r="I72" s="2"/>
      <c r="J72" s="6">
        <f t="shared" si="46"/>
        <v>3.2278588394977943E-2</v>
      </c>
      <c r="K72" s="2"/>
      <c r="L72" s="7">
        <f t="shared" si="47"/>
        <v>239</v>
      </c>
      <c r="M72" s="2"/>
      <c r="N72" s="6">
        <f t="shared" si="48"/>
        <v>0.31406044678055189</v>
      </c>
      <c r="O72" s="11"/>
      <c r="P72" s="7">
        <v>6761</v>
      </c>
      <c r="Q72" s="2"/>
      <c r="R72" s="6">
        <f t="shared" si="49"/>
        <v>0.1497927361268353</v>
      </c>
      <c r="S72" s="2"/>
      <c r="T72" s="7">
        <v>5319</v>
      </c>
      <c r="U72" s="2"/>
      <c r="V72" s="6">
        <f t="shared" si="50"/>
        <v>4.7190233688805296E-2</v>
      </c>
      <c r="W72" s="2"/>
      <c r="X72" s="7">
        <f t="shared" si="51"/>
        <v>1442</v>
      </c>
      <c r="Y72" s="2"/>
      <c r="Z72" s="6">
        <f t="shared" si="52"/>
        <v>0.2711035909005452</v>
      </c>
    </row>
    <row r="73" spans="1:26" s="24" customFormat="1" hidden="1" outlineLevel="2" x14ac:dyDescent="0.35">
      <c r="A73" s="29"/>
      <c r="B73" s="11" t="str">
        <f>CONCATENATE("          ", "6285", " - ", "JANITORIAL SERVICES")</f>
        <v xml:space="preserve">          6285 - JANITORIAL SERVICES</v>
      </c>
      <c r="C73" s="11"/>
      <c r="D73" s="7"/>
      <c r="E73" s="2"/>
      <c r="F73" s="6">
        <f t="shared" si="45"/>
        <v>0</v>
      </c>
      <c r="G73" s="2"/>
      <c r="H73" s="7">
        <v>4049</v>
      </c>
      <c r="I73" s="2"/>
      <c r="J73" s="6">
        <f t="shared" si="46"/>
        <v>0.17174244994910079</v>
      </c>
      <c r="K73" s="2"/>
      <c r="L73" s="7">
        <f t="shared" si="47"/>
        <v>-4049</v>
      </c>
      <c r="M73" s="2"/>
      <c r="N73" s="6">
        <f t="shared" si="48"/>
        <v>-1</v>
      </c>
      <c r="O73" s="11"/>
      <c r="P73" s="7">
        <v>12770.81</v>
      </c>
      <c r="Q73" s="2"/>
      <c r="R73" s="6">
        <f t="shared" si="49"/>
        <v>0.28294254880283237</v>
      </c>
      <c r="S73" s="2"/>
      <c r="T73" s="7">
        <v>22595</v>
      </c>
      <c r="U73" s="2"/>
      <c r="V73" s="6">
        <f t="shared" si="50"/>
        <v>0.20046311904466171</v>
      </c>
      <c r="W73" s="2"/>
      <c r="X73" s="7">
        <f t="shared" si="51"/>
        <v>-9824.19</v>
      </c>
      <c r="Y73" s="2"/>
      <c r="Z73" s="6">
        <f t="shared" si="52"/>
        <v>-0.43479486612082319</v>
      </c>
    </row>
    <row r="74" spans="1:26" s="24" customFormat="1" hidden="1" outlineLevel="2" x14ac:dyDescent="0.35">
      <c r="A74" s="29"/>
      <c r="B74" s="11" t="str">
        <f>CONCATENATE("          ", "6286", " - ", "LAUNDRY EXPENSE")</f>
        <v xml:space="preserve">          6286 - LAUNDRY EXPENSE</v>
      </c>
      <c r="C74" s="11"/>
      <c r="D74" s="7"/>
      <c r="E74" s="2"/>
      <c r="F74" s="6">
        <f t="shared" si="45"/>
        <v>0</v>
      </c>
      <c r="G74" s="2"/>
      <c r="H74" s="7"/>
      <c r="I74" s="2"/>
      <c r="J74" s="6">
        <f t="shared" si="46"/>
        <v>0</v>
      </c>
      <c r="K74" s="2"/>
      <c r="L74" s="7">
        <f t="shared" si="47"/>
        <v>0</v>
      </c>
      <c r="M74" s="2"/>
      <c r="N74" s="6">
        <f t="shared" si="48"/>
        <v>0</v>
      </c>
      <c r="O74" s="11"/>
      <c r="P74" s="7">
        <v>472.18</v>
      </c>
      <c r="Q74" s="2"/>
      <c r="R74" s="6">
        <f t="shared" si="49"/>
        <v>1.0461342130508667E-2</v>
      </c>
      <c r="S74" s="2"/>
      <c r="T74" s="7"/>
      <c r="U74" s="2"/>
      <c r="V74" s="6">
        <f t="shared" si="50"/>
        <v>0</v>
      </c>
      <c r="W74" s="2"/>
      <c r="X74" s="7">
        <f t="shared" si="51"/>
        <v>472.18</v>
      </c>
      <c r="Y74" s="2"/>
      <c r="Z74" s="6">
        <f t="shared" si="52"/>
        <v>0</v>
      </c>
    </row>
    <row r="75" spans="1:26" s="28" customFormat="1" outlineLevel="1" collapsed="1" x14ac:dyDescent="0.35">
      <c r="A75" s="27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1">
        <f>SUM(OSRRefD22_13x_0)</f>
        <v>0</v>
      </c>
      <c r="E75" s="1"/>
      <c r="F75" s="5">
        <f t="shared" ref="F75:F85" si="53">IF(D$12=0,0,D75/D$12)</f>
        <v>0</v>
      </c>
      <c r="G75" s="1"/>
      <c r="H75" s="1">
        <f>SUM(OSRRefH22_13x_0)</f>
        <v>197</v>
      </c>
      <c r="I75" s="1"/>
      <c r="J75" s="5">
        <f t="shared" ref="J75:J85" si="54">IF(H$12=0,0,H75/H$12)</f>
        <v>8.3559552086868005E-3</v>
      </c>
      <c r="K75" s="1"/>
      <c r="L75" s="1">
        <f t="shared" ref="L75:L85" si="55">+D75-H75</f>
        <v>-197</v>
      </c>
      <c r="M75" s="1"/>
      <c r="N75" s="5">
        <f t="shared" ref="N75:N85" si="56">IF(H75=0,0,L75/H75)</f>
        <v>-1</v>
      </c>
      <c r="O75" s="14"/>
      <c r="P75" s="1">
        <f>SUM(OSRRefP22_13x_0)</f>
        <v>534.16999999999996</v>
      </c>
      <c r="Q75" s="1"/>
      <c r="R75" s="5">
        <f t="shared" ref="R75:R85" si="57">IF(P$12=0,0,P75/P$12)</f>
        <v>1.1834756079998759E-2</v>
      </c>
      <c r="S75" s="1"/>
      <c r="T75" s="1">
        <f>SUM(OSRRefT22_13x_0)</f>
        <v>1379</v>
      </c>
      <c r="U75" s="1"/>
      <c r="V75" s="5">
        <f t="shared" ref="V75:V85" si="58">IF(T$12=0,0,T75/T$12)</f>
        <v>1.2234505030431003E-2</v>
      </c>
      <c r="W75" s="1"/>
      <c r="X75" s="1">
        <f t="shared" ref="X75:X85" si="59">+P75-T75</f>
        <v>-844.83</v>
      </c>
      <c r="Y75" s="1"/>
      <c r="Z75" s="5">
        <f t="shared" ref="Z75:Z85" si="60">IF(T75=0,0,X75/T75)</f>
        <v>-0.61263959390862943</v>
      </c>
    </row>
    <row r="76" spans="1:26" s="24" customFormat="1" hidden="1" outlineLevel="2" x14ac:dyDescent="0.35">
      <c r="A76" s="29"/>
      <c r="B76" s="11" t="str">
        <f>CONCATENATE("          ", "6275", " - ", "SUBSCRIPTIONS")</f>
        <v xml:space="preserve">          6275 - SUBSCRIPTIONS</v>
      </c>
      <c r="C76" s="11"/>
      <c r="D76" s="7"/>
      <c r="E76" s="2"/>
      <c r="F76" s="6">
        <f t="shared" si="53"/>
        <v>0</v>
      </c>
      <c r="G76" s="2"/>
      <c r="H76" s="7">
        <v>197</v>
      </c>
      <c r="I76" s="2"/>
      <c r="J76" s="6">
        <f t="shared" si="54"/>
        <v>8.3559552086868005E-3</v>
      </c>
      <c r="K76" s="2"/>
      <c r="L76" s="7">
        <f t="shared" si="55"/>
        <v>-197</v>
      </c>
      <c r="M76" s="2"/>
      <c r="N76" s="6">
        <f t="shared" si="56"/>
        <v>-1</v>
      </c>
      <c r="O76" s="11"/>
      <c r="P76" s="7">
        <v>534.16999999999996</v>
      </c>
      <c r="Q76" s="2"/>
      <c r="R76" s="6">
        <f t="shared" si="57"/>
        <v>1.1834756079998759E-2</v>
      </c>
      <c r="S76" s="2"/>
      <c r="T76" s="7">
        <v>1379</v>
      </c>
      <c r="U76" s="2"/>
      <c r="V76" s="6">
        <f t="shared" si="58"/>
        <v>1.2234505030431003E-2</v>
      </c>
      <c r="W76" s="2"/>
      <c r="X76" s="7">
        <f t="shared" si="59"/>
        <v>-844.83</v>
      </c>
      <c r="Y76" s="2"/>
      <c r="Z76" s="6">
        <f t="shared" si="60"/>
        <v>-0.61263959390862943</v>
      </c>
    </row>
    <row r="77" spans="1:26" s="28" customFormat="1" outlineLevel="1" collapsed="1" x14ac:dyDescent="0.35">
      <c r="A77" s="27"/>
      <c r="B77" s="14" t="str">
        <f>CONCATENATE("     ","Supplies                                          ")</f>
        <v xml:space="preserve">     Supplies                                          </v>
      </c>
      <c r="C77" s="14"/>
      <c r="D77" s="1">
        <f>SUM(OSRRefD22_14x_0)</f>
        <v>80.47</v>
      </c>
      <c r="E77" s="1"/>
      <c r="F77" s="5">
        <f t="shared" si="53"/>
        <v>0</v>
      </c>
      <c r="G77" s="1"/>
      <c r="H77" s="1">
        <f>SUM(OSRRefH22_14x_0)</f>
        <v>2685</v>
      </c>
      <c r="I77" s="1"/>
      <c r="J77" s="5">
        <f t="shared" si="54"/>
        <v>0.11388700373260943</v>
      </c>
      <c r="K77" s="1"/>
      <c r="L77" s="1">
        <f t="shared" si="55"/>
        <v>-2604.5300000000002</v>
      </c>
      <c r="M77" s="1"/>
      <c r="N77" s="5">
        <f t="shared" si="56"/>
        <v>-0.9700297951582868</v>
      </c>
      <c r="O77" s="14"/>
      <c r="P77" s="1">
        <f>SUM(OSRRefP22_14x_0)</f>
        <v>7585.83</v>
      </c>
      <c r="Q77" s="1"/>
      <c r="R77" s="5">
        <f t="shared" si="57"/>
        <v>0.16806718406937304</v>
      </c>
      <c r="S77" s="1"/>
      <c r="T77" s="1">
        <f>SUM(OSRRefT22_14x_0)</f>
        <v>17515</v>
      </c>
      <c r="U77" s="1"/>
      <c r="V77" s="5">
        <f t="shared" si="58"/>
        <v>0.15539329630746845</v>
      </c>
      <c r="W77" s="1"/>
      <c r="X77" s="1">
        <f t="shared" si="59"/>
        <v>-9929.17</v>
      </c>
      <c r="Y77" s="1"/>
      <c r="Z77" s="5">
        <f t="shared" si="60"/>
        <v>-0.5668952326577219</v>
      </c>
    </row>
    <row r="78" spans="1:26" s="24" customFormat="1" hidden="1" outlineLevel="2" x14ac:dyDescent="0.35">
      <c r="A78" s="29"/>
      <c r="B78" s="11" t="str">
        <f>CONCATENATE("          ", "6234", " - ", "EXPENDABLE SUPPLIES &amp; EQUIPMEN")</f>
        <v xml:space="preserve">          6234 - EXPENDABLE SUPPLIES &amp; EQUIPMEN</v>
      </c>
      <c r="C78" s="11"/>
      <c r="D78" s="7"/>
      <c r="E78" s="2"/>
      <c r="F78" s="6">
        <f t="shared" si="53"/>
        <v>0</v>
      </c>
      <c r="G78" s="2"/>
      <c r="H78" s="7">
        <v>1008</v>
      </c>
      <c r="I78" s="2"/>
      <c r="J78" s="6">
        <f t="shared" si="54"/>
        <v>4.2755344418052253E-2</v>
      </c>
      <c r="K78" s="2"/>
      <c r="L78" s="7">
        <f t="shared" si="55"/>
        <v>-1008</v>
      </c>
      <c r="M78" s="2"/>
      <c r="N78" s="6">
        <f t="shared" si="56"/>
        <v>-1</v>
      </c>
      <c r="O78" s="11"/>
      <c r="P78" s="7">
        <v>310.91000000000003</v>
      </c>
      <c r="Q78" s="2"/>
      <c r="R78" s="6">
        <f t="shared" si="57"/>
        <v>6.8883389423449737E-3</v>
      </c>
      <c r="S78" s="2"/>
      <c r="T78" s="7">
        <v>1076</v>
      </c>
      <c r="U78" s="2"/>
      <c r="V78" s="6">
        <f t="shared" si="58"/>
        <v>9.5462852884291207E-3</v>
      </c>
      <c r="W78" s="2"/>
      <c r="X78" s="7">
        <f t="shared" si="59"/>
        <v>-765.08999999999992</v>
      </c>
      <c r="Y78" s="2"/>
      <c r="Z78" s="6">
        <f t="shared" si="60"/>
        <v>-0.71105018587360591</v>
      </c>
    </row>
    <row r="79" spans="1:26" s="24" customFormat="1" hidden="1" outlineLevel="2" x14ac:dyDescent="0.35">
      <c r="A79" s="29"/>
      <c r="B79" s="11" t="str">
        <f>CONCATENATE("          ", "6235", " - ", "COVID-19 EXPENSES")</f>
        <v xml:space="preserve">          6235 - COVID-19 EXPENSES</v>
      </c>
      <c r="C79" s="11"/>
      <c r="D79" s="7"/>
      <c r="E79" s="2"/>
      <c r="F79" s="6">
        <f t="shared" si="53"/>
        <v>0</v>
      </c>
      <c r="G79" s="2"/>
      <c r="H79" s="7"/>
      <c r="I79" s="2"/>
      <c r="J79" s="6">
        <f t="shared" si="54"/>
        <v>0</v>
      </c>
      <c r="K79" s="2"/>
      <c r="L79" s="7">
        <f t="shared" si="55"/>
        <v>0</v>
      </c>
      <c r="M79" s="2"/>
      <c r="N79" s="6">
        <f t="shared" si="56"/>
        <v>0</v>
      </c>
      <c r="O79" s="11"/>
      <c r="P79" s="7">
        <v>6753.97</v>
      </c>
      <c r="Q79" s="2"/>
      <c r="R79" s="6">
        <f t="shared" si="57"/>
        <v>0.14963698358505576</v>
      </c>
      <c r="S79" s="2"/>
      <c r="T79" s="7"/>
      <c r="U79" s="2"/>
      <c r="V79" s="6">
        <f t="shared" si="58"/>
        <v>0</v>
      </c>
      <c r="W79" s="2"/>
      <c r="X79" s="7">
        <f t="shared" si="59"/>
        <v>6753.97</v>
      </c>
      <c r="Y79" s="2"/>
      <c r="Z79" s="6">
        <f t="shared" si="60"/>
        <v>0</v>
      </c>
    </row>
    <row r="80" spans="1:26" s="24" customFormat="1" hidden="1" outlineLevel="2" x14ac:dyDescent="0.35">
      <c r="A80" s="29"/>
      <c r="B80" s="11" t="str">
        <f>CONCATENATE("          ", "6237", " - ", "JANITORIAL SUPPLIES")</f>
        <v xml:space="preserve">          6237 - JANITORIAL SUPPLIES</v>
      </c>
      <c r="C80" s="11"/>
      <c r="D80" s="7"/>
      <c r="E80" s="2"/>
      <c r="F80" s="6">
        <f t="shared" si="53"/>
        <v>0</v>
      </c>
      <c r="G80" s="2"/>
      <c r="H80" s="7">
        <v>820</v>
      </c>
      <c r="I80" s="2"/>
      <c r="J80" s="6">
        <f t="shared" si="54"/>
        <v>3.4781133355955209E-2</v>
      </c>
      <c r="K80" s="2"/>
      <c r="L80" s="7">
        <f t="shared" si="55"/>
        <v>-820</v>
      </c>
      <c r="M80" s="2"/>
      <c r="N80" s="6">
        <f t="shared" si="56"/>
        <v>-1</v>
      </c>
      <c r="O80" s="11"/>
      <c r="P80" s="7">
        <v>286.91000000000003</v>
      </c>
      <c r="Q80" s="2"/>
      <c r="R80" s="6">
        <f t="shared" si="57"/>
        <v>6.3566090699822986E-3</v>
      </c>
      <c r="S80" s="2"/>
      <c r="T80" s="7">
        <v>6529</v>
      </c>
      <c r="U80" s="2"/>
      <c r="V80" s="6">
        <f t="shared" si="58"/>
        <v>5.7925368632113138E-2</v>
      </c>
      <c r="W80" s="2"/>
      <c r="X80" s="7">
        <f t="shared" si="59"/>
        <v>-6242.09</v>
      </c>
      <c r="Y80" s="2"/>
      <c r="Z80" s="6">
        <f t="shared" si="60"/>
        <v>-0.95605605758921741</v>
      </c>
    </row>
    <row r="81" spans="1:26" s="24" customFormat="1" hidden="1" outlineLevel="2" x14ac:dyDescent="0.35">
      <c r="A81" s="29"/>
      <c r="B81" s="11" t="str">
        <f>CONCATENATE("          ", "6239", " - ", "KITCHEN SUPPLIES")</f>
        <v xml:space="preserve">          6239 - KITCHEN SUPPLIES</v>
      </c>
      <c r="C81" s="11"/>
      <c r="D81" s="7"/>
      <c r="E81" s="2"/>
      <c r="F81" s="6">
        <f t="shared" si="53"/>
        <v>0</v>
      </c>
      <c r="G81" s="2"/>
      <c r="H81" s="7"/>
      <c r="I81" s="2"/>
      <c r="J81" s="6">
        <f t="shared" si="54"/>
        <v>0</v>
      </c>
      <c r="K81" s="2"/>
      <c r="L81" s="7">
        <f t="shared" si="55"/>
        <v>0</v>
      </c>
      <c r="M81" s="2"/>
      <c r="N81" s="6">
        <f t="shared" si="56"/>
        <v>0</v>
      </c>
      <c r="O81" s="11"/>
      <c r="P81" s="7">
        <v>19.829999999999998</v>
      </c>
      <c r="Q81" s="2"/>
      <c r="R81" s="6">
        <f t="shared" si="57"/>
        <v>4.3934180703966041E-4</v>
      </c>
      <c r="S81" s="2"/>
      <c r="T81" s="7">
        <v>232</v>
      </c>
      <c r="U81" s="2"/>
      <c r="V81" s="6">
        <f t="shared" si="58"/>
        <v>2.0583068651631562E-3</v>
      </c>
      <c r="W81" s="2"/>
      <c r="X81" s="7">
        <f t="shared" si="59"/>
        <v>-212.17000000000002</v>
      </c>
      <c r="Y81" s="2"/>
      <c r="Z81" s="6">
        <f t="shared" si="60"/>
        <v>-0.91452586206896558</v>
      </c>
    </row>
    <row r="82" spans="1:26" s="24" customFormat="1" hidden="1" outlineLevel="2" x14ac:dyDescent="0.35">
      <c r="A82" s="29"/>
      <c r="B82" s="11" t="str">
        <f>CONCATENATE("          ", "6241", " - ", "OFFICE EXPENSE")</f>
        <v xml:space="preserve">          6241 - OFFICE EXPENSE</v>
      </c>
      <c r="C82" s="11"/>
      <c r="D82" s="7">
        <v>14.98</v>
      </c>
      <c r="E82" s="2"/>
      <c r="F82" s="6">
        <f t="shared" si="53"/>
        <v>0</v>
      </c>
      <c r="G82" s="2"/>
      <c r="H82" s="7"/>
      <c r="I82" s="2"/>
      <c r="J82" s="6">
        <f t="shared" si="54"/>
        <v>0</v>
      </c>
      <c r="K82" s="2"/>
      <c r="L82" s="7">
        <f t="shared" si="55"/>
        <v>14.98</v>
      </c>
      <c r="M82" s="2"/>
      <c r="N82" s="6">
        <f t="shared" si="56"/>
        <v>0</v>
      </c>
      <c r="O82" s="11"/>
      <c r="P82" s="7">
        <v>148.72</v>
      </c>
      <c r="Q82" s="2"/>
      <c r="R82" s="6">
        <f t="shared" si="57"/>
        <v>3.2949527757407111E-3</v>
      </c>
      <c r="S82" s="2"/>
      <c r="T82" s="7">
        <v>5262</v>
      </c>
      <c r="U82" s="2"/>
      <c r="V82" s="6">
        <f t="shared" si="58"/>
        <v>4.6684528984864346E-2</v>
      </c>
      <c r="W82" s="2"/>
      <c r="X82" s="7">
        <f t="shared" si="59"/>
        <v>-5113.28</v>
      </c>
      <c r="Y82" s="2"/>
      <c r="Z82" s="6">
        <f t="shared" si="60"/>
        <v>-0.97173698213606985</v>
      </c>
    </row>
    <row r="83" spans="1:26" s="24" customFormat="1" hidden="1" outlineLevel="2" x14ac:dyDescent="0.35">
      <c r="A83" s="29"/>
      <c r="B83" s="11" t="str">
        <f>CONCATENATE("          ", "6243", " - ", "PAPER SUPPLIES")</f>
        <v xml:space="preserve">          6243 - PAPER SUPPLIES</v>
      </c>
      <c r="C83" s="11"/>
      <c r="D83" s="7">
        <v>65.489999999999995</v>
      </c>
      <c r="E83" s="2"/>
      <c r="F83" s="6">
        <f t="shared" si="53"/>
        <v>0</v>
      </c>
      <c r="G83" s="2"/>
      <c r="H83" s="7">
        <v>842</v>
      </c>
      <c r="I83" s="2"/>
      <c r="J83" s="6">
        <f t="shared" si="54"/>
        <v>3.5714285714285712E-2</v>
      </c>
      <c r="K83" s="2"/>
      <c r="L83" s="7">
        <f t="shared" si="55"/>
        <v>-776.51</v>
      </c>
      <c r="M83" s="2"/>
      <c r="N83" s="6">
        <f t="shared" si="56"/>
        <v>-0.92222090261282663</v>
      </c>
      <c r="O83" s="11"/>
      <c r="P83" s="7">
        <v>65.489999999999995</v>
      </c>
      <c r="Q83" s="2"/>
      <c r="R83" s="6">
        <f t="shared" si="57"/>
        <v>1.45095788920965E-3</v>
      </c>
      <c r="S83" s="2"/>
      <c r="T83" s="7">
        <v>3990</v>
      </c>
      <c r="U83" s="2"/>
      <c r="V83" s="6">
        <f t="shared" si="58"/>
        <v>3.5399329275866351E-2</v>
      </c>
      <c r="W83" s="2"/>
      <c r="X83" s="7">
        <f t="shared" si="59"/>
        <v>-3924.51</v>
      </c>
      <c r="Y83" s="2"/>
      <c r="Z83" s="6">
        <f t="shared" si="60"/>
        <v>-0.98358646616541356</v>
      </c>
    </row>
    <row r="84" spans="1:26" s="24" customFormat="1" hidden="1" outlineLevel="2" x14ac:dyDescent="0.35">
      <c r="A84" s="29"/>
      <c r="B84" s="11" t="str">
        <f>CONCATENATE("          ", "6247", " - ", "STORE SUPPLIES")</f>
        <v xml:space="preserve">          6247 - STORE SUPPLIES</v>
      </c>
      <c r="C84" s="11"/>
      <c r="D84" s="7"/>
      <c r="E84" s="2"/>
      <c r="F84" s="6">
        <f t="shared" si="53"/>
        <v>0</v>
      </c>
      <c r="G84" s="2"/>
      <c r="H84" s="7"/>
      <c r="I84" s="2"/>
      <c r="J84" s="6">
        <f t="shared" si="54"/>
        <v>0</v>
      </c>
      <c r="K84" s="2"/>
      <c r="L84" s="7">
        <f t="shared" si="55"/>
        <v>0</v>
      </c>
      <c r="M84" s="2"/>
      <c r="N84" s="6">
        <f t="shared" si="56"/>
        <v>0</v>
      </c>
      <c r="O84" s="11"/>
      <c r="P84" s="7"/>
      <c r="Q84" s="2"/>
      <c r="R84" s="6">
        <f t="shared" si="57"/>
        <v>0</v>
      </c>
      <c r="S84" s="2"/>
      <c r="T84" s="7">
        <v>411</v>
      </c>
      <c r="U84" s="2"/>
      <c r="V84" s="6">
        <f t="shared" si="58"/>
        <v>3.6463970757847296E-3</v>
      </c>
      <c r="W84" s="2"/>
      <c r="X84" s="7">
        <f t="shared" si="59"/>
        <v>-411</v>
      </c>
      <c r="Y84" s="2"/>
      <c r="Z84" s="6">
        <f t="shared" si="60"/>
        <v>-1</v>
      </c>
    </row>
    <row r="85" spans="1:26" s="24" customFormat="1" hidden="1" outlineLevel="2" x14ac:dyDescent="0.35">
      <c r="A85" s="29"/>
      <c r="B85" s="11" t="str">
        <f>CONCATENATE("          ", "6248", " - ", "UNIFORMS")</f>
        <v xml:space="preserve">          6248 - UNIFORMS</v>
      </c>
      <c r="C85" s="11"/>
      <c r="D85" s="7"/>
      <c r="E85" s="2"/>
      <c r="F85" s="6">
        <f t="shared" si="53"/>
        <v>0</v>
      </c>
      <c r="G85" s="2"/>
      <c r="H85" s="7">
        <v>15</v>
      </c>
      <c r="I85" s="2"/>
      <c r="J85" s="6">
        <f t="shared" si="54"/>
        <v>6.362402443162538E-4</v>
      </c>
      <c r="K85" s="2"/>
      <c r="L85" s="7">
        <f t="shared" si="55"/>
        <v>-15</v>
      </c>
      <c r="M85" s="2"/>
      <c r="N85" s="6">
        <f t="shared" si="56"/>
        <v>-1</v>
      </c>
      <c r="O85" s="11"/>
      <c r="P85" s="7"/>
      <c r="Q85" s="2"/>
      <c r="R85" s="6">
        <f t="shared" si="57"/>
        <v>0</v>
      </c>
      <c r="S85" s="2"/>
      <c r="T85" s="7">
        <v>15</v>
      </c>
      <c r="U85" s="2"/>
      <c r="V85" s="6">
        <f t="shared" si="58"/>
        <v>1.3308018524761786E-4</v>
      </c>
      <c r="W85" s="2"/>
      <c r="X85" s="7">
        <f t="shared" si="59"/>
        <v>-15</v>
      </c>
      <c r="Y85" s="2"/>
      <c r="Z85" s="6">
        <f t="shared" si="60"/>
        <v>-1</v>
      </c>
    </row>
    <row r="86" spans="1:26" s="28" customFormat="1" outlineLevel="1" collapsed="1" x14ac:dyDescent="0.35">
      <c r="A86" s="27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SUM(OSRRefD22_15x_0)</f>
        <v>233</v>
      </c>
      <c r="E86" s="1"/>
      <c r="F86" s="5">
        <f t="shared" ref="F86:F88" si="61">IF(D$12=0,0,D86/D$12)</f>
        <v>0</v>
      </c>
      <c r="G86" s="1"/>
      <c r="H86" s="1">
        <f>SUM(OSRRefH22_15x_0)</f>
        <v>285</v>
      </c>
      <c r="I86" s="1"/>
      <c r="J86" s="5">
        <f t="shared" ref="J86:J88" si="62">IF(H$12=0,0,H86/H$12)</f>
        <v>1.2088564642008822E-2</v>
      </c>
      <c r="K86" s="1"/>
      <c r="L86" s="1">
        <f t="shared" ref="L86:L88" si="63">+D86-H86</f>
        <v>-52</v>
      </c>
      <c r="M86" s="1"/>
      <c r="N86" s="5">
        <f t="shared" ref="N86:N88" si="64">IF(H86=0,0,L86/H86)</f>
        <v>-0.18245614035087721</v>
      </c>
      <c r="O86" s="14"/>
      <c r="P86" s="1">
        <f>SUM(OSRRefP22_15x_0)</f>
        <v>1677</v>
      </c>
      <c r="Q86" s="1"/>
      <c r="R86" s="5">
        <f t="shared" ref="R86:R88" si="65">IF(P$12=0,0,P86/P$12)</f>
        <v>3.7154624831341937E-2</v>
      </c>
      <c r="S86" s="1"/>
      <c r="T86" s="1">
        <f>SUM(OSRRefT22_15x_0)</f>
        <v>1437</v>
      </c>
      <c r="U86" s="1"/>
      <c r="V86" s="5">
        <f t="shared" ref="V86:V88" si="66">IF(T$12=0,0,T86/T$12)</f>
        <v>1.2749081746721791E-2</v>
      </c>
      <c r="W86" s="1"/>
      <c r="X86" s="1">
        <f t="shared" ref="X86:X88" si="67">+P86-T86</f>
        <v>240</v>
      </c>
      <c r="Y86" s="1"/>
      <c r="Z86" s="5">
        <f t="shared" ref="Z86:Z88" si="68">IF(T86=0,0,X86/T86)</f>
        <v>0.16701461377870563</v>
      </c>
    </row>
    <row r="87" spans="1:26" s="24" customFormat="1" hidden="1" outlineLevel="2" x14ac:dyDescent="0.35">
      <c r="A87" s="29"/>
      <c r="B87" s="11" t="str">
        <f>CONCATENATE("          ", "6303", " - ", "DATA PHONE LINES")</f>
        <v xml:space="preserve">          6303 - DATA PHONE LINES</v>
      </c>
      <c r="C87" s="11"/>
      <c r="D87" s="7"/>
      <c r="E87" s="2"/>
      <c r="F87" s="6">
        <f t="shared" si="61"/>
        <v>0</v>
      </c>
      <c r="G87" s="2"/>
      <c r="H87" s="7">
        <v>135</v>
      </c>
      <c r="I87" s="2"/>
      <c r="J87" s="6">
        <f t="shared" si="62"/>
        <v>5.726162198846284E-3</v>
      </c>
      <c r="K87" s="2"/>
      <c r="L87" s="7">
        <f t="shared" si="63"/>
        <v>-135</v>
      </c>
      <c r="M87" s="2"/>
      <c r="N87" s="6">
        <f t="shared" si="64"/>
        <v>-1</v>
      </c>
      <c r="O87" s="11"/>
      <c r="P87" s="7"/>
      <c r="Q87" s="2"/>
      <c r="R87" s="6">
        <f t="shared" si="65"/>
        <v>0</v>
      </c>
      <c r="S87" s="2"/>
      <c r="T87" s="7">
        <v>987</v>
      </c>
      <c r="U87" s="2"/>
      <c r="V87" s="6">
        <f t="shared" si="66"/>
        <v>8.7566761892932561E-3</v>
      </c>
      <c r="W87" s="2"/>
      <c r="X87" s="7">
        <f t="shared" si="67"/>
        <v>-987</v>
      </c>
      <c r="Y87" s="2"/>
      <c r="Z87" s="6">
        <f t="shared" si="68"/>
        <v>-1</v>
      </c>
    </row>
    <row r="88" spans="1:26" s="24" customFormat="1" hidden="1" outlineLevel="2" x14ac:dyDescent="0.35">
      <c r="A88" s="29"/>
      <c r="B88" s="11" t="str">
        <f>CONCATENATE("          ", "6309", " - ", "TELEPHONE")</f>
        <v xml:space="preserve">          6309 - TELEPHONE</v>
      </c>
      <c r="C88" s="11"/>
      <c r="D88" s="7">
        <v>233</v>
      </c>
      <c r="E88" s="2"/>
      <c r="F88" s="6">
        <f t="shared" si="61"/>
        <v>0</v>
      </c>
      <c r="G88" s="2"/>
      <c r="H88" s="7">
        <v>150</v>
      </c>
      <c r="I88" s="2"/>
      <c r="J88" s="6">
        <f t="shared" si="62"/>
        <v>6.3624024431625384E-3</v>
      </c>
      <c r="K88" s="2"/>
      <c r="L88" s="7">
        <f t="shared" si="63"/>
        <v>83</v>
      </c>
      <c r="M88" s="2"/>
      <c r="N88" s="6">
        <f t="shared" si="64"/>
        <v>0.55333333333333334</v>
      </c>
      <c r="O88" s="11"/>
      <c r="P88" s="7">
        <v>1677</v>
      </c>
      <c r="Q88" s="2"/>
      <c r="R88" s="6">
        <f t="shared" si="65"/>
        <v>3.7154624831341937E-2</v>
      </c>
      <c r="S88" s="2"/>
      <c r="T88" s="7">
        <v>450</v>
      </c>
      <c r="U88" s="2"/>
      <c r="V88" s="6">
        <f t="shared" si="66"/>
        <v>3.9924055574285357E-3</v>
      </c>
      <c r="W88" s="2"/>
      <c r="X88" s="7">
        <f t="shared" si="67"/>
        <v>1227</v>
      </c>
      <c r="Y88" s="2"/>
      <c r="Z88" s="6">
        <f t="shared" si="68"/>
        <v>2.7266666666666666</v>
      </c>
    </row>
    <row r="89" spans="1:26" s="28" customFormat="1" outlineLevel="1" collapsed="1" x14ac:dyDescent="0.35">
      <c r="A89" s="27"/>
      <c r="B89" s="14" t="str">
        <f>CONCATENATE("     ","Training                                          ")</f>
        <v xml:space="preserve">     Training                                          </v>
      </c>
      <c r="C89" s="14"/>
      <c r="D89" s="1">
        <f>SUM(OSRRefD22_16x_0)</f>
        <v>0</v>
      </c>
      <c r="E89" s="1"/>
      <c r="F89" s="5">
        <f t="shared" ref="F89:F93" si="69">IF(D$12=0,0,D89/D$12)</f>
        <v>0</v>
      </c>
      <c r="G89" s="1"/>
      <c r="H89" s="1">
        <f>SUM(OSRRefH22_16x_0)</f>
        <v>0</v>
      </c>
      <c r="I89" s="1"/>
      <c r="J89" s="5">
        <f t="shared" ref="J89:J93" si="70">IF(H$12=0,0,H89/H$12)</f>
        <v>0</v>
      </c>
      <c r="K89" s="1"/>
      <c r="L89" s="1">
        <f t="shared" ref="L89:L93" si="71">+D89-H89</f>
        <v>0</v>
      </c>
      <c r="M89" s="1"/>
      <c r="N89" s="5">
        <f t="shared" ref="N89:N93" si="72">IF(H89=0,0,L89/H89)</f>
        <v>0</v>
      </c>
      <c r="O89" s="14"/>
      <c r="P89" s="1">
        <f>SUM(OSRRefP22_16x_0)</f>
        <v>400</v>
      </c>
      <c r="Q89" s="1"/>
      <c r="R89" s="5">
        <f t="shared" ref="R89:R93" si="73">IF(P$12=0,0,P89/P$12)</f>
        <v>8.8621645393779213E-3</v>
      </c>
      <c r="S89" s="1"/>
      <c r="T89" s="1">
        <f>SUM(OSRRefT22_16x_0)</f>
        <v>0</v>
      </c>
      <c r="U89" s="1"/>
      <c r="V89" s="5">
        <f t="shared" ref="V89:V93" si="74">IF(T$12=0,0,T89/T$12)</f>
        <v>0</v>
      </c>
      <c r="W89" s="1"/>
      <c r="X89" s="1">
        <f t="shared" ref="X89:X93" si="75">+P89-T89</f>
        <v>400</v>
      </c>
      <c r="Y89" s="1"/>
      <c r="Z89" s="5">
        <f t="shared" ref="Z89:Z93" si="76">IF(T89=0,0,X89/T89)</f>
        <v>0</v>
      </c>
    </row>
    <row r="90" spans="1:26" s="24" customFormat="1" hidden="1" outlineLevel="2" x14ac:dyDescent="0.35">
      <c r="A90" s="29"/>
      <c r="B90" s="11" t="str">
        <f>CONCATENATE("          ", "6376", " - ", "TRAINING")</f>
        <v xml:space="preserve">          6376 - TRAINING</v>
      </c>
      <c r="C90" s="11"/>
      <c r="D90" s="7"/>
      <c r="E90" s="2"/>
      <c r="F90" s="6">
        <f t="shared" si="69"/>
        <v>0</v>
      </c>
      <c r="G90" s="2"/>
      <c r="H90" s="7"/>
      <c r="I90" s="2"/>
      <c r="J90" s="6">
        <f t="shared" si="70"/>
        <v>0</v>
      </c>
      <c r="K90" s="2"/>
      <c r="L90" s="7">
        <f t="shared" si="71"/>
        <v>0</v>
      </c>
      <c r="M90" s="2"/>
      <c r="N90" s="6">
        <f t="shared" si="72"/>
        <v>0</v>
      </c>
      <c r="O90" s="11"/>
      <c r="P90" s="7">
        <v>400</v>
      </c>
      <c r="Q90" s="2"/>
      <c r="R90" s="6">
        <f t="shared" si="73"/>
        <v>8.8621645393779213E-3</v>
      </c>
      <c r="S90" s="2"/>
      <c r="T90" s="7"/>
      <c r="U90" s="2"/>
      <c r="V90" s="6">
        <f t="shared" si="74"/>
        <v>0</v>
      </c>
      <c r="W90" s="2"/>
      <c r="X90" s="7">
        <f t="shared" si="75"/>
        <v>400</v>
      </c>
      <c r="Y90" s="2"/>
      <c r="Z90" s="6">
        <f t="shared" si="76"/>
        <v>0</v>
      </c>
    </row>
    <row r="91" spans="1:26" s="28" customFormat="1" outlineLevel="1" collapsed="1" x14ac:dyDescent="0.35">
      <c r="A91" s="27"/>
      <c r="B91" s="14" t="str">
        <f>CONCATENATE("     ","Travel                                            ")</f>
        <v xml:space="preserve">     Travel                                            </v>
      </c>
      <c r="C91" s="14"/>
      <c r="D91" s="1">
        <f>SUM(OSRRefD22_17x_0)</f>
        <v>0</v>
      </c>
      <c r="E91" s="1"/>
      <c r="F91" s="5">
        <f t="shared" si="69"/>
        <v>0</v>
      </c>
      <c r="G91" s="1"/>
      <c r="H91" s="1">
        <f>SUM(OSRRefH22_17x_0)</f>
        <v>0</v>
      </c>
      <c r="I91" s="1"/>
      <c r="J91" s="5">
        <f t="shared" si="70"/>
        <v>0</v>
      </c>
      <c r="K91" s="1"/>
      <c r="L91" s="1">
        <f t="shared" si="71"/>
        <v>0</v>
      </c>
      <c r="M91" s="1"/>
      <c r="N91" s="5">
        <f t="shared" si="72"/>
        <v>0</v>
      </c>
      <c r="O91" s="14"/>
      <c r="P91" s="1">
        <f>SUM(OSRRefP22_17x_0)</f>
        <v>0</v>
      </c>
      <c r="Q91" s="1"/>
      <c r="R91" s="5">
        <f t="shared" si="73"/>
        <v>0</v>
      </c>
      <c r="S91" s="1"/>
      <c r="T91" s="1">
        <f>SUM(OSRRefT22_17x_0)</f>
        <v>0</v>
      </c>
      <c r="U91" s="1"/>
      <c r="V91" s="5">
        <f t="shared" si="74"/>
        <v>0</v>
      </c>
      <c r="W91" s="1"/>
      <c r="X91" s="1">
        <f t="shared" si="75"/>
        <v>0</v>
      </c>
      <c r="Y91" s="1"/>
      <c r="Z91" s="5">
        <f t="shared" si="76"/>
        <v>0</v>
      </c>
    </row>
    <row r="92" spans="1:26" s="24" customFormat="1" hidden="1" outlineLevel="2" x14ac:dyDescent="0.35">
      <c r="A92" s="29"/>
      <c r="B92" s="11" t="str">
        <f>CONCATENATE("          ", "6292", " - ", "TRAVEL/CONFERENCE")</f>
        <v xml:space="preserve">          6292 - TRAVEL/CONFERENCE</v>
      </c>
      <c r="C92" s="11"/>
      <c r="D92" s="7"/>
      <c r="E92" s="2"/>
      <c r="F92" s="6">
        <f t="shared" si="69"/>
        <v>0</v>
      </c>
      <c r="G92" s="2"/>
      <c r="H92" s="7"/>
      <c r="I92" s="2"/>
      <c r="J92" s="6">
        <f t="shared" si="70"/>
        <v>0</v>
      </c>
      <c r="K92" s="2"/>
      <c r="L92" s="7">
        <f t="shared" si="71"/>
        <v>0</v>
      </c>
      <c r="M92" s="2"/>
      <c r="N92" s="6">
        <f t="shared" si="72"/>
        <v>0</v>
      </c>
      <c r="O92" s="11"/>
      <c r="P92" s="7"/>
      <c r="Q92" s="2"/>
      <c r="R92" s="6">
        <f t="shared" si="73"/>
        <v>0</v>
      </c>
      <c r="S92" s="2"/>
      <c r="T92" s="7">
        <v>0</v>
      </c>
      <c r="U92" s="2"/>
      <c r="V92" s="6">
        <f t="shared" si="74"/>
        <v>0</v>
      </c>
      <c r="W92" s="2"/>
      <c r="X92" s="7">
        <f t="shared" si="75"/>
        <v>0</v>
      </c>
      <c r="Y92" s="2"/>
      <c r="Z92" s="6">
        <f t="shared" si="76"/>
        <v>0</v>
      </c>
    </row>
    <row r="93" spans="1:26" s="24" customFormat="1" hidden="1" outlineLevel="2" x14ac:dyDescent="0.35">
      <c r="A93" s="29"/>
      <c r="B93" s="11" t="str">
        <f>CONCATENATE("          ", "6294", " - ", "TRAVEL OPERATIONAL")</f>
        <v xml:space="preserve">          6294 - TRAVEL OPERATIONAL</v>
      </c>
      <c r="C93" s="11"/>
      <c r="D93" s="7"/>
      <c r="E93" s="2"/>
      <c r="F93" s="6">
        <f t="shared" si="69"/>
        <v>0</v>
      </c>
      <c r="G93" s="2"/>
      <c r="H93" s="7"/>
      <c r="I93" s="2"/>
      <c r="J93" s="6">
        <f t="shared" si="70"/>
        <v>0</v>
      </c>
      <c r="K93" s="2"/>
      <c r="L93" s="7">
        <f t="shared" si="71"/>
        <v>0</v>
      </c>
      <c r="M93" s="2"/>
      <c r="N93" s="6">
        <f t="shared" si="72"/>
        <v>0</v>
      </c>
      <c r="O93" s="11"/>
      <c r="P93" s="7"/>
      <c r="Q93" s="2"/>
      <c r="R93" s="6">
        <f t="shared" si="73"/>
        <v>0</v>
      </c>
      <c r="S93" s="2"/>
      <c r="T93" s="7">
        <v>0</v>
      </c>
      <c r="U93" s="2"/>
      <c r="V93" s="6">
        <f t="shared" si="74"/>
        <v>0</v>
      </c>
      <c r="W93" s="2"/>
      <c r="X93" s="7">
        <f t="shared" si="75"/>
        <v>0</v>
      </c>
      <c r="Y93" s="2"/>
      <c r="Z93" s="6">
        <f t="shared" si="76"/>
        <v>0</v>
      </c>
    </row>
    <row r="94" spans="1:26" s="28" customFormat="1" outlineLevel="1" collapsed="1" x14ac:dyDescent="0.35">
      <c r="A94" s="27"/>
      <c r="B94" s="14" t="str">
        <f>CONCATENATE("     ","Utilities                                         ")</f>
        <v xml:space="preserve">     Utilities                                         </v>
      </c>
      <c r="C94" s="14"/>
      <c r="D94" s="1">
        <f>SUM(OSRRefD22_18x_0)</f>
        <v>2312</v>
      </c>
      <c r="E94" s="1"/>
      <c r="F94" s="5">
        <f t="shared" ref="F94:F95" si="77">IF(D$12=0,0,D94/D$12)</f>
        <v>0</v>
      </c>
      <c r="G94" s="1"/>
      <c r="H94" s="1">
        <f>SUM(OSRRefH22_18x_0)</f>
        <v>2300</v>
      </c>
      <c r="I94" s="1"/>
      <c r="J94" s="5">
        <f t="shared" ref="J94:J95" si="78">IF(H$12=0,0,H94/H$12)</f>
        <v>9.7556837461825585E-2</v>
      </c>
      <c r="K94" s="1"/>
      <c r="L94" s="1">
        <f t="shared" ref="L94:L95" si="79">+D94-H94</f>
        <v>12</v>
      </c>
      <c r="M94" s="1"/>
      <c r="N94" s="5">
        <f t="shared" ref="N94:N95" si="80">IF(H94=0,0,L94/H94)</f>
        <v>5.2173913043478265E-3</v>
      </c>
      <c r="O94" s="14"/>
      <c r="P94" s="1">
        <f>SUM(OSRRefP22_18x_0)</f>
        <v>16136</v>
      </c>
      <c r="Q94" s="1"/>
      <c r="R94" s="5">
        <f t="shared" ref="R94:R95" si="81">IF(P$12=0,0,P94/P$12)</f>
        <v>0.35749971751850534</v>
      </c>
      <c r="S94" s="1"/>
      <c r="T94" s="1">
        <f>SUM(OSRRefT22_18x_0)</f>
        <v>16100</v>
      </c>
      <c r="U94" s="1"/>
      <c r="V94" s="5">
        <f t="shared" ref="V94:V95" si="82">IF(T$12=0,0,T94/T$12)</f>
        <v>0.14283939883244318</v>
      </c>
      <c r="W94" s="1"/>
      <c r="X94" s="1">
        <f t="shared" ref="X94:X95" si="83">+P94-T94</f>
        <v>36</v>
      </c>
      <c r="Y94" s="1"/>
      <c r="Z94" s="5">
        <f t="shared" ref="Z94:Z95" si="84">IF(T94=0,0,X94/T94)</f>
        <v>2.2360248447204968E-3</v>
      </c>
    </row>
    <row r="95" spans="1:26" s="24" customFormat="1" hidden="1" outlineLevel="2" x14ac:dyDescent="0.35">
      <c r="A95" s="29"/>
      <c r="B95" s="11" t="str">
        <f>CONCATENATE("          ", "6274", " - ", "UTILITIES")</f>
        <v xml:space="preserve">          6274 - UTILITIES</v>
      </c>
      <c r="C95" s="11"/>
      <c r="D95" s="7">
        <v>2312</v>
      </c>
      <c r="E95" s="2"/>
      <c r="F95" s="6">
        <f t="shared" si="77"/>
        <v>0</v>
      </c>
      <c r="G95" s="2"/>
      <c r="H95" s="7">
        <v>2300</v>
      </c>
      <c r="I95" s="2"/>
      <c r="J95" s="6">
        <f t="shared" si="78"/>
        <v>9.7556837461825585E-2</v>
      </c>
      <c r="K95" s="2"/>
      <c r="L95" s="7">
        <f t="shared" si="79"/>
        <v>12</v>
      </c>
      <c r="M95" s="2"/>
      <c r="N95" s="6">
        <f t="shared" si="80"/>
        <v>5.2173913043478265E-3</v>
      </c>
      <c r="O95" s="11"/>
      <c r="P95" s="7">
        <v>16136</v>
      </c>
      <c r="Q95" s="2"/>
      <c r="R95" s="6">
        <f t="shared" si="81"/>
        <v>0.35749971751850534</v>
      </c>
      <c r="S95" s="2"/>
      <c r="T95" s="7">
        <v>16100</v>
      </c>
      <c r="U95" s="2"/>
      <c r="V95" s="6">
        <f t="shared" si="82"/>
        <v>0.14283939883244318</v>
      </c>
      <c r="W95" s="2"/>
      <c r="X95" s="7">
        <f t="shared" si="83"/>
        <v>36</v>
      </c>
      <c r="Y95" s="2"/>
      <c r="Z95" s="6">
        <f t="shared" si="84"/>
        <v>2.2360248447204968E-3</v>
      </c>
    </row>
    <row r="96" spans="1:26" s="55" customFormat="1" x14ac:dyDescent="0.3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x14ac:dyDescent="0.35">
      <c r="A97" s="10"/>
      <c r="B97" s="25" t="s">
        <v>0</v>
      </c>
      <c r="C97" s="10"/>
      <c r="D97" s="4">
        <f>SUM(0)</f>
        <v>0</v>
      </c>
      <c r="E97" s="4"/>
      <c r="F97" s="12">
        <f>IF(D$12=0,0,D97/D$12)</f>
        <v>0</v>
      </c>
      <c r="G97" s="4"/>
      <c r="H97" s="4">
        <f>SUM(0)</f>
        <v>0</v>
      </c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>
        <f>SUM(0)</f>
        <v>0</v>
      </c>
      <c r="Q97" s="4"/>
      <c r="R97" s="12">
        <f>IF(P$12=0,0,P97/P$12)</f>
        <v>0</v>
      </c>
      <c r="S97" s="4"/>
      <c r="T97" s="4">
        <f>SUM(0)</f>
        <v>0</v>
      </c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3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35">
      <c r="A99" s="10"/>
      <c r="B99" s="26" t="s">
        <v>3</v>
      </c>
      <c r="C99" s="26"/>
      <c r="D99" s="19">
        <f>+D23-D25+D97</f>
        <v>-59314.130000000005</v>
      </c>
      <c r="E99" s="13"/>
      <c r="F99" s="21">
        <f>IF(D$12=0,0,D99/D$12)</f>
        <v>0</v>
      </c>
      <c r="G99" s="13"/>
      <c r="H99" s="19">
        <f>+H23-H25+H97</f>
        <v>-42075.865333288457</v>
      </c>
      <c r="I99" s="13"/>
      <c r="J99" s="21">
        <f>IF(H$12=0,0,H99/H$12)</f>
        <v>-1.7846905892979494</v>
      </c>
      <c r="K99" s="16"/>
      <c r="L99" s="19">
        <f>+D99-H99</f>
        <v>-17238.264666711548</v>
      </c>
      <c r="M99" s="16"/>
      <c r="N99" s="21">
        <f>IF(H99=0,0,L99/H99)</f>
        <v>0.40969483408516943</v>
      </c>
      <c r="O99" s="25"/>
      <c r="P99" s="19">
        <f>+P23-P25+P97</f>
        <v>-416406.47000000003</v>
      </c>
      <c r="Q99" s="13"/>
      <c r="R99" s="21">
        <f>IF(P$12=0,0,P99/P$12)</f>
        <v>-9.2256566310038401</v>
      </c>
      <c r="S99" s="13"/>
      <c r="T99" s="19">
        <f>+T23-T25+T97</f>
        <v>-315362.74907284998</v>
      </c>
      <c r="U99" s="13"/>
      <c r="V99" s="21">
        <f>IF(T$12=0,0,T99/T$12)</f>
        <v>-2.7979022044541937</v>
      </c>
      <c r="W99" s="16"/>
      <c r="X99" s="19">
        <f>+P99-T99</f>
        <v>-101043.72092715005</v>
      </c>
      <c r="Y99" s="16"/>
      <c r="Z99" s="21">
        <f>IF(T99=0,0,X99/T99)</f>
        <v>0.32040474413738879</v>
      </c>
    </row>
    <row r="100" spans="1:26" x14ac:dyDescent="0.35">
      <c r="A100" s="9"/>
      <c r="B100" s="10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35">
      <c r="A101" s="52"/>
      <c r="B101" s="10" t="s">
        <v>14</v>
      </c>
      <c r="C101" s="10"/>
      <c r="D101" s="4">
        <v>-157.74</v>
      </c>
      <c r="E101" s="4"/>
      <c r="F101" s="12">
        <f>IF(D$12=0,0,D101/D$12)</f>
        <v>0</v>
      </c>
      <c r="G101" s="4"/>
      <c r="H101" s="4">
        <v>2652</v>
      </c>
      <c r="I101" s="4"/>
      <c r="J101" s="12">
        <f>IF(H$12=0,0,H101/H$12)</f>
        <v>0.11248727519511367</v>
      </c>
      <c r="K101" s="4"/>
      <c r="L101" s="4">
        <f>+D101-H101</f>
        <v>-2809.74</v>
      </c>
      <c r="M101" s="4"/>
      <c r="N101" s="12">
        <f>IF(H101=0,0,L101/H101)</f>
        <v>-1.0594796380090497</v>
      </c>
      <c r="O101" s="10"/>
      <c r="P101" s="4">
        <v>8193.32</v>
      </c>
      <c r="Q101" s="4"/>
      <c r="R101" s="12">
        <f>IF(P$12=0,0,P101/P$12)</f>
        <v>0.18152637490943976</v>
      </c>
      <c r="S101" s="4"/>
      <c r="T101" s="4">
        <v>19561</v>
      </c>
      <c r="U101" s="4"/>
      <c r="V101" s="12">
        <f>IF(T$12=0,0,T101/T$12)</f>
        <v>0.17354543357524355</v>
      </c>
      <c r="W101" s="4"/>
      <c r="X101" s="4">
        <f>+P101-T101</f>
        <v>-11367.68</v>
      </c>
      <c r="Y101" s="4"/>
      <c r="Z101" s="12">
        <f>IF(T101=0,0,X101/T101)</f>
        <v>-0.58114002351618022</v>
      </c>
    </row>
    <row r="102" spans="1:26" x14ac:dyDescent="0.3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" thickBot="1" x14ac:dyDescent="0.4">
      <c r="A103" s="10"/>
      <c r="B103" s="26" t="s">
        <v>4</v>
      </c>
      <c r="C103" s="26"/>
      <c r="D103" s="33">
        <f>+D99-D101</f>
        <v>-59156.390000000007</v>
      </c>
      <c r="E103" s="13"/>
      <c r="F103" s="31">
        <f>IF(D$12=0,0,D103/D$12)</f>
        <v>0</v>
      </c>
      <c r="G103" s="13"/>
      <c r="H103" s="33">
        <f>+H99-H101</f>
        <v>-44727.865333288457</v>
      </c>
      <c r="I103" s="13"/>
      <c r="J103" s="31">
        <f>IF(H$12=0,0,H103/H$12)</f>
        <v>-1.8971778644930632</v>
      </c>
      <c r="K103" s="16"/>
      <c r="L103" s="33">
        <f>D103-H103</f>
        <v>-14428.52466671155</v>
      </c>
      <c r="M103" s="16"/>
      <c r="N103" s="31">
        <f>IF(H103=0,0,L103/H103)</f>
        <v>0.32258469209737139</v>
      </c>
      <c r="O103" s="25"/>
      <c r="P103" s="33">
        <f>+P99-P101</f>
        <v>-424599.79000000004</v>
      </c>
      <c r="Q103" s="13"/>
      <c r="R103" s="31">
        <f>IF(P$12=0,0,P103/P$12)</f>
        <v>-9.4071830059132804</v>
      </c>
      <c r="S103" s="13"/>
      <c r="T103" s="33">
        <f>+T99-T101</f>
        <v>-334923.74907284998</v>
      </c>
      <c r="U103" s="13"/>
      <c r="V103" s="31">
        <f>IF(T$12=0,0,T103/T$12)</f>
        <v>-2.9714476380294372</v>
      </c>
      <c r="W103" s="16"/>
      <c r="X103" s="33">
        <f>P103-T103</f>
        <v>-89676.040927150054</v>
      </c>
      <c r="Y103" s="16"/>
      <c r="Z103" s="31">
        <f>IF(T103=0,0,X103/T103)</f>
        <v>0.26775061838820041</v>
      </c>
    </row>
    <row r="104" spans="1:26" ht="15" thickTop="1" x14ac:dyDescent="0.3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x14ac:dyDescent="0.3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" thickBot="1" x14ac:dyDescent="0.4">
      <c r="A106" s="10"/>
      <c r="B106" s="26" t="s">
        <v>5</v>
      </c>
      <c r="C106" s="26"/>
      <c r="D106" s="34">
        <f>SUM(D103:D105)</f>
        <v>-59156.390000000007</v>
      </c>
      <c r="E106" s="13"/>
      <c r="F106" s="32">
        <f>IF(D$12=0,0,D106/D$12)</f>
        <v>0</v>
      </c>
      <c r="G106" s="13"/>
      <c r="H106" s="34">
        <f>SUM(H103:H105)</f>
        <v>-44727.865333288457</v>
      </c>
      <c r="I106" s="13"/>
      <c r="J106" s="32">
        <f>IF(H$12=0,0,H106/H$12)</f>
        <v>-1.8971778644930632</v>
      </c>
      <c r="K106" s="16"/>
      <c r="L106" s="34">
        <f>+D106-H106</f>
        <v>-14428.52466671155</v>
      </c>
      <c r="M106" s="16"/>
      <c r="N106" s="32">
        <f>IF(H106=0,0,L106/H106)</f>
        <v>0.32258469209737139</v>
      </c>
      <c r="O106" s="25"/>
      <c r="P106" s="34">
        <f>SUM(P103:P105)</f>
        <v>-424599.79000000004</v>
      </c>
      <c r="Q106" s="13"/>
      <c r="R106" s="32">
        <f>IF(P$12=0,0,P106/P$12)</f>
        <v>-9.4071830059132804</v>
      </c>
      <c r="S106" s="13"/>
      <c r="T106" s="34">
        <f>SUM(T103:T105)</f>
        <v>-334923.74907284998</v>
      </c>
      <c r="U106" s="13"/>
      <c r="V106" s="32">
        <f>IF(T$12=0,0,T106/T$12)</f>
        <v>-2.9714476380294372</v>
      </c>
      <c r="W106" s="16"/>
      <c r="X106" s="34">
        <f>+P106-T106</f>
        <v>-89676.040927150054</v>
      </c>
      <c r="Y106" s="16"/>
      <c r="Z106" s="32">
        <f>IF(T106=0,0,X106/T106)</f>
        <v>0.26775061838820041</v>
      </c>
    </row>
    <row r="107" spans="1:26" ht="15" thickTop="1" x14ac:dyDescent="0.35">
      <c r="A107" s="9"/>
      <c r="C107" s="9"/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35">
      <c r="A108" s="9"/>
      <c r="B108" s="60">
        <v>44238.490747453703</v>
      </c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35">
      <c r="A109" s="9"/>
      <c r="B109" s="59" t="s">
        <v>314</v>
      </c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35">
      <c r="A110" s="9"/>
      <c r="B110" s="58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35"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","418", " - ", "Nugget")</f>
        <v>Department 418 - Nugget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3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 t="shared" ref="P13:P14" si="5"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3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0</v>
      </c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 t="shared" si="5"/>
        <v>0</v>
      </c>
      <c r="Q14" s="2"/>
      <c r="R14" s="22"/>
      <c r="S14" s="2"/>
      <c r="T14" s="2">
        <v>0</v>
      </c>
      <c r="U14" s="2"/>
      <c r="V14" s="22"/>
      <c r="W14" s="2"/>
      <c r="X14" s="2">
        <f t="shared" si="2"/>
        <v>0</v>
      </c>
      <c r="Y14" s="2"/>
      <c r="Z14" s="22">
        <f t="shared" si="3"/>
        <v>0</v>
      </c>
    </row>
    <row r="15" spans="1:26" x14ac:dyDescent="0.3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3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0</v>
      </c>
      <c r="I17" s="2"/>
      <c r="J17" s="22">
        <f t="shared" si="7"/>
        <v>0</v>
      </c>
      <c r="K17" s="2"/>
      <c r="L17" s="2">
        <f t="shared" si="8"/>
        <v>0</v>
      </c>
      <c r="M17" s="2"/>
      <c r="N17" s="22">
        <f t="shared" si="9"/>
        <v>0</v>
      </c>
      <c r="O17" s="11"/>
      <c r="P17" s="2"/>
      <c r="Q17" s="2"/>
      <c r="R17" s="22">
        <f t="shared" si="10"/>
        <v>0</v>
      </c>
      <c r="S17" s="2"/>
      <c r="T17" s="2">
        <v>0</v>
      </c>
      <c r="U17" s="2"/>
      <c r="V17" s="22">
        <f t="shared" si="11"/>
        <v>0</v>
      </c>
      <c r="W17" s="2"/>
      <c r="X17" s="2">
        <f t="shared" si="12"/>
        <v>0</v>
      </c>
      <c r="Y17" s="2"/>
      <c r="Z17" s="22">
        <f t="shared" si="13"/>
        <v>0</v>
      </c>
    </row>
    <row r="18" spans="1:26" x14ac:dyDescent="0.3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35">
      <c r="A19" s="10"/>
      <c r="B19" s="26" t="s">
        <v>6</v>
      </c>
      <c r="C19" s="26"/>
      <c r="D19" s="19">
        <f>D12-D16</f>
        <v>0</v>
      </c>
      <c r="E19" s="13"/>
      <c r="F19" s="21">
        <f>IF(D$12=0,0,D19/D$12)</f>
        <v>0</v>
      </c>
      <c r="G19" s="13"/>
      <c r="H19" s="19">
        <f>H12-H16</f>
        <v>0</v>
      </c>
      <c r="I19" s="13"/>
      <c r="J19" s="21">
        <f>IF(H$12=0,0,H19/H$12)</f>
        <v>0</v>
      </c>
      <c r="K19" s="16"/>
      <c r="L19" s="19">
        <f>+D19-H19</f>
        <v>0</v>
      </c>
      <c r="M19" s="16"/>
      <c r="N19" s="21">
        <f>IF(H19=0,0,L19/H19)</f>
        <v>0</v>
      </c>
      <c r="O19" s="25"/>
      <c r="P19" s="19">
        <f>P12-P16</f>
        <v>0</v>
      </c>
      <c r="Q19" s="13"/>
      <c r="R19" s="21">
        <f>IF(P$12=0,0,P19/P$12)</f>
        <v>0</v>
      </c>
      <c r="S19" s="13"/>
      <c r="T19" s="19">
        <f>T12-T16</f>
        <v>0</v>
      </c>
      <c r="U19" s="13"/>
      <c r="V19" s="21">
        <f>IF(T$12=0,0,T19/T$12)</f>
        <v>0</v>
      </c>
      <c r="W19" s="16"/>
      <c r="X19" s="19">
        <f>+P19-T19</f>
        <v>0</v>
      </c>
      <c r="Y19" s="16"/>
      <c r="Z19" s="21">
        <f>IF(T19=0,0,X19/T19)</f>
        <v>0</v>
      </c>
    </row>
    <row r="20" spans="1:26" x14ac:dyDescent="0.3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35">
      <c r="A21" s="10"/>
      <c r="B21" s="25" t="s">
        <v>9</v>
      </c>
      <c r="C21" s="10"/>
      <c r="D21" s="20">
        <f>SUM(OSRRefD22x_0)</f>
        <v>6745.17</v>
      </c>
      <c r="E21" s="20"/>
      <c r="F21" s="30">
        <f t="shared" ref="F21:F30" si="14">IF(D$12=0,0,D21/D$12)</f>
        <v>0</v>
      </c>
      <c r="G21" s="20"/>
      <c r="H21" s="20">
        <f>SUM(OSRRefH22x_0)</f>
        <v>6745</v>
      </c>
      <c r="I21" s="20"/>
      <c r="J21" s="30">
        <f t="shared" ref="J21:J30" si="15">IF(H$12=0,0,H21/H$12)</f>
        <v>0</v>
      </c>
      <c r="K21" s="4"/>
      <c r="L21" s="20">
        <f t="shared" ref="L21:L30" si="16">+D21-H21</f>
        <v>0.17000000000007276</v>
      </c>
      <c r="M21" s="4"/>
      <c r="N21" s="30">
        <f t="shared" ref="N21:N30" si="17">IF(H21=0,0,L21/H21)</f>
        <v>2.5203854707201298E-5</v>
      </c>
      <c r="O21" s="10"/>
      <c r="P21" s="20">
        <f>SUM(OSRRefP22x_0)</f>
        <v>59026.820000000007</v>
      </c>
      <c r="Q21" s="20"/>
      <c r="R21" s="30">
        <f t="shared" ref="R21:R30" si="18">IF(P$12=0,0,P21/P$12)</f>
        <v>0</v>
      </c>
      <c r="S21" s="20"/>
      <c r="T21" s="20">
        <f>SUM(OSRRefT22x_0)</f>
        <v>48514</v>
      </c>
      <c r="U21" s="20"/>
      <c r="V21" s="30">
        <f t="shared" ref="V21:V30" si="19">IF(T$12=0,0,T21/T$12)</f>
        <v>0</v>
      </c>
      <c r="W21" s="4"/>
      <c r="X21" s="20">
        <f t="shared" ref="X21:X30" si="20">+P21-T21</f>
        <v>10512.820000000007</v>
      </c>
      <c r="Y21" s="4"/>
      <c r="Z21" s="30">
        <f t="shared" ref="Z21:Z30" si="21">IF(T21=0,0,X21/T21)</f>
        <v>0.21669662365502756</v>
      </c>
    </row>
    <row r="22" spans="1:26" s="28" customFormat="1" outlineLevel="1" collapsed="1" x14ac:dyDescent="0.3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4"/>
      <c r="P22" s="1">
        <f>SUM(OSRRefP22_0x_0)</f>
        <v>6086.32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6086.32</v>
      </c>
      <c r="Y22" s="1"/>
      <c r="Z22" s="5">
        <f t="shared" si="21"/>
        <v>0</v>
      </c>
    </row>
    <row r="23" spans="1:26" s="24" customFormat="1" hidden="1" outlineLevel="2" x14ac:dyDescent="0.35">
      <c r="A23" s="29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4"/>
        <v>0</v>
      </c>
      <c r="G23" s="2"/>
      <c r="H23" s="7">
        <v>0</v>
      </c>
      <c r="I23" s="2"/>
      <c r="J23" s="6">
        <f t="shared" si="15"/>
        <v>0</v>
      </c>
      <c r="K23" s="2"/>
      <c r="L23" s="7">
        <f t="shared" si="16"/>
        <v>0</v>
      </c>
      <c r="M23" s="2"/>
      <c r="N23" s="6">
        <f t="shared" si="17"/>
        <v>0</v>
      </c>
      <c r="O23" s="11"/>
      <c r="P23" s="7">
        <v>237.51</v>
      </c>
      <c r="Q23" s="2"/>
      <c r="R23" s="6">
        <f t="shared" si="18"/>
        <v>0</v>
      </c>
      <c r="S23" s="2"/>
      <c r="T23" s="7">
        <v>0</v>
      </c>
      <c r="U23" s="2"/>
      <c r="V23" s="6">
        <f t="shared" si="19"/>
        <v>0</v>
      </c>
      <c r="W23" s="2"/>
      <c r="X23" s="7">
        <f t="shared" si="20"/>
        <v>237.51</v>
      </c>
      <c r="Y23" s="2"/>
      <c r="Z23" s="6">
        <f t="shared" si="21"/>
        <v>0</v>
      </c>
    </row>
    <row r="24" spans="1:26" s="24" customFormat="1" hidden="1" outlineLevel="2" x14ac:dyDescent="0.35">
      <c r="A24" s="29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4"/>
        <v>0</v>
      </c>
      <c r="G24" s="2"/>
      <c r="H24" s="7">
        <v>0</v>
      </c>
      <c r="I24" s="2"/>
      <c r="J24" s="6">
        <f t="shared" si="15"/>
        <v>0</v>
      </c>
      <c r="K24" s="2"/>
      <c r="L24" s="7">
        <f t="shared" si="16"/>
        <v>0</v>
      </c>
      <c r="M24" s="2"/>
      <c r="N24" s="6">
        <f t="shared" si="17"/>
        <v>0</v>
      </c>
      <c r="O24" s="11"/>
      <c r="P24" s="7"/>
      <c r="Q24" s="2"/>
      <c r="R24" s="6">
        <f t="shared" si="18"/>
        <v>0</v>
      </c>
      <c r="S24" s="2"/>
      <c r="T24" s="7">
        <v>0</v>
      </c>
      <c r="U24" s="2"/>
      <c r="V24" s="6">
        <f t="shared" si="19"/>
        <v>0</v>
      </c>
      <c r="W24" s="2"/>
      <c r="X24" s="7">
        <f t="shared" si="20"/>
        <v>0</v>
      </c>
      <c r="Y24" s="2"/>
      <c r="Z24" s="6">
        <f t="shared" si="21"/>
        <v>0</v>
      </c>
    </row>
    <row r="25" spans="1:26" s="24" customFormat="1" hidden="1" outlineLevel="2" x14ac:dyDescent="0.35">
      <c r="A25" s="29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4"/>
        <v>0</v>
      </c>
      <c r="G25" s="2"/>
      <c r="H25" s="7">
        <v>0</v>
      </c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>
        <v>4780.67</v>
      </c>
      <c r="Q25" s="2"/>
      <c r="R25" s="6">
        <f t="shared" si="18"/>
        <v>0</v>
      </c>
      <c r="S25" s="2"/>
      <c r="T25" s="7">
        <v>0</v>
      </c>
      <c r="U25" s="2"/>
      <c r="V25" s="6">
        <f t="shared" si="19"/>
        <v>0</v>
      </c>
      <c r="W25" s="2"/>
      <c r="X25" s="7">
        <f t="shared" si="20"/>
        <v>4780.67</v>
      </c>
      <c r="Y25" s="2"/>
      <c r="Z25" s="6">
        <f t="shared" si="21"/>
        <v>0</v>
      </c>
    </row>
    <row r="26" spans="1:26" s="24" customFormat="1" hidden="1" outlineLevel="2" x14ac:dyDescent="0.3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4"/>
        <v>0</v>
      </c>
      <c r="G26" s="2"/>
      <c r="H26" s="7">
        <v>0</v>
      </c>
      <c r="I26" s="2"/>
      <c r="J26" s="6">
        <f t="shared" si="15"/>
        <v>0</v>
      </c>
      <c r="K26" s="2"/>
      <c r="L26" s="7">
        <f t="shared" si="16"/>
        <v>0</v>
      </c>
      <c r="M26" s="2"/>
      <c r="N26" s="6">
        <f t="shared" si="17"/>
        <v>0</v>
      </c>
      <c r="O26" s="11"/>
      <c r="P26" s="7"/>
      <c r="Q26" s="2"/>
      <c r="R26" s="6">
        <f t="shared" si="18"/>
        <v>0</v>
      </c>
      <c r="S26" s="2"/>
      <c r="T26" s="7">
        <v>0</v>
      </c>
      <c r="U26" s="2"/>
      <c r="V26" s="6">
        <f t="shared" si="19"/>
        <v>0</v>
      </c>
      <c r="W26" s="2"/>
      <c r="X26" s="7">
        <f t="shared" si="20"/>
        <v>0</v>
      </c>
      <c r="Y26" s="2"/>
      <c r="Z26" s="6">
        <f t="shared" si="21"/>
        <v>0</v>
      </c>
    </row>
    <row r="27" spans="1:26" s="24" customFormat="1" hidden="1" outlineLevel="2" x14ac:dyDescent="0.35">
      <c r="A27" s="29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4"/>
        <v>0</v>
      </c>
      <c r="G27" s="2"/>
      <c r="H27" s="7">
        <v>0</v>
      </c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>
        <v>678.15</v>
      </c>
      <c r="Q27" s="2"/>
      <c r="R27" s="6">
        <f t="shared" si="18"/>
        <v>0</v>
      </c>
      <c r="S27" s="2"/>
      <c r="T27" s="7">
        <v>0</v>
      </c>
      <c r="U27" s="2"/>
      <c r="V27" s="6">
        <f t="shared" si="19"/>
        <v>0</v>
      </c>
      <c r="W27" s="2"/>
      <c r="X27" s="7">
        <f t="shared" si="20"/>
        <v>678.15</v>
      </c>
      <c r="Y27" s="2"/>
      <c r="Z27" s="6">
        <f t="shared" si="21"/>
        <v>0</v>
      </c>
    </row>
    <row r="28" spans="1:26" s="24" customFormat="1" hidden="1" outlineLevel="2" x14ac:dyDescent="0.35">
      <c r="A28" s="29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35">
      <c r="A29" s="29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>
        <v>248.21</v>
      </c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248.21</v>
      </c>
      <c r="Y29" s="2"/>
      <c r="Z29" s="6">
        <f t="shared" si="21"/>
        <v>0</v>
      </c>
    </row>
    <row r="30" spans="1:26" s="24" customFormat="1" hidden="1" outlineLevel="2" x14ac:dyDescent="0.35">
      <c r="A30" s="29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>
        <v>141.78</v>
      </c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141.78</v>
      </c>
      <c r="Y30" s="2"/>
      <c r="Z30" s="6">
        <f t="shared" si="21"/>
        <v>0</v>
      </c>
    </row>
    <row r="31" spans="1:26" s="28" customFormat="1" outlineLevel="1" collapsed="1" x14ac:dyDescent="0.3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41" si="22">IF(D$12=0,0,D31/D$12)</f>
        <v>0</v>
      </c>
      <c r="G31" s="1"/>
      <c r="H31" s="1">
        <f>SUM(OSRRefH22_1x_0)</f>
        <v>0</v>
      </c>
      <c r="I31" s="1"/>
      <c r="J31" s="5">
        <f t="shared" ref="J31:J41" si="23">IF(H$12=0,0,H31/H$12)</f>
        <v>0</v>
      </c>
      <c r="K31" s="1"/>
      <c r="L31" s="1">
        <f t="shared" ref="L31:L41" si="24">+D31-H31</f>
        <v>0</v>
      </c>
      <c r="M31" s="1"/>
      <c r="N31" s="5">
        <f t="shared" ref="N31:N41" si="25">IF(H31=0,0,L31/H31)</f>
        <v>0</v>
      </c>
      <c r="O31" s="14"/>
      <c r="P31" s="1">
        <f>SUM(OSRRefP22_1x_0)</f>
        <v>2151.69</v>
      </c>
      <c r="Q31" s="1"/>
      <c r="R31" s="5">
        <f t="shared" ref="R31:R41" si="26">IF(P$12=0,0,P31/P$12)</f>
        <v>0</v>
      </c>
      <c r="S31" s="1"/>
      <c r="T31" s="1">
        <f>SUM(OSRRefT22_1x_0)</f>
        <v>0</v>
      </c>
      <c r="U31" s="1"/>
      <c r="V31" s="5">
        <f t="shared" ref="V31:V41" si="27">IF(T$12=0,0,T31/T$12)</f>
        <v>0</v>
      </c>
      <c r="W31" s="1"/>
      <c r="X31" s="1">
        <f t="shared" ref="X31:X41" si="28">+P31-T31</f>
        <v>2151.69</v>
      </c>
      <c r="Y31" s="1"/>
      <c r="Z31" s="5">
        <f t="shared" ref="Z31:Z41" si="29">IF(T31=0,0,X31/T31)</f>
        <v>0</v>
      </c>
    </row>
    <row r="32" spans="1:26" s="24" customFormat="1" hidden="1" outlineLevel="2" x14ac:dyDescent="0.35">
      <c r="A32" s="29"/>
      <c r="B32" s="11" t="str">
        <f>CONCATENATE("          ", "6001", " - ", "ADMINISTRATIVE SALARIES")</f>
        <v xml:space="preserve">          6001 - ADMINISTRATIVE SALARIES</v>
      </c>
      <c r="C32" s="11"/>
      <c r="D32" s="7"/>
      <c r="E32" s="2"/>
      <c r="F32" s="6">
        <f t="shared" si="22"/>
        <v>0</v>
      </c>
      <c r="G32" s="2"/>
      <c r="H32" s="7">
        <v>0</v>
      </c>
      <c r="I32" s="2"/>
      <c r="J32" s="6">
        <f t="shared" si="23"/>
        <v>0</v>
      </c>
      <c r="K32" s="2"/>
      <c r="L32" s="7">
        <f t="shared" si="24"/>
        <v>0</v>
      </c>
      <c r="M32" s="2"/>
      <c r="N32" s="6">
        <f t="shared" si="25"/>
        <v>0</v>
      </c>
      <c r="O32" s="11"/>
      <c r="P32" s="7"/>
      <c r="Q32" s="2"/>
      <c r="R32" s="6">
        <f t="shared" si="26"/>
        <v>0</v>
      </c>
      <c r="S32" s="2"/>
      <c r="T32" s="7">
        <v>0</v>
      </c>
      <c r="U32" s="2"/>
      <c r="V32" s="6">
        <f t="shared" si="27"/>
        <v>0</v>
      </c>
      <c r="W32" s="2"/>
      <c r="X32" s="7">
        <f t="shared" si="28"/>
        <v>0</v>
      </c>
      <c r="Y32" s="2"/>
      <c r="Z32" s="6">
        <f t="shared" si="29"/>
        <v>0</v>
      </c>
    </row>
    <row r="33" spans="1:26" s="24" customFormat="1" hidden="1" outlineLevel="2" x14ac:dyDescent="0.35">
      <c r="A33" s="29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0</v>
      </c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>
        <v>2151.69</v>
      </c>
      <c r="Q33" s="2"/>
      <c r="R33" s="6">
        <f t="shared" si="26"/>
        <v>0</v>
      </c>
      <c r="S33" s="2"/>
      <c r="T33" s="7">
        <v>0</v>
      </c>
      <c r="U33" s="2"/>
      <c r="V33" s="6">
        <f t="shared" si="27"/>
        <v>0</v>
      </c>
      <c r="W33" s="2"/>
      <c r="X33" s="7">
        <f t="shared" si="28"/>
        <v>2151.69</v>
      </c>
      <c r="Y33" s="2"/>
      <c r="Z33" s="6">
        <f t="shared" si="29"/>
        <v>0</v>
      </c>
    </row>
    <row r="34" spans="1:26" s="24" customFormat="1" hidden="1" outlineLevel="2" x14ac:dyDescent="0.35">
      <c r="A34" s="29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35">
      <c r="A35" s="29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35">
      <c r="A36" s="29"/>
      <c r="B36" s="11" t="str">
        <f>CONCATENATE("          ", "6005", " - ", "TEMPORARY WAGES-HOURLY")</f>
        <v xml:space="preserve">          6005 - TEMPORARY WAGES-HOURLY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35">
      <c r="A37" s="29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35">
      <c r="A38" s="29"/>
      <c r="B38" s="11" t="str">
        <f>CONCATENATE("          ", "6007", " - ", "STUDENT HOURLY")</f>
        <v xml:space="preserve">          6007 - STUDENT HOURLY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0</v>
      </c>
      <c r="Y38" s="2"/>
      <c r="Z38" s="6">
        <f t="shared" si="29"/>
        <v>0</v>
      </c>
    </row>
    <row r="39" spans="1:26" s="24" customFormat="1" hidden="1" outlineLevel="2" x14ac:dyDescent="0.3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35">
      <c r="A40" s="29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0</v>
      </c>
      <c r="U40" s="2"/>
      <c r="V40" s="6">
        <f t="shared" si="27"/>
        <v>0</v>
      </c>
      <c r="W40" s="2"/>
      <c r="X40" s="7">
        <f t="shared" si="28"/>
        <v>0</v>
      </c>
      <c r="Y40" s="2"/>
      <c r="Z40" s="6">
        <f t="shared" si="29"/>
        <v>0</v>
      </c>
    </row>
    <row r="41" spans="1:26" s="24" customFormat="1" hidden="1" outlineLevel="2" x14ac:dyDescent="0.35">
      <c r="A41" s="29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8" customFormat="1" outlineLevel="1" collapsed="1" x14ac:dyDescent="0.35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48" si="30">IF(D$12=0,0,D42/D$12)</f>
        <v>0</v>
      </c>
      <c r="G42" s="1"/>
      <c r="H42" s="1">
        <f>SUM(OSRRefH22_2x_0)</f>
        <v>0</v>
      </c>
      <c r="I42" s="1"/>
      <c r="J42" s="5">
        <f t="shared" ref="J42:J48" si="31">IF(H$12=0,0,H42/H$12)</f>
        <v>0</v>
      </c>
      <c r="K42" s="1"/>
      <c r="L42" s="1">
        <f t="shared" ref="L42:L48" si="32">+D42-H42</f>
        <v>0</v>
      </c>
      <c r="M42" s="1"/>
      <c r="N42" s="5">
        <f t="shared" ref="N42:N48" si="33">IF(H42=0,0,L42/H42)</f>
        <v>0</v>
      </c>
      <c r="O42" s="14"/>
      <c r="P42" s="1">
        <f>SUM(OSRRefP22_2x_0)</f>
        <v>0</v>
      </c>
      <c r="Q42" s="1"/>
      <c r="R42" s="5">
        <f t="shared" ref="R42:R48" si="34">IF(P$12=0,0,P42/P$12)</f>
        <v>0</v>
      </c>
      <c r="S42" s="1"/>
      <c r="T42" s="1">
        <f>SUM(OSRRefT22_2x_0)</f>
        <v>0</v>
      </c>
      <c r="U42" s="1"/>
      <c r="V42" s="5">
        <f t="shared" ref="V42:V48" si="35">IF(T$12=0,0,T42/T$12)</f>
        <v>0</v>
      </c>
      <c r="W42" s="1"/>
      <c r="X42" s="1">
        <f t="shared" ref="X42:X48" si="36">+P42-T42</f>
        <v>0</v>
      </c>
      <c r="Y42" s="1"/>
      <c r="Z42" s="5">
        <f t="shared" ref="Z42:Z48" si="37">IF(T42=0,0,X42/T42)</f>
        <v>0</v>
      </c>
    </row>
    <row r="43" spans="1:26" s="24" customFormat="1" hidden="1" outlineLevel="2" x14ac:dyDescent="0.35">
      <c r="A43" s="29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30"/>
        <v>0</v>
      </c>
      <c r="G43" s="2"/>
      <c r="H43" s="7">
        <v>0</v>
      </c>
      <c r="I43" s="2"/>
      <c r="J43" s="6">
        <f t="shared" si="31"/>
        <v>0</v>
      </c>
      <c r="K43" s="2"/>
      <c r="L43" s="7">
        <f t="shared" si="32"/>
        <v>0</v>
      </c>
      <c r="M43" s="2"/>
      <c r="N43" s="6">
        <f t="shared" si="33"/>
        <v>0</v>
      </c>
      <c r="O43" s="11"/>
      <c r="P43" s="7"/>
      <c r="Q43" s="2"/>
      <c r="R43" s="6">
        <f t="shared" si="34"/>
        <v>0</v>
      </c>
      <c r="S43" s="2"/>
      <c r="T43" s="7">
        <v>0</v>
      </c>
      <c r="U43" s="2"/>
      <c r="V43" s="6">
        <f t="shared" si="35"/>
        <v>0</v>
      </c>
      <c r="W43" s="2"/>
      <c r="X43" s="7">
        <f t="shared" si="36"/>
        <v>0</v>
      </c>
      <c r="Y43" s="2"/>
      <c r="Z43" s="6">
        <f t="shared" si="37"/>
        <v>0</v>
      </c>
    </row>
    <row r="44" spans="1:26" s="28" customFormat="1" outlineLevel="1" collapsed="1" x14ac:dyDescent="0.3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0</v>
      </c>
      <c r="E44" s="1"/>
      <c r="F44" s="5">
        <f t="shared" si="30"/>
        <v>0</v>
      </c>
      <c r="G44" s="1"/>
      <c r="H44" s="1">
        <f>SUM(OSRRefH22_3x_0)</f>
        <v>0</v>
      </c>
      <c r="I44" s="1"/>
      <c r="J44" s="5">
        <f t="shared" si="31"/>
        <v>0</v>
      </c>
      <c r="K44" s="1"/>
      <c r="L44" s="1">
        <f t="shared" si="32"/>
        <v>0</v>
      </c>
      <c r="M44" s="1"/>
      <c r="N44" s="5">
        <f t="shared" si="33"/>
        <v>0</v>
      </c>
      <c r="O44" s="14"/>
      <c r="P44" s="1">
        <f>SUM(OSRRefP22_3x_0)</f>
        <v>0</v>
      </c>
      <c r="Q44" s="1"/>
      <c r="R44" s="5">
        <f t="shared" si="34"/>
        <v>0</v>
      </c>
      <c r="S44" s="1"/>
      <c r="T44" s="1">
        <f>SUM(OSRRefT22_3x_0)</f>
        <v>0</v>
      </c>
      <c r="U44" s="1"/>
      <c r="V44" s="5">
        <f t="shared" si="35"/>
        <v>0</v>
      </c>
      <c r="W44" s="1"/>
      <c r="X44" s="1">
        <f t="shared" si="36"/>
        <v>0</v>
      </c>
      <c r="Y44" s="1"/>
      <c r="Z44" s="5">
        <f t="shared" si="37"/>
        <v>0</v>
      </c>
    </row>
    <row r="45" spans="1:26" s="24" customFormat="1" hidden="1" outlineLevel="2" x14ac:dyDescent="0.35">
      <c r="A45" s="29"/>
      <c r="B45" s="11" t="str">
        <f>CONCATENATE("          ", "6381", " - ", "BANK/CREDIT CARD FEES")</f>
        <v xml:space="preserve">          6381 - BANK/CREDIT CARD FEES</v>
      </c>
      <c r="C45" s="11"/>
      <c r="D45" s="7"/>
      <c r="E45" s="2"/>
      <c r="F45" s="6">
        <f t="shared" si="30"/>
        <v>0</v>
      </c>
      <c r="G45" s="2"/>
      <c r="H45" s="7">
        <v>0</v>
      </c>
      <c r="I45" s="2"/>
      <c r="J45" s="6">
        <f t="shared" si="31"/>
        <v>0</v>
      </c>
      <c r="K45" s="2"/>
      <c r="L45" s="7">
        <f t="shared" si="32"/>
        <v>0</v>
      </c>
      <c r="M45" s="2"/>
      <c r="N45" s="6">
        <f t="shared" si="33"/>
        <v>0</v>
      </c>
      <c r="O45" s="11"/>
      <c r="P45" s="7"/>
      <c r="Q45" s="2"/>
      <c r="R45" s="6">
        <f t="shared" si="34"/>
        <v>0</v>
      </c>
      <c r="S45" s="2"/>
      <c r="T45" s="7">
        <v>0</v>
      </c>
      <c r="U45" s="2"/>
      <c r="V45" s="6">
        <f t="shared" si="35"/>
        <v>0</v>
      </c>
      <c r="W45" s="2"/>
      <c r="X45" s="7">
        <f t="shared" si="36"/>
        <v>0</v>
      </c>
      <c r="Y45" s="2"/>
      <c r="Z45" s="6">
        <f t="shared" si="37"/>
        <v>0</v>
      </c>
    </row>
    <row r="46" spans="1:26" s="28" customFormat="1" outlineLevel="1" collapsed="1" x14ac:dyDescent="0.35">
      <c r="A46" s="27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SUM(OSRRefD22_4x_0)</f>
        <v>6745.17</v>
      </c>
      <c r="E46" s="1"/>
      <c r="F46" s="5">
        <f t="shared" si="30"/>
        <v>0</v>
      </c>
      <c r="G46" s="1"/>
      <c r="H46" s="1">
        <f>SUM(OSRRefH22_4x_0)</f>
        <v>6745</v>
      </c>
      <c r="I46" s="1"/>
      <c r="J46" s="5">
        <f t="shared" si="31"/>
        <v>0</v>
      </c>
      <c r="K46" s="1"/>
      <c r="L46" s="1">
        <f t="shared" si="32"/>
        <v>0.17000000000007276</v>
      </c>
      <c r="M46" s="1"/>
      <c r="N46" s="5">
        <f t="shared" si="33"/>
        <v>2.5203854707201298E-5</v>
      </c>
      <c r="O46" s="14"/>
      <c r="P46" s="1">
        <f>SUM(OSRRefP22_4x_0)</f>
        <v>48513.34</v>
      </c>
      <c r="Q46" s="1"/>
      <c r="R46" s="5">
        <f t="shared" si="34"/>
        <v>0</v>
      </c>
      <c r="S46" s="1"/>
      <c r="T46" s="1">
        <f>SUM(OSRRefT22_4x_0)</f>
        <v>48514</v>
      </c>
      <c r="U46" s="1"/>
      <c r="V46" s="5">
        <f t="shared" si="35"/>
        <v>0</v>
      </c>
      <c r="W46" s="1"/>
      <c r="X46" s="1">
        <f t="shared" si="36"/>
        <v>-0.66000000000349246</v>
      </c>
      <c r="Y46" s="1"/>
      <c r="Z46" s="5">
        <f t="shared" si="37"/>
        <v>-1.360432040243007E-5</v>
      </c>
    </row>
    <row r="47" spans="1:26" s="24" customFormat="1" hidden="1" outlineLevel="2" x14ac:dyDescent="0.35">
      <c r="A47" s="29"/>
      <c r="B47" s="11" t="str">
        <f>CONCATENATE("          ", "6321", " - ", "BUILDING DEPRECIATION")</f>
        <v xml:space="preserve">          6321 - BUILDING DEPRECIATION</v>
      </c>
      <c r="C47" s="11"/>
      <c r="D47" s="7">
        <v>6537.05</v>
      </c>
      <c r="E47" s="2"/>
      <c r="F47" s="6">
        <f t="shared" si="30"/>
        <v>0</v>
      </c>
      <c r="G47" s="2"/>
      <c r="H47" s="7"/>
      <c r="I47" s="2"/>
      <c r="J47" s="6">
        <f t="shared" si="31"/>
        <v>0</v>
      </c>
      <c r="K47" s="2"/>
      <c r="L47" s="7">
        <f t="shared" si="32"/>
        <v>6537.05</v>
      </c>
      <c r="M47" s="2"/>
      <c r="N47" s="6">
        <f t="shared" si="33"/>
        <v>0</v>
      </c>
      <c r="O47" s="11"/>
      <c r="P47" s="7">
        <v>45759.35</v>
      </c>
      <c r="Q47" s="2"/>
      <c r="R47" s="6">
        <f t="shared" si="34"/>
        <v>0</v>
      </c>
      <c r="S47" s="2"/>
      <c r="T47" s="7"/>
      <c r="U47" s="2"/>
      <c r="V47" s="6">
        <f t="shared" si="35"/>
        <v>0</v>
      </c>
      <c r="W47" s="2"/>
      <c r="X47" s="7">
        <f t="shared" si="36"/>
        <v>45759.35</v>
      </c>
      <c r="Y47" s="2"/>
      <c r="Z47" s="6">
        <f t="shared" si="37"/>
        <v>0</v>
      </c>
    </row>
    <row r="48" spans="1:26" s="24" customFormat="1" hidden="1" outlineLevel="2" x14ac:dyDescent="0.35">
      <c r="A48" s="29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208.12</v>
      </c>
      <c r="E48" s="2"/>
      <c r="F48" s="6">
        <f t="shared" si="30"/>
        <v>0</v>
      </c>
      <c r="G48" s="2"/>
      <c r="H48" s="7">
        <v>6745</v>
      </c>
      <c r="I48" s="2"/>
      <c r="J48" s="6">
        <f t="shared" si="31"/>
        <v>0</v>
      </c>
      <c r="K48" s="2"/>
      <c r="L48" s="7">
        <f t="shared" si="32"/>
        <v>-6536.88</v>
      </c>
      <c r="M48" s="2"/>
      <c r="N48" s="6">
        <f t="shared" si="33"/>
        <v>-0.96914455151964418</v>
      </c>
      <c r="O48" s="11"/>
      <c r="P48" s="7">
        <v>2753.99</v>
      </c>
      <c r="Q48" s="2"/>
      <c r="R48" s="6">
        <f t="shared" si="34"/>
        <v>0</v>
      </c>
      <c r="S48" s="2"/>
      <c r="T48" s="7">
        <v>48514</v>
      </c>
      <c r="U48" s="2"/>
      <c r="V48" s="6">
        <f t="shared" si="35"/>
        <v>0</v>
      </c>
      <c r="W48" s="2"/>
      <c r="X48" s="7">
        <f t="shared" si="36"/>
        <v>-45760.01</v>
      </c>
      <c r="Y48" s="2"/>
      <c r="Z48" s="6">
        <f t="shared" si="37"/>
        <v>-0.94323308735622713</v>
      </c>
    </row>
    <row r="49" spans="1:26" s="28" customFormat="1" outlineLevel="1" collapsed="1" x14ac:dyDescent="0.35">
      <c r="A49" s="27"/>
      <c r="B49" s="14" t="str">
        <f>CONCATENATE("     ","Employees' Appreciation                           ")</f>
        <v xml:space="preserve">     Employees' Appreciation                           </v>
      </c>
      <c r="C49" s="14"/>
      <c r="D49" s="1">
        <f>SUM(OSRRefD22_5x_0)</f>
        <v>0</v>
      </c>
      <c r="E49" s="1"/>
      <c r="F49" s="5">
        <f t="shared" ref="F49:F58" si="38">IF(D$12=0,0,D49/D$12)</f>
        <v>0</v>
      </c>
      <c r="G49" s="1"/>
      <c r="H49" s="1">
        <f>SUM(OSRRefH22_5x_0)</f>
        <v>0</v>
      </c>
      <c r="I49" s="1"/>
      <c r="J49" s="5">
        <f t="shared" ref="J49:J58" si="39">IF(H$12=0,0,H49/H$12)</f>
        <v>0</v>
      </c>
      <c r="K49" s="1"/>
      <c r="L49" s="1">
        <f t="shared" ref="L49:L58" si="40">+D49-H49</f>
        <v>0</v>
      </c>
      <c r="M49" s="1"/>
      <c r="N49" s="5">
        <f t="shared" ref="N49:N58" si="41">IF(H49=0,0,L49/H49)</f>
        <v>0</v>
      </c>
      <c r="O49" s="14"/>
      <c r="P49" s="1">
        <f>SUM(OSRRefP22_5x_0)</f>
        <v>0</v>
      </c>
      <c r="Q49" s="1"/>
      <c r="R49" s="5">
        <f t="shared" ref="R49:R58" si="42">IF(P$12=0,0,P49/P$12)</f>
        <v>0</v>
      </c>
      <c r="S49" s="1"/>
      <c r="T49" s="1">
        <f>SUM(OSRRefT22_5x_0)</f>
        <v>0</v>
      </c>
      <c r="U49" s="1"/>
      <c r="V49" s="5">
        <f t="shared" ref="V49:V58" si="43">IF(T$12=0,0,T49/T$12)</f>
        <v>0</v>
      </c>
      <c r="W49" s="1"/>
      <c r="X49" s="1">
        <f t="shared" ref="X49:X58" si="44">+P49-T49</f>
        <v>0</v>
      </c>
      <c r="Y49" s="1"/>
      <c r="Z49" s="5">
        <f t="shared" ref="Z49:Z58" si="45">IF(T49=0,0,X49/T49)</f>
        <v>0</v>
      </c>
    </row>
    <row r="50" spans="1:26" s="24" customFormat="1" hidden="1" outlineLevel="2" x14ac:dyDescent="0.35">
      <c r="A50" s="29"/>
      <c r="B50" s="11" t="str">
        <f>CONCATENATE("          ", "6277", " - ", "EMPLOYEE APPRECIATION")</f>
        <v xml:space="preserve">          6277 - EMPLOYEE APPRECIATION</v>
      </c>
      <c r="C50" s="11"/>
      <c r="D50" s="7"/>
      <c r="E50" s="2"/>
      <c r="F50" s="6">
        <f t="shared" si="38"/>
        <v>0</v>
      </c>
      <c r="G50" s="2"/>
      <c r="H50" s="7">
        <v>0</v>
      </c>
      <c r="I50" s="2"/>
      <c r="J50" s="6">
        <f t="shared" si="39"/>
        <v>0</v>
      </c>
      <c r="K50" s="2"/>
      <c r="L50" s="7">
        <f t="shared" si="40"/>
        <v>0</v>
      </c>
      <c r="M50" s="2"/>
      <c r="N50" s="6">
        <f t="shared" si="41"/>
        <v>0</v>
      </c>
      <c r="O50" s="11"/>
      <c r="P50" s="7"/>
      <c r="Q50" s="2"/>
      <c r="R50" s="6">
        <f t="shared" si="42"/>
        <v>0</v>
      </c>
      <c r="S50" s="2"/>
      <c r="T50" s="7">
        <v>0</v>
      </c>
      <c r="U50" s="2"/>
      <c r="V50" s="6">
        <f t="shared" si="43"/>
        <v>0</v>
      </c>
      <c r="W50" s="2"/>
      <c r="X50" s="7">
        <f t="shared" si="44"/>
        <v>0</v>
      </c>
      <c r="Y50" s="2"/>
      <c r="Z50" s="6">
        <f t="shared" si="45"/>
        <v>0</v>
      </c>
    </row>
    <row r="51" spans="1:26" s="28" customFormat="1" outlineLevel="1" collapsed="1" x14ac:dyDescent="0.35">
      <c r="A51" s="27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SUM(OSRRefD22_6x_0)</f>
        <v>0</v>
      </c>
      <c r="E51" s="1"/>
      <c r="F51" s="5">
        <f t="shared" si="38"/>
        <v>0</v>
      </c>
      <c r="G51" s="1"/>
      <c r="H51" s="1">
        <f>SUM(OSRRefH22_6x_0)</f>
        <v>0</v>
      </c>
      <c r="I51" s="1"/>
      <c r="J51" s="5">
        <f t="shared" si="39"/>
        <v>0</v>
      </c>
      <c r="K51" s="1"/>
      <c r="L51" s="1">
        <f t="shared" si="40"/>
        <v>0</v>
      </c>
      <c r="M51" s="1"/>
      <c r="N51" s="5">
        <f t="shared" si="41"/>
        <v>0</v>
      </c>
      <c r="O51" s="14"/>
      <c r="P51" s="1">
        <f>SUM(OSRRefP22_6x_0)</f>
        <v>263.72000000000003</v>
      </c>
      <c r="Q51" s="1"/>
      <c r="R51" s="5">
        <f t="shared" si="42"/>
        <v>0</v>
      </c>
      <c r="S51" s="1"/>
      <c r="T51" s="1">
        <f>SUM(OSRRefT22_6x_0)</f>
        <v>0</v>
      </c>
      <c r="U51" s="1"/>
      <c r="V51" s="5">
        <f t="shared" si="43"/>
        <v>0</v>
      </c>
      <c r="W51" s="1"/>
      <c r="X51" s="1">
        <f t="shared" si="44"/>
        <v>263.72000000000003</v>
      </c>
      <c r="Y51" s="1"/>
      <c r="Z51" s="5">
        <f t="shared" si="45"/>
        <v>0</v>
      </c>
    </row>
    <row r="52" spans="1:26" s="24" customFormat="1" hidden="1" outlineLevel="2" x14ac:dyDescent="0.35">
      <c r="A52" s="29"/>
      <c r="B52" s="11" t="str">
        <f>CONCATENATE("          ", "6351", " - ", "EQUIPMENT RENTAL")</f>
        <v xml:space="preserve">          6351 - EQUIPMENT RENTAL</v>
      </c>
      <c r="C52" s="11"/>
      <c r="D52" s="7"/>
      <c r="E52" s="2"/>
      <c r="F52" s="6">
        <f t="shared" si="38"/>
        <v>0</v>
      </c>
      <c r="G52" s="2"/>
      <c r="H52" s="7"/>
      <c r="I52" s="2"/>
      <c r="J52" s="6">
        <f t="shared" si="39"/>
        <v>0</v>
      </c>
      <c r="K52" s="2"/>
      <c r="L52" s="7">
        <f t="shared" si="40"/>
        <v>0</v>
      </c>
      <c r="M52" s="2"/>
      <c r="N52" s="6">
        <f t="shared" si="41"/>
        <v>0</v>
      </c>
      <c r="O52" s="11"/>
      <c r="P52" s="7">
        <v>263.72000000000003</v>
      </c>
      <c r="Q52" s="2"/>
      <c r="R52" s="6">
        <f t="shared" si="42"/>
        <v>0</v>
      </c>
      <c r="S52" s="2"/>
      <c r="T52" s="7"/>
      <c r="U52" s="2"/>
      <c r="V52" s="6">
        <f t="shared" si="43"/>
        <v>0</v>
      </c>
      <c r="W52" s="2"/>
      <c r="X52" s="7">
        <f t="shared" si="44"/>
        <v>263.72000000000003</v>
      </c>
      <c r="Y52" s="2"/>
      <c r="Z52" s="6">
        <f t="shared" si="45"/>
        <v>0</v>
      </c>
    </row>
    <row r="53" spans="1:26" s="28" customFormat="1" outlineLevel="1" collapsed="1" x14ac:dyDescent="0.35">
      <c r="A53" s="27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SUM(OSRRefD22_7x_0)</f>
        <v>0</v>
      </c>
      <c r="E53" s="1"/>
      <c r="F53" s="5">
        <f t="shared" si="38"/>
        <v>0</v>
      </c>
      <c r="G53" s="1"/>
      <c r="H53" s="1">
        <f>SUM(OSRRefH22_7x_0)</f>
        <v>0</v>
      </c>
      <c r="I53" s="1"/>
      <c r="J53" s="5">
        <f t="shared" si="39"/>
        <v>0</v>
      </c>
      <c r="K53" s="1"/>
      <c r="L53" s="1">
        <f t="shared" si="40"/>
        <v>0</v>
      </c>
      <c r="M53" s="1"/>
      <c r="N53" s="5">
        <f t="shared" si="41"/>
        <v>0</v>
      </c>
      <c r="O53" s="14"/>
      <c r="P53" s="1">
        <f>SUM(OSRRefP22_7x_0)</f>
        <v>1284.55</v>
      </c>
      <c r="Q53" s="1"/>
      <c r="R53" s="5">
        <f t="shared" si="42"/>
        <v>0</v>
      </c>
      <c r="S53" s="1"/>
      <c r="T53" s="1">
        <f>SUM(OSRRefT22_7x_0)</f>
        <v>0</v>
      </c>
      <c r="U53" s="1"/>
      <c r="V53" s="5">
        <f t="shared" si="43"/>
        <v>0</v>
      </c>
      <c r="W53" s="1"/>
      <c r="X53" s="1">
        <f t="shared" si="44"/>
        <v>1284.55</v>
      </c>
      <c r="Y53" s="1"/>
      <c r="Z53" s="5">
        <f t="shared" si="45"/>
        <v>0</v>
      </c>
    </row>
    <row r="54" spans="1:26" s="24" customFormat="1" hidden="1" outlineLevel="2" x14ac:dyDescent="0.35">
      <c r="A54" s="29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38"/>
        <v>0</v>
      </c>
      <c r="G54" s="2"/>
      <c r="H54" s="7">
        <v>0</v>
      </c>
      <c r="I54" s="2"/>
      <c r="J54" s="6">
        <f t="shared" si="39"/>
        <v>0</v>
      </c>
      <c r="K54" s="2"/>
      <c r="L54" s="7">
        <f t="shared" si="40"/>
        <v>0</v>
      </c>
      <c r="M54" s="2"/>
      <c r="N54" s="6">
        <f t="shared" si="41"/>
        <v>0</v>
      </c>
      <c r="O54" s="11"/>
      <c r="P54" s="7">
        <v>1284.55</v>
      </c>
      <c r="Q54" s="2"/>
      <c r="R54" s="6">
        <f t="shared" si="42"/>
        <v>0</v>
      </c>
      <c r="S54" s="2"/>
      <c r="T54" s="7">
        <v>0</v>
      </c>
      <c r="U54" s="2"/>
      <c r="V54" s="6">
        <f t="shared" si="43"/>
        <v>0</v>
      </c>
      <c r="W54" s="2"/>
      <c r="X54" s="7">
        <f t="shared" si="44"/>
        <v>1284.55</v>
      </c>
      <c r="Y54" s="2"/>
      <c r="Z54" s="6">
        <f t="shared" si="45"/>
        <v>0</v>
      </c>
    </row>
    <row r="55" spans="1:26" s="28" customFormat="1" outlineLevel="1" collapsed="1" x14ac:dyDescent="0.35">
      <c r="A55" s="27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SUM(OSRRefD22_8x_0)</f>
        <v>0</v>
      </c>
      <c r="E55" s="1"/>
      <c r="F55" s="5">
        <f t="shared" si="38"/>
        <v>0</v>
      </c>
      <c r="G55" s="1"/>
      <c r="H55" s="1">
        <f>SUM(OSRRefH22_8x_0)</f>
        <v>0</v>
      </c>
      <c r="I55" s="1"/>
      <c r="J55" s="5">
        <f t="shared" si="39"/>
        <v>0</v>
      </c>
      <c r="K55" s="1"/>
      <c r="L55" s="1">
        <f t="shared" si="40"/>
        <v>0</v>
      </c>
      <c r="M55" s="1"/>
      <c r="N55" s="5">
        <f t="shared" si="41"/>
        <v>0</v>
      </c>
      <c r="O55" s="14"/>
      <c r="P55" s="1">
        <f>SUM(OSRRefP22_8x_0)</f>
        <v>476.33</v>
      </c>
      <c r="Q55" s="1"/>
      <c r="R55" s="5">
        <f t="shared" si="42"/>
        <v>0</v>
      </c>
      <c r="S55" s="1"/>
      <c r="T55" s="1">
        <f>SUM(OSRRefT22_8x_0)</f>
        <v>0</v>
      </c>
      <c r="U55" s="1"/>
      <c r="V55" s="5">
        <f t="shared" si="43"/>
        <v>0</v>
      </c>
      <c r="W55" s="1"/>
      <c r="X55" s="1">
        <f t="shared" si="44"/>
        <v>476.33</v>
      </c>
      <c r="Y55" s="1"/>
      <c r="Z55" s="5">
        <f t="shared" si="45"/>
        <v>0</v>
      </c>
    </row>
    <row r="56" spans="1:26" s="24" customFormat="1" hidden="1" outlineLevel="2" x14ac:dyDescent="0.35">
      <c r="A56" s="29"/>
      <c r="B56" s="11" t="str">
        <f>CONCATENATE("          ", "6372", " - ", "COMPUTER HARDWARE MAINTENANCE")</f>
        <v xml:space="preserve">          6372 - COMPUTER HARDWARE MAINTENANCE</v>
      </c>
      <c r="C56" s="11"/>
      <c r="D56" s="7"/>
      <c r="E56" s="2"/>
      <c r="F56" s="6">
        <f t="shared" si="38"/>
        <v>0</v>
      </c>
      <c r="G56" s="2"/>
      <c r="H56" s="7"/>
      <c r="I56" s="2"/>
      <c r="J56" s="6">
        <f t="shared" si="39"/>
        <v>0</v>
      </c>
      <c r="K56" s="2"/>
      <c r="L56" s="7">
        <f t="shared" si="40"/>
        <v>0</v>
      </c>
      <c r="M56" s="2"/>
      <c r="N56" s="6">
        <f t="shared" si="41"/>
        <v>0</v>
      </c>
      <c r="O56" s="11"/>
      <c r="P56" s="7"/>
      <c r="Q56" s="2"/>
      <c r="R56" s="6">
        <f t="shared" si="42"/>
        <v>0</v>
      </c>
      <c r="S56" s="2"/>
      <c r="T56" s="7">
        <v>0</v>
      </c>
      <c r="U56" s="2"/>
      <c r="V56" s="6">
        <f t="shared" si="43"/>
        <v>0</v>
      </c>
      <c r="W56" s="2"/>
      <c r="X56" s="7">
        <f t="shared" si="44"/>
        <v>0</v>
      </c>
      <c r="Y56" s="2"/>
      <c r="Z56" s="6">
        <f t="shared" si="45"/>
        <v>0</v>
      </c>
    </row>
    <row r="57" spans="1:26" s="24" customFormat="1" hidden="1" outlineLevel="2" x14ac:dyDescent="0.35">
      <c r="A57" s="29"/>
      <c r="B57" s="11" t="str">
        <f>CONCATENATE("          ", "6373", " - ", "MAINTENANCE CONTRACTS")</f>
        <v xml:space="preserve">          6373 - MAINTENANCE CONTRACTS</v>
      </c>
      <c r="C57" s="11"/>
      <c r="D57" s="7"/>
      <c r="E57" s="2"/>
      <c r="F57" s="6">
        <f t="shared" si="38"/>
        <v>0</v>
      </c>
      <c r="G57" s="2"/>
      <c r="H57" s="7"/>
      <c r="I57" s="2"/>
      <c r="J57" s="6">
        <f t="shared" si="39"/>
        <v>0</v>
      </c>
      <c r="K57" s="2"/>
      <c r="L57" s="7">
        <f t="shared" si="40"/>
        <v>0</v>
      </c>
      <c r="M57" s="2"/>
      <c r="N57" s="6">
        <f t="shared" si="41"/>
        <v>0</v>
      </c>
      <c r="O57" s="11"/>
      <c r="P57" s="7">
        <v>476.33</v>
      </c>
      <c r="Q57" s="2"/>
      <c r="R57" s="6">
        <f t="shared" si="42"/>
        <v>0</v>
      </c>
      <c r="S57" s="2"/>
      <c r="T57" s="7">
        <v>0</v>
      </c>
      <c r="U57" s="2"/>
      <c r="V57" s="6">
        <f t="shared" si="43"/>
        <v>0</v>
      </c>
      <c r="W57" s="2"/>
      <c r="X57" s="7">
        <f t="shared" si="44"/>
        <v>476.33</v>
      </c>
      <c r="Y57" s="2"/>
      <c r="Z57" s="6">
        <f t="shared" si="45"/>
        <v>0</v>
      </c>
    </row>
    <row r="58" spans="1:26" s="24" customFormat="1" hidden="1" outlineLevel="2" x14ac:dyDescent="0.35">
      <c r="A58" s="29"/>
      <c r="B58" s="11" t="str">
        <f>CONCATENATE("          ", "6375", " - ", "OUTSIDE REPAIRS &amp; MAINTENANCE")</f>
        <v xml:space="preserve">          6375 - OUTSIDE REPAIRS &amp; MAINTENANCE</v>
      </c>
      <c r="C58" s="11"/>
      <c r="D58" s="7"/>
      <c r="E58" s="2"/>
      <c r="F58" s="6">
        <f t="shared" si="38"/>
        <v>0</v>
      </c>
      <c r="G58" s="2"/>
      <c r="H58" s="7">
        <v>0</v>
      </c>
      <c r="I58" s="2"/>
      <c r="J58" s="6">
        <f t="shared" si="39"/>
        <v>0</v>
      </c>
      <c r="K58" s="2"/>
      <c r="L58" s="7">
        <f t="shared" si="40"/>
        <v>0</v>
      </c>
      <c r="M58" s="2"/>
      <c r="N58" s="6">
        <f t="shared" si="41"/>
        <v>0</v>
      </c>
      <c r="O58" s="11"/>
      <c r="P58" s="7"/>
      <c r="Q58" s="2"/>
      <c r="R58" s="6">
        <f t="shared" si="42"/>
        <v>0</v>
      </c>
      <c r="S58" s="2"/>
      <c r="T58" s="7">
        <v>0</v>
      </c>
      <c r="U58" s="2"/>
      <c r="V58" s="6">
        <f t="shared" si="43"/>
        <v>0</v>
      </c>
      <c r="W58" s="2"/>
      <c r="X58" s="7">
        <f t="shared" si="44"/>
        <v>0</v>
      </c>
      <c r="Y58" s="2"/>
      <c r="Z58" s="6">
        <f t="shared" si="45"/>
        <v>0</v>
      </c>
    </row>
    <row r="59" spans="1:26" s="28" customFormat="1" outlineLevel="1" collapsed="1" x14ac:dyDescent="0.35">
      <c r="A59" s="27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SUM(OSRRefD22_9x_0)</f>
        <v>0</v>
      </c>
      <c r="E59" s="1"/>
      <c r="F59" s="5">
        <f t="shared" ref="F59:F61" si="46">IF(D$12=0,0,D59/D$12)</f>
        <v>0</v>
      </c>
      <c r="G59" s="1"/>
      <c r="H59" s="1">
        <f>SUM(OSRRefH22_9x_0)</f>
        <v>0</v>
      </c>
      <c r="I59" s="1"/>
      <c r="J59" s="5">
        <f t="shared" ref="J59:J61" si="47">IF(H$12=0,0,H59/H$12)</f>
        <v>0</v>
      </c>
      <c r="K59" s="1"/>
      <c r="L59" s="1">
        <f t="shared" ref="L59:L61" si="48">+D59-H59</f>
        <v>0</v>
      </c>
      <c r="M59" s="1"/>
      <c r="N59" s="5">
        <f t="shared" ref="N59:N61" si="49">IF(H59=0,0,L59/H59)</f>
        <v>0</v>
      </c>
      <c r="O59" s="14"/>
      <c r="P59" s="1">
        <f>SUM(OSRRefP22_9x_0)</f>
        <v>0</v>
      </c>
      <c r="Q59" s="1"/>
      <c r="R59" s="5">
        <f t="shared" ref="R59:R61" si="50">IF(P$12=0,0,P59/P$12)</f>
        <v>0</v>
      </c>
      <c r="S59" s="1"/>
      <c r="T59" s="1">
        <f>SUM(OSRRefT22_9x_0)</f>
        <v>0</v>
      </c>
      <c r="U59" s="1"/>
      <c r="V59" s="5">
        <f t="shared" ref="V59:V61" si="51">IF(T$12=0,0,T59/T$12)</f>
        <v>0</v>
      </c>
      <c r="W59" s="1"/>
      <c r="X59" s="1">
        <f t="shared" ref="X59:X61" si="52">+P59-T59</f>
        <v>0</v>
      </c>
      <c r="Y59" s="1"/>
      <c r="Z59" s="5">
        <f t="shared" ref="Z59:Z61" si="53">IF(T59=0,0,X59/T59)</f>
        <v>0</v>
      </c>
    </row>
    <row r="60" spans="1:26" s="24" customFormat="1" hidden="1" outlineLevel="2" x14ac:dyDescent="0.35">
      <c r="A60" s="29"/>
      <c r="B60" s="11" t="str">
        <f>CONCATENATE("          ", "6283", " - ", "PLANT SERVICE")</f>
        <v xml:space="preserve">          6283 - PLANT SERVICE</v>
      </c>
      <c r="C60" s="11"/>
      <c r="D60" s="7"/>
      <c r="E60" s="2"/>
      <c r="F60" s="6">
        <f t="shared" si="46"/>
        <v>0</v>
      </c>
      <c r="G60" s="2"/>
      <c r="H60" s="7">
        <v>0</v>
      </c>
      <c r="I60" s="2"/>
      <c r="J60" s="6">
        <f t="shared" si="47"/>
        <v>0</v>
      </c>
      <c r="K60" s="2"/>
      <c r="L60" s="7">
        <f t="shared" si="48"/>
        <v>0</v>
      </c>
      <c r="M60" s="2"/>
      <c r="N60" s="6">
        <f t="shared" si="49"/>
        <v>0</v>
      </c>
      <c r="O60" s="11"/>
      <c r="P60" s="7"/>
      <c r="Q60" s="2"/>
      <c r="R60" s="6">
        <f t="shared" si="50"/>
        <v>0</v>
      </c>
      <c r="S60" s="2"/>
      <c r="T60" s="7">
        <v>0</v>
      </c>
      <c r="U60" s="2"/>
      <c r="V60" s="6">
        <f t="shared" si="51"/>
        <v>0</v>
      </c>
      <c r="W60" s="2"/>
      <c r="X60" s="7">
        <f t="shared" si="52"/>
        <v>0</v>
      </c>
      <c r="Y60" s="2"/>
      <c r="Z60" s="6">
        <f t="shared" si="53"/>
        <v>0</v>
      </c>
    </row>
    <row r="61" spans="1:26" s="24" customFormat="1" hidden="1" outlineLevel="2" x14ac:dyDescent="0.35">
      <c r="A61" s="29"/>
      <c r="B61" s="11" t="str">
        <f>CONCATENATE("          ", "6286", " - ", "LAUNDRY EXPENSE")</f>
        <v xml:space="preserve">          6286 - LAUNDRY EXPENSE</v>
      </c>
      <c r="C61" s="11"/>
      <c r="D61" s="7"/>
      <c r="E61" s="2"/>
      <c r="F61" s="6">
        <f t="shared" si="46"/>
        <v>0</v>
      </c>
      <c r="G61" s="2"/>
      <c r="H61" s="7">
        <v>0</v>
      </c>
      <c r="I61" s="2"/>
      <c r="J61" s="6">
        <f t="shared" si="47"/>
        <v>0</v>
      </c>
      <c r="K61" s="2"/>
      <c r="L61" s="7">
        <f t="shared" si="48"/>
        <v>0</v>
      </c>
      <c r="M61" s="2"/>
      <c r="N61" s="6">
        <f t="shared" si="49"/>
        <v>0</v>
      </c>
      <c r="O61" s="11"/>
      <c r="P61" s="7"/>
      <c r="Q61" s="2"/>
      <c r="R61" s="6">
        <f t="shared" si="50"/>
        <v>0</v>
      </c>
      <c r="S61" s="2"/>
      <c r="T61" s="7">
        <v>0</v>
      </c>
      <c r="U61" s="2"/>
      <c r="V61" s="6">
        <f t="shared" si="51"/>
        <v>0</v>
      </c>
      <c r="W61" s="2"/>
      <c r="X61" s="7">
        <f t="shared" si="52"/>
        <v>0</v>
      </c>
      <c r="Y61" s="2"/>
      <c r="Z61" s="6">
        <f t="shared" si="53"/>
        <v>0</v>
      </c>
    </row>
    <row r="62" spans="1:26" s="28" customFormat="1" outlineLevel="1" collapsed="1" x14ac:dyDescent="0.35">
      <c r="A62" s="27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1">
        <f>SUM(OSRRefD22_10x_0)</f>
        <v>0</v>
      </c>
      <c r="E62" s="1"/>
      <c r="F62" s="5">
        <f t="shared" ref="F62:F64" si="54">IF(D$12=0,0,D62/D$12)</f>
        <v>0</v>
      </c>
      <c r="G62" s="1"/>
      <c r="H62" s="1">
        <f>SUM(OSRRefH22_10x_0)</f>
        <v>0</v>
      </c>
      <c r="I62" s="1"/>
      <c r="J62" s="5">
        <f t="shared" ref="J62:J64" si="55">IF(H$12=0,0,H62/H$12)</f>
        <v>0</v>
      </c>
      <c r="K62" s="1"/>
      <c r="L62" s="1">
        <f t="shared" ref="L62:L64" si="56">+D62-H62</f>
        <v>0</v>
      </c>
      <c r="M62" s="1"/>
      <c r="N62" s="5">
        <f t="shared" ref="N62:N64" si="57">IF(H62=0,0,L62/H62)</f>
        <v>0</v>
      </c>
      <c r="O62" s="14"/>
      <c r="P62" s="1">
        <f>SUM(OSRRefP22_10x_0)</f>
        <v>0</v>
      </c>
      <c r="Q62" s="1"/>
      <c r="R62" s="5">
        <f t="shared" ref="R62:R64" si="58">IF(P$12=0,0,P62/P$12)</f>
        <v>0</v>
      </c>
      <c r="S62" s="1"/>
      <c r="T62" s="1">
        <f>SUM(OSRRefT22_10x_0)</f>
        <v>0</v>
      </c>
      <c r="U62" s="1"/>
      <c r="V62" s="5">
        <f t="shared" ref="V62:V64" si="59">IF(T$12=0,0,T62/T$12)</f>
        <v>0</v>
      </c>
      <c r="W62" s="1"/>
      <c r="X62" s="1">
        <f t="shared" ref="X62:X64" si="60">+P62-T62</f>
        <v>0</v>
      </c>
      <c r="Y62" s="1"/>
      <c r="Z62" s="5">
        <f t="shared" ref="Z62:Z64" si="61">IF(T62=0,0,X62/T62)</f>
        <v>0</v>
      </c>
    </row>
    <row r="63" spans="1:26" s="24" customFormat="1" hidden="1" outlineLevel="2" x14ac:dyDescent="0.35">
      <c r="A63" s="29"/>
      <c r="B63" s="11" t="str">
        <f>CONCATENATE("          ", "6258", " - ", "MEMBERSHIP DUES")</f>
        <v xml:space="preserve">          6258 - MEMBERSHIP DUES</v>
      </c>
      <c r="C63" s="11"/>
      <c r="D63" s="7"/>
      <c r="E63" s="2"/>
      <c r="F63" s="6">
        <f t="shared" si="54"/>
        <v>0</v>
      </c>
      <c r="G63" s="2"/>
      <c r="H63" s="7"/>
      <c r="I63" s="2"/>
      <c r="J63" s="6">
        <f t="shared" si="55"/>
        <v>0</v>
      </c>
      <c r="K63" s="2"/>
      <c r="L63" s="7">
        <f t="shared" si="56"/>
        <v>0</v>
      </c>
      <c r="M63" s="2"/>
      <c r="N63" s="6">
        <f t="shared" si="57"/>
        <v>0</v>
      </c>
      <c r="O63" s="11"/>
      <c r="P63" s="7"/>
      <c r="Q63" s="2"/>
      <c r="R63" s="6">
        <f t="shared" si="58"/>
        <v>0</v>
      </c>
      <c r="S63" s="2"/>
      <c r="T63" s="7">
        <v>0</v>
      </c>
      <c r="U63" s="2"/>
      <c r="V63" s="6">
        <f t="shared" si="59"/>
        <v>0</v>
      </c>
      <c r="W63" s="2"/>
      <c r="X63" s="7">
        <f t="shared" si="60"/>
        <v>0</v>
      </c>
      <c r="Y63" s="2"/>
      <c r="Z63" s="6">
        <f t="shared" si="61"/>
        <v>0</v>
      </c>
    </row>
    <row r="64" spans="1:26" s="24" customFormat="1" hidden="1" outlineLevel="2" x14ac:dyDescent="0.35">
      <c r="A64" s="29"/>
      <c r="B64" s="11" t="str">
        <f>CONCATENATE("          ", "6275", " - ", "SUBSCRIPTIONS")</f>
        <v xml:space="preserve">          6275 - SUBSCRIPTIONS</v>
      </c>
      <c r="C64" s="11"/>
      <c r="D64" s="7"/>
      <c r="E64" s="2"/>
      <c r="F64" s="6">
        <f t="shared" si="54"/>
        <v>0</v>
      </c>
      <c r="G64" s="2"/>
      <c r="H64" s="7">
        <v>0</v>
      </c>
      <c r="I64" s="2"/>
      <c r="J64" s="6">
        <f t="shared" si="55"/>
        <v>0</v>
      </c>
      <c r="K64" s="2"/>
      <c r="L64" s="7">
        <f t="shared" si="56"/>
        <v>0</v>
      </c>
      <c r="M64" s="2"/>
      <c r="N64" s="6">
        <f t="shared" si="57"/>
        <v>0</v>
      </c>
      <c r="O64" s="11"/>
      <c r="P64" s="7"/>
      <c r="Q64" s="2"/>
      <c r="R64" s="6">
        <f t="shared" si="58"/>
        <v>0</v>
      </c>
      <c r="S64" s="2"/>
      <c r="T64" s="7">
        <v>0</v>
      </c>
      <c r="U64" s="2"/>
      <c r="V64" s="6">
        <f t="shared" si="59"/>
        <v>0</v>
      </c>
      <c r="W64" s="2"/>
      <c r="X64" s="7">
        <f t="shared" si="60"/>
        <v>0</v>
      </c>
      <c r="Y64" s="2"/>
      <c r="Z64" s="6">
        <f t="shared" si="61"/>
        <v>0</v>
      </c>
    </row>
    <row r="65" spans="1:26" s="28" customFormat="1" outlineLevel="1" collapsed="1" x14ac:dyDescent="0.35">
      <c r="A65" s="27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SUM(OSRRefD22_11x_0)</f>
        <v>0</v>
      </c>
      <c r="E65" s="1"/>
      <c r="F65" s="5">
        <f t="shared" ref="F65:F75" si="62">IF(D$12=0,0,D65/D$12)</f>
        <v>0</v>
      </c>
      <c r="G65" s="1"/>
      <c r="H65" s="1">
        <f>SUM(OSRRefH22_11x_0)</f>
        <v>0</v>
      </c>
      <c r="I65" s="1"/>
      <c r="J65" s="5">
        <f t="shared" ref="J65:J75" si="63">IF(H$12=0,0,H65/H$12)</f>
        <v>0</v>
      </c>
      <c r="K65" s="1"/>
      <c r="L65" s="1">
        <f t="shared" ref="L65:L75" si="64">+D65-H65</f>
        <v>0</v>
      </c>
      <c r="M65" s="1"/>
      <c r="N65" s="5">
        <f t="shared" ref="N65:N75" si="65">IF(H65=0,0,L65/H65)</f>
        <v>0</v>
      </c>
      <c r="O65" s="14"/>
      <c r="P65" s="1">
        <f>SUM(OSRRefP22_11x_0)</f>
        <v>0</v>
      </c>
      <c r="Q65" s="1"/>
      <c r="R65" s="5">
        <f t="shared" ref="R65:R75" si="66">IF(P$12=0,0,P65/P$12)</f>
        <v>0</v>
      </c>
      <c r="S65" s="1"/>
      <c r="T65" s="1">
        <f>SUM(OSRRefT22_11x_0)</f>
        <v>0</v>
      </c>
      <c r="U65" s="1"/>
      <c r="V65" s="5">
        <f t="shared" ref="V65:V75" si="67">IF(T$12=0,0,T65/T$12)</f>
        <v>0</v>
      </c>
      <c r="W65" s="1"/>
      <c r="X65" s="1">
        <f t="shared" ref="X65:X75" si="68">+P65-T65</f>
        <v>0</v>
      </c>
      <c r="Y65" s="1"/>
      <c r="Z65" s="5">
        <f t="shared" ref="Z65:Z75" si="69">IF(T65=0,0,X65/T65)</f>
        <v>0</v>
      </c>
    </row>
    <row r="66" spans="1:26" s="24" customFormat="1" hidden="1" outlineLevel="2" x14ac:dyDescent="0.35">
      <c r="A66" s="29"/>
      <c r="B66" s="11" t="str">
        <f>CONCATENATE("          ", "6234", " - ", "EXPENDABLE SUPPLIES &amp; EQUIPMEN")</f>
        <v xml:space="preserve">          6234 - EXPENDABLE SUPPLIES &amp; EQUIPMEN</v>
      </c>
      <c r="C66" s="11"/>
      <c r="D66" s="7"/>
      <c r="E66" s="2"/>
      <c r="F66" s="6">
        <f t="shared" si="62"/>
        <v>0</v>
      </c>
      <c r="G66" s="2"/>
      <c r="H66" s="7"/>
      <c r="I66" s="2"/>
      <c r="J66" s="6">
        <f t="shared" si="63"/>
        <v>0</v>
      </c>
      <c r="K66" s="2"/>
      <c r="L66" s="7">
        <f t="shared" si="64"/>
        <v>0</v>
      </c>
      <c r="M66" s="2"/>
      <c r="N66" s="6">
        <f t="shared" si="65"/>
        <v>0</v>
      </c>
      <c r="O66" s="11"/>
      <c r="P66" s="7"/>
      <c r="Q66" s="2"/>
      <c r="R66" s="6">
        <f t="shared" si="66"/>
        <v>0</v>
      </c>
      <c r="S66" s="2"/>
      <c r="T66" s="7">
        <v>0</v>
      </c>
      <c r="U66" s="2"/>
      <c r="V66" s="6">
        <f t="shared" si="67"/>
        <v>0</v>
      </c>
      <c r="W66" s="2"/>
      <c r="X66" s="7">
        <f t="shared" si="68"/>
        <v>0</v>
      </c>
      <c r="Y66" s="2"/>
      <c r="Z66" s="6">
        <f t="shared" si="69"/>
        <v>0</v>
      </c>
    </row>
    <row r="67" spans="1:26" s="24" customFormat="1" hidden="1" outlineLevel="2" x14ac:dyDescent="0.35">
      <c r="A67" s="29"/>
      <c r="B67" s="11" t="str">
        <f>CONCATENATE("          ", "6235", " - ", "COVID-19 EXPENSES")</f>
        <v xml:space="preserve">          6235 - COVID-19 EXPENSES</v>
      </c>
      <c r="C67" s="11"/>
      <c r="D67" s="7"/>
      <c r="E67" s="2"/>
      <c r="F67" s="6">
        <f t="shared" si="62"/>
        <v>0</v>
      </c>
      <c r="G67" s="2"/>
      <c r="H67" s="7">
        <v>0</v>
      </c>
      <c r="I67" s="2"/>
      <c r="J67" s="6">
        <f t="shared" si="63"/>
        <v>0</v>
      </c>
      <c r="K67" s="2"/>
      <c r="L67" s="7">
        <f t="shared" si="64"/>
        <v>0</v>
      </c>
      <c r="M67" s="2"/>
      <c r="N67" s="6">
        <f t="shared" si="65"/>
        <v>0</v>
      </c>
      <c r="O67" s="11"/>
      <c r="P67" s="7"/>
      <c r="Q67" s="2"/>
      <c r="R67" s="6">
        <f t="shared" si="66"/>
        <v>0</v>
      </c>
      <c r="S67" s="2"/>
      <c r="T67" s="7">
        <v>0</v>
      </c>
      <c r="U67" s="2"/>
      <c r="V67" s="6">
        <f t="shared" si="67"/>
        <v>0</v>
      </c>
      <c r="W67" s="2"/>
      <c r="X67" s="7">
        <f t="shared" si="68"/>
        <v>0</v>
      </c>
      <c r="Y67" s="2"/>
      <c r="Z67" s="6">
        <f t="shared" si="69"/>
        <v>0</v>
      </c>
    </row>
    <row r="68" spans="1:26" s="24" customFormat="1" hidden="1" outlineLevel="2" x14ac:dyDescent="0.35">
      <c r="A68" s="29"/>
      <c r="B68" s="11" t="str">
        <f>CONCATENATE("          ", "6237", " - ", "JANITORIAL SUPPLIES")</f>
        <v xml:space="preserve">          6237 - JANITORIAL SUPPLIES</v>
      </c>
      <c r="C68" s="11"/>
      <c r="D68" s="7"/>
      <c r="E68" s="2"/>
      <c r="F68" s="6">
        <f t="shared" si="62"/>
        <v>0</v>
      </c>
      <c r="G68" s="2"/>
      <c r="H68" s="7">
        <v>0</v>
      </c>
      <c r="I68" s="2"/>
      <c r="J68" s="6">
        <f t="shared" si="63"/>
        <v>0</v>
      </c>
      <c r="K68" s="2"/>
      <c r="L68" s="7">
        <f t="shared" si="64"/>
        <v>0</v>
      </c>
      <c r="M68" s="2"/>
      <c r="N68" s="6">
        <f t="shared" si="65"/>
        <v>0</v>
      </c>
      <c r="O68" s="11"/>
      <c r="P68" s="7"/>
      <c r="Q68" s="2"/>
      <c r="R68" s="6">
        <f t="shared" si="66"/>
        <v>0</v>
      </c>
      <c r="S68" s="2"/>
      <c r="T68" s="7">
        <v>0</v>
      </c>
      <c r="U68" s="2"/>
      <c r="V68" s="6">
        <f t="shared" si="67"/>
        <v>0</v>
      </c>
      <c r="W68" s="2"/>
      <c r="X68" s="7">
        <f t="shared" si="68"/>
        <v>0</v>
      </c>
      <c r="Y68" s="2"/>
      <c r="Z68" s="6">
        <f t="shared" si="69"/>
        <v>0</v>
      </c>
    </row>
    <row r="69" spans="1:26" s="24" customFormat="1" hidden="1" outlineLevel="2" x14ac:dyDescent="0.35">
      <c r="A69" s="29"/>
      <c r="B69" s="11" t="str">
        <f>CONCATENATE("          ", "6239", " - ", "KITCHEN SUPPLIES")</f>
        <v xml:space="preserve">          6239 - KITCHEN SUPPLIES</v>
      </c>
      <c r="C69" s="11"/>
      <c r="D69" s="7"/>
      <c r="E69" s="2"/>
      <c r="F69" s="6">
        <f t="shared" si="62"/>
        <v>0</v>
      </c>
      <c r="G69" s="2"/>
      <c r="H69" s="7">
        <v>0</v>
      </c>
      <c r="I69" s="2"/>
      <c r="J69" s="6">
        <f t="shared" si="63"/>
        <v>0</v>
      </c>
      <c r="K69" s="2"/>
      <c r="L69" s="7">
        <f t="shared" si="64"/>
        <v>0</v>
      </c>
      <c r="M69" s="2"/>
      <c r="N69" s="6">
        <f t="shared" si="65"/>
        <v>0</v>
      </c>
      <c r="O69" s="11"/>
      <c r="P69" s="7"/>
      <c r="Q69" s="2"/>
      <c r="R69" s="6">
        <f t="shared" si="66"/>
        <v>0</v>
      </c>
      <c r="S69" s="2"/>
      <c r="T69" s="7">
        <v>0</v>
      </c>
      <c r="U69" s="2"/>
      <c r="V69" s="6">
        <f t="shared" si="67"/>
        <v>0</v>
      </c>
      <c r="W69" s="2"/>
      <c r="X69" s="7">
        <f t="shared" si="68"/>
        <v>0</v>
      </c>
      <c r="Y69" s="2"/>
      <c r="Z69" s="6">
        <f t="shared" si="69"/>
        <v>0</v>
      </c>
    </row>
    <row r="70" spans="1:26" s="24" customFormat="1" hidden="1" outlineLevel="2" x14ac:dyDescent="0.35">
      <c r="A70" s="29"/>
      <c r="B70" s="11" t="str">
        <f>CONCATENATE("          ", "6241", " - ", "OFFICE EXPENSE")</f>
        <v xml:space="preserve">          6241 - OFFICE EXPENSE</v>
      </c>
      <c r="C70" s="11"/>
      <c r="D70" s="7"/>
      <c r="E70" s="2"/>
      <c r="F70" s="6">
        <f t="shared" si="62"/>
        <v>0</v>
      </c>
      <c r="G70" s="2"/>
      <c r="H70" s="7">
        <v>0</v>
      </c>
      <c r="I70" s="2"/>
      <c r="J70" s="6">
        <f t="shared" si="63"/>
        <v>0</v>
      </c>
      <c r="K70" s="2"/>
      <c r="L70" s="7">
        <f t="shared" si="64"/>
        <v>0</v>
      </c>
      <c r="M70" s="2"/>
      <c r="N70" s="6">
        <f t="shared" si="65"/>
        <v>0</v>
      </c>
      <c r="O70" s="11"/>
      <c r="P70" s="7"/>
      <c r="Q70" s="2"/>
      <c r="R70" s="6">
        <f t="shared" si="66"/>
        <v>0</v>
      </c>
      <c r="S70" s="2"/>
      <c r="T70" s="7">
        <v>0</v>
      </c>
      <c r="U70" s="2"/>
      <c r="V70" s="6">
        <f t="shared" si="67"/>
        <v>0</v>
      </c>
      <c r="W70" s="2"/>
      <c r="X70" s="7">
        <f t="shared" si="68"/>
        <v>0</v>
      </c>
      <c r="Y70" s="2"/>
      <c r="Z70" s="6">
        <f t="shared" si="69"/>
        <v>0</v>
      </c>
    </row>
    <row r="71" spans="1:26" s="24" customFormat="1" hidden="1" outlineLevel="2" x14ac:dyDescent="0.35">
      <c r="A71" s="29"/>
      <c r="B71" s="11" t="str">
        <f>CONCATENATE("          ", "6243", " - ", "PAPER SUPPLIES")</f>
        <v xml:space="preserve">          6243 - PAPER SUPPLIES</v>
      </c>
      <c r="C71" s="11"/>
      <c r="D71" s="7"/>
      <c r="E71" s="2"/>
      <c r="F71" s="6">
        <f t="shared" si="62"/>
        <v>0</v>
      </c>
      <c r="G71" s="2"/>
      <c r="H71" s="7">
        <v>0</v>
      </c>
      <c r="I71" s="2"/>
      <c r="J71" s="6">
        <f t="shared" si="63"/>
        <v>0</v>
      </c>
      <c r="K71" s="2"/>
      <c r="L71" s="7">
        <f t="shared" si="64"/>
        <v>0</v>
      </c>
      <c r="M71" s="2"/>
      <c r="N71" s="6">
        <f t="shared" si="65"/>
        <v>0</v>
      </c>
      <c r="O71" s="11"/>
      <c r="P71" s="7"/>
      <c r="Q71" s="2"/>
      <c r="R71" s="6">
        <f t="shared" si="66"/>
        <v>0</v>
      </c>
      <c r="S71" s="2"/>
      <c r="T71" s="7">
        <v>0</v>
      </c>
      <c r="U71" s="2"/>
      <c r="V71" s="6">
        <f t="shared" si="67"/>
        <v>0</v>
      </c>
      <c r="W71" s="2"/>
      <c r="X71" s="7">
        <f t="shared" si="68"/>
        <v>0</v>
      </c>
      <c r="Y71" s="2"/>
      <c r="Z71" s="6">
        <f t="shared" si="69"/>
        <v>0</v>
      </c>
    </row>
    <row r="72" spans="1:26" s="24" customFormat="1" hidden="1" outlineLevel="2" x14ac:dyDescent="0.35">
      <c r="A72" s="29"/>
      <c r="B72" s="11" t="str">
        <f>CONCATENATE("          ", "6244", " - ", "SAFETY SUPPLY EXPENSE")</f>
        <v xml:space="preserve">          6244 - SAFETY SUPPLY EXPENSE</v>
      </c>
      <c r="C72" s="11"/>
      <c r="D72" s="7"/>
      <c r="E72" s="2"/>
      <c r="F72" s="6">
        <f t="shared" si="62"/>
        <v>0</v>
      </c>
      <c r="G72" s="2"/>
      <c r="H72" s="7">
        <v>0</v>
      </c>
      <c r="I72" s="2"/>
      <c r="J72" s="6">
        <f t="shared" si="63"/>
        <v>0</v>
      </c>
      <c r="K72" s="2"/>
      <c r="L72" s="7">
        <f t="shared" si="64"/>
        <v>0</v>
      </c>
      <c r="M72" s="2"/>
      <c r="N72" s="6">
        <f t="shared" si="65"/>
        <v>0</v>
      </c>
      <c r="O72" s="11"/>
      <c r="P72" s="7"/>
      <c r="Q72" s="2"/>
      <c r="R72" s="6">
        <f t="shared" si="66"/>
        <v>0</v>
      </c>
      <c r="S72" s="2"/>
      <c r="T72" s="7">
        <v>0</v>
      </c>
      <c r="U72" s="2"/>
      <c r="V72" s="6">
        <f t="shared" si="67"/>
        <v>0</v>
      </c>
      <c r="W72" s="2"/>
      <c r="X72" s="7">
        <f t="shared" si="68"/>
        <v>0</v>
      </c>
      <c r="Y72" s="2"/>
      <c r="Z72" s="6">
        <f t="shared" si="69"/>
        <v>0</v>
      </c>
    </row>
    <row r="73" spans="1:26" s="24" customFormat="1" hidden="1" outlineLevel="2" x14ac:dyDescent="0.35">
      <c r="A73" s="29"/>
      <c r="B73" s="11" t="str">
        <f>CONCATENATE("          ", "6245", " - ", "PRINTING")</f>
        <v xml:space="preserve">          6245 - PRINTING</v>
      </c>
      <c r="C73" s="11"/>
      <c r="D73" s="7"/>
      <c r="E73" s="2"/>
      <c r="F73" s="6">
        <f t="shared" si="62"/>
        <v>0</v>
      </c>
      <c r="G73" s="2"/>
      <c r="H73" s="7">
        <v>0</v>
      </c>
      <c r="I73" s="2"/>
      <c r="J73" s="6">
        <f t="shared" si="63"/>
        <v>0</v>
      </c>
      <c r="K73" s="2"/>
      <c r="L73" s="7">
        <f t="shared" si="64"/>
        <v>0</v>
      </c>
      <c r="M73" s="2"/>
      <c r="N73" s="6">
        <f t="shared" si="65"/>
        <v>0</v>
      </c>
      <c r="O73" s="11"/>
      <c r="P73" s="7"/>
      <c r="Q73" s="2"/>
      <c r="R73" s="6">
        <f t="shared" si="66"/>
        <v>0</v>
      </c>
      <c r="S73" s="2"/>
      <c r="T73" s="7">
        <v>0</v>
      </c>
      <c r="U73" s="2"/>
      <c r="V73" s="6">
        <f t="shared" si="67"/>
        <v>0</v>
      </c>
      <c r="W73" s="2"/>
      <c r="X73" s="7">
        <f t="shared" si="68"/>
        <v>0</v>
      </c>
      <c r="Y73" s="2"/>
      <c r="Z73" s="6">
        <f t="shared" si="69"/>
        <v>0</v>
      </c>
    </row>
    <row r="74" spans="1:26" s="24" customFormat="1" hidden="1" outlineLevel="2" x14ac:dyDescent="0.35">
      <c r="A74" s="29"/>
      <c r="B74" s="11" t="str">
        <f>CONCATENATE("          ", "6246", " - ", "REPLACEMENTS")</f>
        <v xml:space="preserve">          6246 - REPLACEMENTS</v>
      </c>
      <c r="C74" s="11"/>
      <c r="D74" s="7"/>
      <c r="E74" s="2"/>
      <c r="F74" s="6">
        <f t="shared" si="62"/>
        <v>0</v>
      </c>
      <c r="G74" s="2"/>
      <c r="H74" s="7">
        <v>0</v>
      </c>
      <c r="I74" s="2"/>
      <c r="J74" s="6">
        <f t="shared" si="63"/>
        <v>0</v>
      </c>
      <c r="K74" s="2"/>
      <c r="L74" s="7">
        <f t="shared" si="64"/>
        <v>0</v>
      </c>
      <c r="M74" s="2"/>
      <c r="N74" s="6">
        <f t="shared" si="65"/>
        <v>0</v>
      </c>
      <c r="O74" s="11"/>
      <c r="P74" s="7"/>
      <c r="Q74" s="2"/>
      <c r="R74" s="6">
        <f t="shared" si="66"/>
        <v>0</v>
      </c>
      <c r="S74" s="2"/>
      <c r="T74" s="7">
        <v>0</v>
      </c>
      <c r="U74" s="2"/>
      <c r="V74" s="6">
        <f t="shared" si="67"/>
        <v>0</v>
      </c>
      <c r="W74" s="2"/>
      <c r="X74" s="7">
        <f t="shared" si="68"/>
        <v>0</v>
      </c>
      <c r="Y74" s="2"/>
      <c r="Z74" s="6">
        <f t="shared" si="69"/>
        <v>0</v>
      </c>
    </row>
    <row r="75" spans="1:26" s="24" customFormat="1" hidden="1" outlineLevel="2" x14ac:dyDescent="0.35">
      <c r="A75" s="29"/>
      <c r="B75" s="11" t="str">
        <f>CONCATENATE("          ", "6248", " - ", "UNIFORMS")</f>
        <v xml:space="preserve">          6248 - UNIFORMS</v>
      </c>
      <c r="C75" s="11"/>
      <c r="D75" s="7"/>
      <c r="E75" s="2"/>
      <c r="F75" s="6">
        <f t="shared" si="62"/>
        <v>0</v>
      </c>
      <c r="G75" s="2"/>
      <c r="H75" s="7">
        <v>0</v>
      </c>
      <c r="I75" s="2"/>
      <c r="J75" s="6">
        <f t="shared" si="63"/>
        <v>0</v>
      </c>
      <c r="K75" s="2"/>
      <c r="L75" s="7">
        <f t="shared" si="64"/>
        <v>0</v>
      </c>
      <c r="M75" s="2"/>
      <c r="N75" s="6">
        <f t="shared" si="65"/>
        <v>0</v>
      </c>
      <c r="O75" s="11"/>
      <c r="P75" s="7"/>
      <c r="Q75" s="2"/>
      <c r="R75" s="6">
        <f t="shared" si="66"/>
        <v>0</v>
      </c>
      <c r="S75" s="2"/>
      <c r="T75" s="7">
        <v>0</v>
      </c>
      <c r="U75" s="2"/>
      <c r="V75" s="6">
        <f t="shared" si="67"/>
        <v>0</v>
      </c>
      <c r="W75" s="2"/>
      <c r="X75" s="7">
        <f t="shared" si="68"/>
        <v>0</v>
      </c>
      <c r="Y75" s="2"/>
      <c r="Z75" s="6">
        <f t="shared" si="69"/>
        <v>0</v>
      </c>
    </row>
    <row r="76" spans="1:26" s="28" customFormat="1" outlineLevel="1" collapsed="1" x14ac:dyDescent="0.35">
      <c r="A76" s="27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SUM(OSRRefD22_12x_0)</f>
        <v>0</v>
      </c>
      <c r="E76" s="1"/>
      <c r="F76" s="5">
        <f t="shared" ref="F76:F78" si="70">IF(D$12=0,0,D76/D$12)</f>
        <v>0</v>
      </c>
      <c r="G76" s="1"/>
      <c r="H76" s="1">
        <f>SUM(OSRRefH22_12x_0)</f>
        <v>0</v>
      </c>
      <c r="I76" s="1"/>
      <c r="J76" s="5">
        <f t="shared" ref="J76:J78" si="71">IF(H$12=0,0,H76/H$12)</f>
        <v>0</v>
      </c>
      <c r="K76" s="1"/>
      <c r="L76" s="1">
        <f t="shared" ref="L76:L78" si="72">+D76-H76</f>
        <v>0</v>
      </c>
      <c r="M76" s="1"/>
      <c r="N76" s="5">
        <f t="shared" ref="N76:N78" si="73">IF(H76=0,0,L76/H76)</f>
        <v>0</v>
      </c>
      <c r="O76" s="14"/>
      <c r="P76" s="1">
        <f>SUM(OSRRefP22_12x_0)</f>
        <v>250.87</v>
      </c>
      <c r="Q76" s="1"/>
      <c r="R76" s="5">
        <f t="shared" ref="R76:R78" si="74">IF(P$12=0,0,P76/P$12)</f>
        <v>0</v>
      </c>
      <c r="S76" s="1"/>
      <c r="T76" s="1">
        <f>SUM(OSRRefT22_12x_0)</f>
        <v>0</v>
      </c>
      <c r="U76" s="1"/>
      <c r="V76" s="5">
        <f t="shared" ref="V76:V78" si="75">IF(T$12=0,0,T76/T$12)</f>
        <v>0</v>
      </c>
      <c r="W76" s="1"/>
      <c r="X76" s="1">
        <f t="shared" ref="X76:X78" si="76">+P76-T76</f>
        <v>250.87</v>
      </c>
      <c r="Y76" s="1"/>
      <c r="Z76" s="5">
        <f t="shared" ref="Z76:Z78" si="77">IF(T76=0,0,X76/T76)</f>
        <v>0</v>
      </c>
    </row>
    <row r="77" spans="1:26" s="24" customFormat="1" hidden="1" outlineLevel="2" x14ac:dyDescent="0.35">
      <c r="A77" s="29"/>
      <c r="B77" s="11" t="str">
        <f>CONCATENATE("          ", "6303", " - ", "DATA PHONE LINES")</f>
        <v xml:space="preserve">          6303 - DATA PHONE LINES</v>
      </c>
      <c r="C77" s="11"/>
      <c r="D77" s="7"/>
      <c r="E77" s="2"/>
      <c r="F77" s="6">
        <f t="shared" si="70"/>
        <v>0</v>
      </c>
      <c r="G77" s="2"/>
      <c r="H77" s="7">
        <v>0</v>
      </c>
      <c r="I77" s="2"/>
      <c r="J77" s="6">
        <f t="shared" si="71"/>
        <v>0</v>
      </c>
      <c r="K77" s="2"/>
      <c r="L77" s="7">
        <f t="shared" si="72"/>
        <v>0</v>
      </c>
      <c r="M77" s="2"/>
      <c r="N77" s="6">
        <f t="shared" si="73"/>
        <v>0</v>
      </c>
      <c r="O77" s="11"/>
      <c r="P77" s="7"/>
      <c r="Q77" s="2"/>
      <c r="R77" s="6">
        <f t="shared" si="74"/>
        <v>0</v>
      </c>
      <c r="S77" s="2"/>
      <c r="T77" s="7">
        <v>0</v>
      </c>
      <c r="U77" s="2"/>
      <c r="V77" s="6">
        <f t="shared" si="75"/>
        <v>0</v>
      </c>
      <c r="W77" s="2"/>
      <c r="X77" s="7">
        <f t="shared" si="76"/>
        <v>0</v>
      </c>
      <c r="Y77" s="2"/>
      <c r="Z77" s="6">
        <f t="shared" si="77"/>
        <v>0</v>
      </c>
    </row>
    <row r="78" spans="1:26" s="24" customFormat="1" hidden="1" outlineLevel="2" x14ac:dyDescent="0.35">
      <c r="A78" s="29"/>
      <c r="B78" s="11" t="str">
        <f>CONCATENATE("          ", "6309", " - ", "TELEPHONE")</f>
        <v xml:space="preserve">          6309 - TELEPHONE</v>
      </c>
      <c r="C78" s="11"/>
      <c r="D78" s="7"/>
      <c r="E78" s="2"/>
      <c r="F78" s="6">
        <f t="shared" si="70"/>
        <v>0</v>
      </c>
      <c r="G78" s="2"/>
      <c r="H78" s="7"/>
      <c r="I78" s="2"/>
      <c r="J78" s="6">
        <f t="shared" si="71"/>
        <v>0</v>
      </c>
      <c r="K78" s="2"/>
      <c r="L78" s="7">
        <f t="shared" si="72"/>
        <v>0</v>
      </c>
      <c r="M78" s="2"/>
      <c r="N78" s="6">
        <f t="shared" si="73"/>
        <v>0</v>
      </c>
      <c r="O78" s="11"/>
      <c r="P78" s="7">
        <v>250.87</v>
      </c>
      <c r="Q78" s="2"/>
      <c r="R78" s="6">
        <f t="shared" si="74"/>
        <v>0</v>
      </c>
      <c r="S78" s="2"/>
      <c r="T78" s="7"/>
      <c r="U78" s="2"/>
      <c r="V78" s="6">
        <f t="shared" si="75"/>
        <v>0</v>
      </c>
      <c r="W78" s="2"/>
      <c r="X78" s="7">
        <f t="shared" si="76"/>
        <v>250.87</v>
      </c>
      <c r="Y78" s="2"/>
      <c r="Z78" s="6">
        <f t="shared" si="77"/>
        <v>0</v>
      </c>
    </row>
    <row r="79" spans="1:26" s="28" customFormat="1" outlineLevel="1" collapsed="1" x14ac:dyDescent="0.35">
      <c r="A79" s="27"/>
      <c r="B79" s="14" t="str">
        <f>CONCATENATE("     ","Training                                          ")</f>
        <v xml:space="preserve">     Training                                          </v>
      </c>
      <c r="C79" s="14"/>
      <c r="D79" s="1">
        <f>SUM(OSRRefD22_13x_0)</f>
        <v>0</v>
      </c>
      <c r="E79" s="1"/>
      <c r="F79" s="5">
        <f t="shared" ref="F79:F80" si="78">IF(D$12=0,0,D79/D$12)</f>
        <v>0</v>
      </c>
      <c r="G79" s="1"/>
      <c r="H79" s="1">
        <f>SUM(OSRRefH22_13x_0)</f>
        <v>0</v>
      </c>
      <c r="I79" s="1"/>
      <c r="J79" s="5">
        <f t="shared" ref="J79:J80" si="79">IF(H$12=0,0,H79/H$12)</f>
        <v>0</v>
      </c>
      <c r="K79" s="1"/>
      <c r="L79" s="1">
        <f t="shared" ref="L79:L80" si="80">+D79-H79</f>
        <v>0</v>
      </c>
      <c r="M79" s="1"/>
      <c r="N79" s="5">
        <f t="shared" ref="N79:N80" si="81">IF(H79=0,0,L79/H79)</f>
        <v>0</v>
      </c>
      <c r="O79" s="14"/>
      <c r="P79" s="1">
        <f>SUM(OSRRefP22_13x_0)</f>
        <v>0</v>
      </c>
      <c r="Q79" s="1"/>
      <c r="R79" s="5">
        <f t="shared" ref="R79:R80" si="82">IF(P$12=0,0,P79/P$12)</f>
        <v>0</v>
      </c>
      <c r="S79" s="1"/>
      <c r="T79" s="1">
        <f>SUM(OSRRefT22_13x_0)</f>
        <v>0</v>
      </c>
      <c r="U79" s="1"/>
      <c r="V79" s="5">
        <f t="shared" ref="V79:V80" si="83">IF(T$12=0,0,T79/T$12)</f>
        <v>0</v>
      </c>
      <c r="W79" s="1"/>
      <c r="X79" s="1">
        <f t="shared" ref="X79:X80" si="84">+P79-T79</f>
        <v>0</v>
      </c>
      <c r="Y79" s="1"/>
      <c r="Z79" s="5">
        <f t="shared" ref="Z79:Z80" si="85">IF(T79=0,0,X79/T79)</f>
        <v>0</v>
      </c>
    </row>
    <row r="80" spans="1:26" s="24" customFormat="1" hidden="1" outlineLevel="2" x14ac:dyDescent="0.35">
      <c r="A80" s="29"/>
      <c r="B80" s="11" t="str">
        <f>CONCATENATE("          ", "6376", " - ", "TRAINING")</f>
        <v xml:space="preserve">          6376 - TRAINING</v>
      </c>
      <c r="C80" s="11"/>
      <c r="D80" s="7"/>
      <c r="E80" s="2"/>
      <c r="F80" s="6">
        <f t="shared" si="78"/>
        <v>0</v>
      </c>
      <c r="G80" s="2"/>
      <c r="H80" s="7">
        <v>0</v>
      </c>
      <c r="I80" s="2"/>
      <c r="J80" s="6">
        <f t="shared" si="79"/>
        <v>0</v>
      </c>
      <c r="K80" s="2"/>
      <c r="L80" s="7">
        <f t="shared" si="80"/>
        <v>0</v>
      </c>
      <c r="M80" s="2"/>
      <c r="N80" s="6">
        <f t="shared" si="81"/>
        <v>0</v>
      </c>
      <c r="O80" s="11"/>
      <c r="P80" s="7"/>
      <c r="Q80" s="2"/>
      <c r="R80" s="6">
        <f t="shared" si="82"/>
        <v>0</v>
      </c>
      <c r="S80" s="2"/>
      <c r="T80" s="7">
        <v>0</v>
      </c>
      <c r="U80" s="2"/>
      <c r="V80" s="6">
        <f t="shared" si="83"/>
        <v>0</v>
      </c>
      <c r="W80" s="2"/>
      <c r="X80" s="7">
        <f t="shared" si="84"/>
        <v>0</v>
      </c>
      <c r="Y80" s="2"/>
      <c r="Z80" s="6">
        <f t="shared" si="85"/>
        <v>0</v>
      </c>
    </row>
    <row r="81" spans="1:26" s="55" customFormat="1" x14ac:dyDescent="0.35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collapsed="1" x14ac:dyDescent="0.35">
      <c r="A82" s="10"/>
      <c r="B82" s="25" t="s">
        <v>0</v>
      </c>
      <c r="C82" s="10"/>
      <c r="D82" s="4">
        <f>SUM(OSRRefD25x_0)</f>
        <v>0</v>
      </c>
      <c r="E82" s="4"/>
      <c r="F82" s="12">
        <f t="shared" ref="F82:F83" si="86">IF(D$12=0,0,D82/D$12)</f>
        <v>0</v>
      </c>
      <c r="G82" s="4"/>
      <c r="H82" s="4">
        <f>SUM(OSRRefH25x_0)</f>
        <v>0</v>
      </c>
      <c r="I82" s="4"/>
      <c r="J82" s="12">
        <f t="shared" ref="J82:J83" si="87">IF(H$12=0,0,H82/H$12)</f>
        <v>0</v>
      </c>
      <c r="K82" s="4"/>
      <c r="L82" s="4">
        <f t="shared" ref="L82:L83" si="88">+D82-H82</f>
        <v>0</v>
      </c>
      <c r="M82" s="4"/>
      <c r="N82" s="12">
        <f t="shared" ref="N82:N83" si="89">IF(H82=0,0,L82/H82)</f>
        <v>0</v>
      </c>
      <c r="O82" s="10"/>
      <c r="P82" s="4">
        <f>SUM(OSRRefP25x_0)</f>
        <v>111.42</v>
      </c>
      <c r="Q82" s="4"/>
      <c r="R82" s="12">
        <f t="shared" ref="R82:R83" si="90">IF(P$12=0,0,P82/P$12)</f>
        <v>0</v>
      </c>
      <c r="S82" s="4"/>
      <c r="T82" s="4">
        <f>SUM(OSRRefT25x_0)</f>
        <v>0</v>
      </c>
      <c r="U82" s="4"/>
      <c r="V82" s="12">
        <f t="shared" ref="V82:V83" si="91">IF(T$12=0,0,T82/T$12)</f>
        <v>0</v>
      </c>
      <c r="W82" s="4"/>
      <c r="X82" s="4">
        <f t="shared" ref="X82:X83" si="92">+P82-T82</f>
        <v>111.42</v>
      </c>
      <c r="Y82" s="4"/>
      <c r="Z82" s="12">
        <f t="shared" ref="Z82:Z83" si="93">IF(T82=0,0,X82/T82)</f>
        <v>0</v>
      </c>
    </row>
    <row r="83" spans="1:26" s="24" customFormat="1" hidden="1" outlineLevel="1" x14ac:dyDescent="0.35">
      <c r="A83" s="51"/>
      <c r="B83" s="11" t="str">
        <f>CONCATENATE("          ", "9150", " - ", "MISC. INCOME")</f>
        <v xml:space="preserve">          9150 - MISC. INCOME</v>
      </c>
      <c r="C83" s="11"/>
      <c r="D83" s="2">
        <f>0</f>
        <v>0</v>
      </c>
      <c r="E83" s="2"/>
      <c r="F83" s="22">
        <f t="shared" si="86"/>
        <v>0</v>
      </c>
      <c r="G83" s="2"/>
      <c r="H83" s="2"/>
      <c r="I83" s="2"/>
      <c r="J83" s="22">
        <f t="shared" si="87"/>
        <v>0</v>
      </c>
      <c r="K83" s="2"/>
      <c r="L83" s="2">
        <f t="shared" si="88"/>
        <v>0</v>
      </c>
      <c r="M83" s="2"/>
      <c r="N83" s="22">
        <f t="shared" si="89"/>
        <v>0</v>
      </c>
      <c r="O83" s="11"/>
      <c r="P83" s="2">
        <f>--111.42</f>
        <v>111.42</v>
      </c>
      <c r="Q83" s="2"/>
      <c r="R83" s="22">
        <f t="shared" si="90"/>
        <v>0</v>
      </c>
      <c r="S83" s="2"/>
      <c r="T83" s="2"/>
      <c r="U83" s="2"/>
      <c r="V83" s="22">
        <f t="shared" si="91"/>
        <v>0</v>
      </c>
      <c r="W83" s="2"/>
      <c r="X83" s="2">
        <f t="shared" si="92"/>
        <v>111.42</v>
      </c>
      <c r="Y83" s="2"/>
      <c r="Z83" s="22">
        <f t="shared" si="93"/>
        <v>0</v>
      </c>
    </row>
    <row r="84" spans="1:26" x14ac:dyDescent="0.3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35">
      <c r="A85" s="10"/>
      <c r="B85" s="26" t="s">
        <v>3</v>
      </c>
      <c r="C85" s="26"/>
      <c r="D85" s="19">
        <f>+D19-D21+D82</f>
        <v>-6745.17</v>
      </c>
      <c r="E85" s="13"/>
      <c r="F85" s="21">
        <f>IF(D$12=0,0,D85/D$12)</f>
        <v>0</v>
      </c>
      <c r="G85" s="13"/>
      <c r="H85" s="19">
        <f>+H19-H21+H82</f>
        <v>-6745</v>
      </c>
      <c r="I85" s="13"/>
      <c r="J85" s="21">
        <f>IF(H$12=0,0,H85/H$12)</f>
        <v>0</v>
      </c>
      <c r="K85" s="16"/>
      <c r="L85" s="19">
        <f>+D85-H85</f>
        <v>-0.17000000000007276</v>
      </c>
      <c r="M85" s="16"/>
      <c r="N85" s="21">
        <f>IF(H85=0,0,L85/H85)</f>
        <v>2.5203854707201298E-5</v>
      </c>
      <c r="O85" s="25"/>
      <c r="P85" s="19">
        <f>+P19-P21+P82</f>
        <v>-58915.400000000009</v>
      </c>
      <c r="Q85" s="13"/>
      <c r="R85" s="21">
        <f>IF(P$12=0,0,P85/P$12)</f>
        <v>0</v>
      </c>
      <c r="S85" s="13"/>
      <c r="T85" s="19">
        <f>+T19-T21+T82</f>
        <v>-48514</v>
      </c>
      <c r="U85" s="13"/>
      <c r="V85" s="21">
        <f>IF(T$12=0,0,T85/T$12)</f>
        <v>0</v>
      </c>
      <c r="W85" s="16"/>
      <c r="X85" s="19">
        <f>+P85-T85</f>
        <v>-10401.400000000009</v>
      </c>
      <c r="Y85" s="16"/>
      <c r="Z85" s="21">
        <f>IF(T85=0,0,X85/T85)</f>
        <v>0.2143999670198295</v>
      </c>
    </row>
    <row r="86" spans="1:26" x14ac:dyDescent="0.3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35">
      <c r="A87" s="52"/>
      <c r="B87" s="10" t="s">
        <v>14</v>
      </c>
      <c r="C87" s="10"/>
      <c r="D87" s="4"/>
      <c r="E87" s="4"/>
      <c r="F87" s="12">
        <f>IF(D$12=0,0,D87/D$12)</f>
        <v>0</v>
      </c>
      <c r="G87" s="4"/>
      <c r="H87" s="4"/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/>
      <c r="Q87" s="4"/>
      <c r="R87" s="12">
        <f>IF(P$12=0,0,P87/P$12)</f>
        <v>0</v>
      </c>
      <c r="S87" s="4"/>
      <c r="T87" s="4"/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3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" thickBot="1" x14ac:dyDescent="0.4">
      <c r="A89" s="10"/>
      <c r="B89" s="26" t="s">
        <v>4</v>
      </c>
      <c r="C89" s="26"/>
      <c r="D89" s="33">
        <f>+D85-D87</f>
        <v>-6745.17</v>
      </c>
      <c r="E89" s="13"/>
      <c r="F89" s="31">
        <f>IF(D$12=0,0,D89/D$12)</f>
        <v>0</v>
      </c>
      <c r="G89" s="13"/>
      <c r="H89" s="33">
        <f>+H85-H87</f>
        <v>-6745</v>
      </c>
      <c r="I89" s="13"/>
      <c r="J89" s="31">
        <f>IF(H$12=0,0,H89/H$12)</f>
        <v>0</v>
      </c>
      <c r="K89" s="16"/>
      <c r="L89" s="33">
        <f>D89-H89</f>
        <v>-0.17000000000007276</v>
      </c>
      <c r="M89" s="16"/>
      <c r="N89" s="31">
        <f>IF(H89=0,0,L89/H89)</f>
        <v>2.5203854707201298E-5</v>
      </c>
      <c r="O89" s="25"/>
      <c r="P89" s="33">
        <f>+P85-P87</f>
        <v>-58915.400000000009</v>
      </c>
      <c r="Q89" s="13"/>
      <c r="R89" s="31">
        <f>IF(P$12=0,0,P89/P$12)</f>
        <v>0</v>
      </c>
      <c r="S89" s="13"/>
      <c r="T89" s="33">
        <f>+T85-T87</f>
        <v>-48514</v>
      </c>
      <c r="U89" s="13"/>
      <c r="V89" s="31">
        <f>IF(T$12=0,0,T89/T$12)</f>
        <v>0</v>
      </c>
      <c r="W89" s="16"/>
      <c r="X89" s="33">
        <f>P89-T89</f>
        <v>-10401.400000000009</v>
      </c>
      <c r="Y89" s="16"/>
      <c r="Z89" s="31">
        <f>IF(T89=0,0,X89/T89)</f>
        <v>0.2143999670198295</v>
      </c>
    </row>
    <row r="90" spans="1:26" ht="15" thickTop="1" x14ac:dyDescent="0.3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3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" thickBot="1" x14ac:dyDescent="0.4">
      <c r="A92" s="10"/>
      <c r="B92" s="26" t="s">
        <v>5</v>
      </c>
      <c r="C92" s="26"/>
      <c r="D92" s="34">
        <f>SUM(D89:D91)</f>
        <v>-6745.17</v>
      </c>
      <c r="E92" s="13"/>
      <c r="F92" s="32">
        <f>IF(D$12=0,0,D92/D$12)</f>
        <v>0</v>
      </c>
      <c r="G92" s="13"/>
      <c r="H92" s="34">
        <f>SUM(H89:H91)</f>
        <v>-6745</v>
      </c>
      <c r="I92" s="13"/>
      <c r="J92" s="32">
        <f>IF(H$12=0,0,H92/H$12)</f>
        <v>0</v>
      </c>
      <c r="K92" s="16"/>
      <c r="L92" s="34">
        <f>+D92-H92</f>
        <v>-0.17000000000007276</v>
      </c>
      <c r="M92" s="16"/>
      <c r="N92" s="32">
        <f>IF(H92=0,0,L92/H92)</f>
        <v>2.5203854707201298E-5</v>
      </c>
      <c r="O92" s="25"/>
      <c r="P92" s="34">
        <f>SUM(P89:P91)</f>
        <v>-58915.400000000009</v>
      </c>
      <c r="Q92" s="13"/>
      <c r="R92" s="32">
        <f>IF(P$12=0,0,P92/P$12)</f>
        <v>0</v>
      </c>
      <c r="S92" s="13"/>
      <c r="T92" s="34">
        <f>SUM(T89:T91)</f>
        <v>-48514</v>
      </c>
      <c r="U92" s="13"/>
      <c r="V92" s="32">
        <f>IF(T$12=0,0,T92/T$12)</f>
        <v>0</v>
      </c>
      <c r="W92" s="16"/>
      <c r="X92" s="34">
        <f>+P92-T92</f>
        <v>-10401.400000000009</v>
      </c>
      <c r="Y92" s="16"/>
      <c r="Z92" s="32">
        <f>IF(T92=0,0,X92/T92)</f>
        <v>0.2143999670198295</v>
      </c>
    </row>
    <row r="93" spans="1:26" ht="15" thickTop="1" x14ac:dyDescent="0.35">
      <c r="A93" s="9"/>
      <c r="C93" s="9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35">
      <c r="A94" s="9"/>
      <c r="B94" s="60">
        <v>44238.490769791664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35">
      <c r="A95" s="9"/>
      <c r="B95" s="59" t="s">
        <v>314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35">
      <c r="A96" s="9"/>
      <c r="B96" s="58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4:24" x14ac:dyDescent="0.35"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","420", " - ", "Catering")</f>
        <v>Department 420 - Catering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82073.460000000006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82073.460000000006</v>
      </c>
      <c r="M12" s="4"/>
      <c r="N12" s="12">
        <f t="shared" ref="N12:N13" si="1">IF(H12=0,0,L12/H12)</f>
        <v>0</v>
      </c>
      <c r="O12" s="10"/>
      <c r="P12" s="4">
        <f>SUM(OSRRefP13x_0)</f>
        <v>230176.85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230176.85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"4052", " - ", "TAXABLE SALES-FOOD")</f>
        <v xml:space="preserve">          4052 - TAXABLE SALES-FOOD</v>
      </c>
      <c r="C13" s="11"/>
      <c r="D13" s="2">
        <f>--82073.46</f>
        <v>82073.460000000006</v>
      </c>
      <c r="E13" s="2"/>
      <c r="F13" s="22"/>
      <c r="G13" s="2"/>
      <c r="H13" s="2"/>
      <c r="I13" s="2"/>
      <c r="J13" s="22"/>
      <c r="K13" s="2"/>
      <c r="L13" s="2">
        <f t="shared" si="0"/>
        <v>82073.460000000006</v>
      </c>
      <c r="M13" s="2"/>
      <c r="N13" s="22">
        <f t="shared" si="1"/>
        <v>0</v>
      </c>
      <c r="O13" s="11"/>
      <c r="P13" s="2">
        <f>--230176.85</f>
        <v>230176.85</v>
      </c>
      <c r="Q13" s="2"/>
      <c r="R13" s="22"/>
      <c r="S13" s="2"/>
      <c r="T13" s="2"/>
      <c r="U13" s="2"/>
      <c r="V13" s="22"/>
      <c r="W13" s="2"/>
      <c r="X13" s="2">
        <f t="shared" si="2"/>
        <v>230176.85</v>
      </c>
      <c r="Y13" s="2"/>
      <c r="Z13" s="22">
        <f t="shared" si="3"/>
        <v>0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5">
      <c r="A17" s="10"/>
      <c r="B17" s="26" t="s">
        <v>6</v>
      </c>
      <c r="C17" s="26"/>
      <c r="D17" s="19">
        <f>D12-D15</f>
        <v>82073.460000000006</v>
      </c>
      <c r="E17" s="13"/>
      <c r="F17" s="21">
        <f>IF(D$12=0,0,D17/D$12)</f>
        <v>1</v>
      </c>
      <c r="G17" s="13"/>
      <c r="H17" s="19">
        <f>H12-H15</f>
        <v>0</v>
      </c>
      <c r="I17" s="13"/>
      <c r="J17" s="21">
        <f>IF(H$12=0,0,H17/H$12)</f>
        <v>0</v>
      </c>
      <c r="K17" s="16"/>
      <c r="L17" s="19">
        <f>+D17-H17</f>
        <v>82073.460000000006</v>
      </c>
      <c r="M17" s="16"/>
      <c r="N17" s="21">
        <f>IF(H17=0,0,L17/H17)</f>
        <v>0</v>
      </c>
      <c r="O17" s="25"/>
      <c r="P17" s="19">
        <f>P12-P15</f>
        <v>230176.85</v>
      </c>
      <c r="Q17" s="13"/>
      <c r="R17" s="21">
        <f>IF(P$12=0,0,P17/P$12)</f>
        <v>1</v>
      </c>
      <c r="S17" s="13"/>
      <c r="T17" s="19">
        <f>T12-T15</f>
        <v>0</v>
      </c>
      <c r="U17" s="13"/>
      <c r="V17" s="21">
        <f>IF(T$12=0,0,T17/T$12)</f>
        <v>0</v>
      </c>
      <c r="W17" s="16"/>
      <c r="X17" s="19">
        <f>+P17-T17</f>
        <v>230176.85</v>
      </c>
      <c r="Y17" s="16"/>
      <c r="Z17" s="21">
        <f>IF(T17=0,0,X17/T17)</f>
        <v>0</v>
      </c>
    </row>
    <row r="18" spans="1:26" x14ac:dyDescent="0.3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5">
      <c r="A19" s="10"/>
      <c r="B19" s="25" t="s">
        <v>9</v>
      </c>
      <c r="C19" s="10"/>
      <c r="D19" s="20">
        <f>SUM(OSRRefD22x_0)</f>
        <v>0</v>
      </c>
      <c r="E19" s="20"/>
      <c r="F19" s="30">
        <f t="shared" ref="F19:F21" si="4">IF(D$12=0,0,D19/D$12)</f>
        <v>0</v>
      </c>
      <c r="G19" s="20"/>
      <c r="H19" s="20">
        <f>SUM(OSRRefH22x_0)</f>
        <v>0</v>
      </c>
      <c r="I19" s="20"/>
      <c r="J19" s="30">
        <f t="shared" ref="J19:J21" si="5">IF(H$12=0,0,H19/H$12)</f>
        <v>0</v>
      </c>
      <c r="K19" s="4"/>
      <c r="L19" s="20">
        <f t="shared" ref="L19:L21" si="6">+D19-H19</f>
        <v>0</v>
      </c>
      <c r="M19" s="4"/>
      <c r="N19" s="30">
        <f t="shared" ref="N19:N21" si="7">IF(H19=0,0,L19/H19)</f>
        <v>0</v>
      </c>
      <c r="O19" s="10"/>
      <c r="P19" s="20">
        <f>SUM(OSRRefP22x_0)</f>
        <v>7.86</v>
      </c>
      <c r="Q19" s="20"/>
      <c r="R19" s="30">
        <f t="shared" ref="R19:R21" si="8">IF(P$12=0,0,P19/P$12)</f>
        <v>3.4147656465018091E-5</v>
      </c>
      <c r="S19" s="20"/>
      <c r="T19" s="20">
        <f>SUM(OSRRefT22x_0)</f>
        <v>0</v>
      </c>
      <c r="U19" s="20"/>
      <c r="V19" s="30">
        <f t="shared" ref="V19:V21" si="9">IF(T$12=0,0,T19/T$12)</f>
        <v>0</v>
      </c>
      <c r="W19" s="4"/>
      <c r="X19" s="20">
        <f t="shared" ref="X19:X21" si="10">+P19-T19</f>
        <v>7.86</v>
      </c>
      <c r="Y19" s="4"/>
      <c r="Z19" s="30">
        <f t="shared" ref="Z19:Z21" si="11">IF(T19=0,0,X19/T19)</f>
        <v>0</v>
      </c>
    </row>
    <row r="20" spans="1:26" s="28" customFormat="1" outlineLevel="1" collapsed="1" x14ac:dyDescent="0.3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4"/>
        <v>0</v>
      </c>
      <c r="G20" s="1"/>
      <c r="H20" s="1">
        <f>SUM(OSRRefH22_0x_0)</f>
        <v>0</v>
      </c>
      <c r="I20" s="1"/>
      <c r="J20" s="5">
        <f t="shared" si="5"/>
        <v>0</v>
      </c>
      <c r="K20" s="1"/>
      <c r="L20" s="1">
        <f t="shared" si="6"/>
        <v>0</v>
      </c>
      <c r="M20" s="1"/>
      <c r="N20" s="5">
        <f t="shared" si="7"/>
        <v>0</v>
      </c>
      <c r="O20" s="14"/>
      <c r="P20" s="1">
        <f>SUM(OSRRefP22_0x_0)</f>
        <v>7.86</v>
      </c>
      <c r="Q20" s="1"/>
      <c r="R20" s="5">
        <f t="shared" si="8"/>
        <v>3.4147656465018091E-5</v>
      </c>
      <c r="S20" s="1"/>
      <c r="T20" s="1">
        <f>SUM(OSRRefT22_0x_0)</f>
        <v>0</v>
      </c>
      <c r="U20" s="1"/>
      <c r="V20" s="5">
        <f t="shared" si="9"/>
        <v>0</v>
      </c>
      <c r="W20" s="1"/>
      <c r="X20" s="1">
        <f t="shared" si="10"/>
        <v>7.86</v>
      </c>
      <c r="Y20" s="1"/>
      <c r="Z20" s="5">
        <f t="shared" si="11"/>
        <v>0</v>
      </c>
    </row>
    <row r="21" spans="1:26" s="24" customFormat="1" hidden="1" outlineLevel="2" x14ac:dyDescent="0.35">
      <c r="A21" s="29"/>
      <c r="B21" s="11" t="str">
        <f>CONCATENATE("          ", "6111", " - ", "F.I.C.A.")</f>
        <v xml:space="preserve">          6111 - F.I.C.A.</v>
      </c>
      <c r="C21" s="11"/>
      <c r="D21" s="7"/>
      <c r="E21" s="2"/>
      <c r="F21" s="6">
        <f t="shared" si="4"/>
        <v>0</v>
      </c>
      <c r="G21" s="2"/>
      <c r="H21" s="7"/>
      <c r="I21" s="2"/>
      <c r="J21" s="6">
        <f t="shared" si="5"/>
        <v>0</v>
      </c>
      <c r="K21" s="2"/>
      <c r="L21" s="7">
        <f t="shared" si="6"/>
        <v>0</v>
      </c>
      <c r="M21" s="2"/>
      <c r="N21" s="6">
        <f t="shared" si="7"/>
        <v>0</v>
      </c>
      <c r="O21" s="11"/>
      <c r="P21" s="7">
        <v>7.86</v>
      </c>
      <c r="Q21" s="2"/>
      <c r="R21" s="6">
        <f t="shared" si="8"/>
        <v>3.4147656465018091E-5</v>
      </c>
      <c r="S21" s="2"/>
      <c r="T21" s="7"/>
      <c r="U21" s="2"/>
      <c r="V21" s="6">
        <f t="shared" si="9"/>
        <v>0</v>
      </c>
      <c r="W21" s="2"/>
      <c r="X21" s="7">
        <f t="shared" si="10"/>
        <v>7.86</v>
      </c>
      <c r="Y21" s="2"/>
      <c r="Z21" s="6">
        <f t="shared" si="11"/>
        <v>0</v>
      </c>
    </row>
    <row r="22" spans="1:26" s="55" customFormat="1" x14ac:dyDescent="0.35">
      <c r="A22" s="36"/>
      <c r="B22" s="36"/>
      <c r="C22" s="36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5">
      <c r="A23" s="10"/>
      <c r="B23" s="25" t="s">
        <v>0</v>
      </c>
      <c r="C23" s="10"/>
      <c r="D23" s="4">
        <f>SUM(0)</f>
        <v>0</v>
      </c>
      <c r="E23" s="4"/>
      <c r="F23" s="12">
        <f>IF(D$12=0,0,D23/D$12)</f>
        <v>0</v>
      </c>
      <c r="G23" s="4"/>
      <c r="H23" s="4">
        <f>SUM(0)</f>
        <v>0</v>
      </c>
      <c r="I23" s="4"/>
      <c r="J23" s="12">
        <f>IF(H$12=0,0,H23/H$12)</f>
        <v>0</v>
      </c>
      <c r="K23" s="4"/>
      <c r="L23" s="4">
        <f>+D23-H23</f>
        <v>0</v>
      </c>
      <c r="M23" s="4"/>
      <c r="N23" s="12">
        <f>IF(H23=0,0,L23/H23)</f>
        <v>0</v>
      </c>
      <c r="O23" s="10"/>
      <c r="P23" s="4">
        <f>SUM(0)</f>
        <v>0</v>
      </c>
      <c r="Q23" s="4"/>
      <c r="R23" s="12">
        <f>IF(P$12=0,0,P23/P$12)</f>
        <v>0</v>
      </c>
      <c r="S23" s="4"/>
      <c r="T23" s="4">
        <f>SUM(0)</f>
        <v>0</v>
      </c>
      <c r="U23" s="4"/>
      <c r="V23" s="12">
        <f>IF(T$12=0,0,T23/T$12)</f>
        <v>0</v>
      </c>
      <c r="W23" s="4"/>
      <c r="X23" s="4">
        <f>+P23-T23</f>
        <v>0</v>
      </c>
      <c r="Y23" s="4"/>
      <c r="Z23" s="12">
        <f>IF(T23=0,0,X23/T23)</f>
        <v>0</v>
      </c>
    </row>
    <row r="24" spans="1:26" x14ac:dyDescent="0.3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35">
      <c r="A25" s="10"/>
      <c r="B25" s="26" t="s">
        <v>3</v>
      </c>
      <c r="C25" s="26"/>
      <c r="D25" s="19">
        <f>+D17-D19+D23</f>
        <v>82073.460000000006</v>
      </c>
      <c r="E25" s="13"/>
      <c r="F25" s="21">
        <f>IF(D$12=0,0,D25/D$12)</f>
        <v>1</v>
      </c>
      <c r="G25" s="13"/>
      <c r="H25" s="19">
        <f>+H17-H19+H23</f>
        <v>0</v>
      </c>
      <c r="I25" s="13"/>
      <c r="J25" s="21">
        <f>IF(H$12=0,0,H25/H$12)</f>
        <v>0</v>
      </c>
      <c r="K25" s="16"/>
      <c r="L25" s="19">
        <f>+D25-H25</f>
        <v>82073.460000000006</v>
      </c>
      <c r="M25" s="16"/>
      <c r="N25" s="21">
        <f>IF(H25=0,0,L25/H25)</f>
        <v>0</v>
      </c>
      <c r="O25" s="25"/>
      <c r="P25" s="19">
        <f>+P17-P19+P23</f>
        <v>230168.99000000002</v>
      </c>
      <c r="Q25" s="13"/>
      <c r="R25" s="21">
        <f>IF(P$12=0,0,P25/P$12)</f>
        <v>0.99996585234353508</v>
      </c>
      <c r="S25" s="13"/>
      <c r="T25" s="19">
        <f>+T17-T19+T23</f>
        <v>0</v>
      </c>
      <c r="U25" s="13"/>
      <c r="V25" s="21">
        <f>IF(T$12=0,0,T25/T$12)</f>
        <v>0</v>
      </c>
      <c r="W25" s="16"/>
      <c r="X25" s="19">
        <f>+P25-T25</f>
        <v>230168.99000000002</v>
      </c>
      <c r="Y25" s="16"/>
      <c r="Z25" s="21">
        <f>IF(T25=0,0,X25/T25)</f>
        <v>0</v>
      </c>
    </row>
    <row r="26" spans="1:26" x14ac:dyDescent="0.3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52"/>
      <c r="B27" s="10" t="s">
        <v>14</v>
      </c>
      <c r="C27" s="10"/>
      <c r="D27" s="4">
        <v>14380.95</v>
      </c>
      <c r="E27" s="4"/>
      <c r="F27" s="12">
        <f>IF(D$12=0,0,D27/D$12)</f>
        <v>0.17522046712786327</v>
      </c>
      <c r="G27" s="4"/>
      <c r="H27" s="4"/>
      <c r="I27" s="4"/>
      <c r="J27" s="12">
        <f>IF(H$12=0,0,H27/H$12)</f>
        <v>0</v>
      </c>
      <c r="K27" s="4"/>
      <c r="L27" s="4">
        <f>+D27-H27</f>
        <v>14380.95</v>
      </c>
      <c r="M27" s="4"/>
      <c r="N27" s="12">
        <f>IF(H27=0,0,L27/H27)</f>
        <v>0</v>
      </c>
      <c r="O27" s="10"/>
      <c r="P27" s="4">
        <v>41783.21</v>
      </c>
      <c r="Q27" s="4"/>
      <c r="R27" s="12">
        <f>IF(P$12=0,0,P27/P$12)</f>
        <v>0.18152655230098075</v>
      </c>
      <c r="S27" s="4"/>
      <c r="T27" s="4"/>
      <c r="U27" s="4"/>
      <c r="V27" s="12">
        <f>IF(T$12=0,0,T27/T$12)</f>
        <v>0</v>
      </c>
      <c r="W27" s="4"/>
      <c r="X27" s="4">
        <f>+P27-T27</f>
        <v>41783.21</v>
      </c>
      <c r="Y27" s="4"/>
      <c r="Z27" s="12">
        <f>IF(T27=0,0,X27/T27)</f>
        <v>0</v>
      </c>
    </row>
    <row r="28" spans="1:26" x14ac:dyDescent="0.3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" thickBot="1" x14ac:dyDescent="0.4">
      <c r="A29" s="10"/>
      <c r="B29" s="26" t="s">
        <v>4</v>
      </c>
      <c r="C29" s="26"/>
      <c r="D29" s="33">
        <f>+D25-D27</f>
        <v>67692.510000000009</v>
      </c>
      <c r="E29" s="13"/>
      <c r="F29" s="31">
        <f>IF(D$12=0,0,D29/D$12)</f>
        <v>0.82477953287213679</v>
      </c>
      <c r="G29" s="13"/>
      <c r="H29" s="33">
        <f>+H25-H27</f>
        <v>0</v>
      </c>
      <c r="I29" s="13"/>
      <c r="J29" s="31">
        <f>IF(H$12=0,0,H29/H$12)</f>
        <v>0</v>
      </c>
      <c r="K29" s="16"/>
      <c r="L29" s="33">
        <f>D29-H29</f>
        <v>67692.510000000009</v>
      </c>
      <c r="M29" s="16"/>
      <c r="N29" s="31">
        <f>IF(H29=0,0,L29/H29)</f>
        <v>0</v>
      </c>
      <c r="O29" s="25"/>
      <c r="P29" s="33">
        <f>+P25-P27</f>
        <v>188385.78000000003</v>
      </c>
      <c r="Q29" s="13"/>
      <c r="R29" s="31">
        <f>IF(P$12=0,0,P29/P$12)</f>
        <v>0.81843930004255439</v>
      </c>
      <c r="S29" s="13"/>
      <c r="T29" s="33">
        <f>+T25-T27</f>
        <v>0</v>
      </c>
      <c r="U29" s="13"/>
      <c r="V29" s="31">
        <f>IF(T$12=0,0,T29/T$12)</f>
        <v>0</v>
      </c>
      <c r="W29" s="16"/>
      <c r="X29" s="33">
        <f>P29-T29</f>
        <v>188385.78000000003</v>
      </c>
      <c r="Y29" s="16"/>
      <c r="Z29" s="31">
        <f>IF(T29=0,0,X29/T29)</f>
        <v>0</v>
      </c>
    </row>
    <row r="30" spans="1:26" ht="15" thickTop="1" x14ac:dyDescent="0.3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x14ac:dyDescent="0.35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" thickBot="1" x14ac:dyDescent="0.4">
      <c r="A32" s="10"/>
      <c r="B32" s="26" t="s">
        <v>5</v>
      </c>
      <c r="C32" s="26"/>
      <c r="D32" s="34">
        <f>SUM(D29:D31)</f>
        <v>67692.510000000009</v>
      </c>
      <c r="E32" s="13"/>
      <c r="F32" s="32">
        <f>IF(D$12=0,0,D32/D$12)</f>
        <v>0.82477953287213679</v>
      </c>
      <c r="G32" s="13"/>
      <c r="H32" s="34">
        <f>SUM(H29:H31)</f>
        <v>0</v>
      </c>
      <c r="I32" s="13"/>
      <c r="J32" s="32">
        <f>IF(H$12=0,0,H32/H$12)</f>
        <v>0</v>
      </c>
      <c r="K32" s="16"/>
      <c r="L32" s="34">
        <f>+D32-H32</f>
        <v>67692.510000000009</v>
      </c>
      <c r="M32" s="16"/>
      <c r="N32" s="32">
        <f>IF(H32=0,0,L32/H32)</f>
        <v>0</v>
      </c>
      <c r="O32" s="25"/>
      <c r="P32" s="34">
        <f>SUM(P29:P31)</f>
        <v>188385.78000000003</v>
      </c>
      <c r="Q32" s="13"/>
      <c r="R32" s="32">
        <f>IF(P$12=0,0,P32/P$12)</f>
        <v>0.81843930004255439</v>
      </c>
      <c r="S32" s="13"/>
      <c r="T32" s="34">
        <f>SUM(T29:T31)</f>
        <v>0</v>
      </c>
      <c r="U32" s="13"/>
      <c r="V32" s="32">
        <f>IF(T$12=0,0,T32/T$12)</f>
        <v>0</v>
      </c>
      <c r="W32" s="16"/>
      <c r="X32" s="34">
        <f>+P32-T32</f>
        <v>188385.78000000003</v>
      </c>
      <c r="Y32" s="16"/>
      <c r="Z32" s="32">
        <f>IF(T32=0,0,X32/T32)</f>
        <v>0</v>
      </c>
    </row>
    <row r="33" spans="1:24" ht="15" thickTop="1" x14ac:dyDescent="0.35">
      <c r="A33" s="9"/>
      <c r="C33" s="9"/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35">
      <c r="A34" s="9"/>
      <c r="B34" s="60">
        <v>44238.490784606482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35">
      <c r="A35" s="9"/>
      <c r="B35" s="59" t="s">
        <v>314</v>
      </c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35">
      <c r="A36" s="9"/>
      <c r="B36" s="58"/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4" x14ac:dyDescent="0.35"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","423", " - ", "Contract Revenue")</f>
        <v>Department 423 - Contract Revenue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6" t="s">
        <v>6</v>
      </c>
      <c r="C16" s="26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6"/>
      <c r="L16" s="19">
        <f>+D16-H16</f>
        <v>0</v>
      </c>
      <c r="M16" s="16"/>
      <c r="N16" s="21">
        <f>IF(H16=0,0,L16/H16)</f>
        <v>0</v>
      </c>
      <c r="O16" s="25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6"/>
      <c r="X16" s="19">
        <f>+P16-T16</f>
        <v>0</v>
      </c>
      <c r="Y16" s="16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5" t="s">
        <v>9</v>
      </c>
      <c r="C18" s="10"/>
      <c r="D18" s="20">
        <f>SUM(OSRRefD22x_0)</f>
        <v>-77.740000000000009</v>
      </c>
      <c r="E18" s="20"/>
      <c r="F18" s="30">
        <f t="shared" ref="F18:F27" si="0">IF(D$12=0,0,D18/D$12)</f>
        <v>0</v>
      </c>
      <c r="G18" s="20"/>
      <c r="H18" s="20">
        <f>SUM(OSRRefH22x_0)</f>
        <v>17627.026634615377</v>
      </c>
      <c r="I18" s="20"/>
      <c r="J18" s="30">
        <f t="shared" ref="J18:J27" si="1">IF(H$12=0,0,H18/H$12)</f>
        <v>0</v>
      </c>
      <c r="K18" s="4"/>
      <c r="L18" s="20">
        <f t="shared" ref="L18:L27" si="2">+D18-H18</f>
        <v>-17704.766634615378</v>
      </c>
      <c r="M18" s="4"/>
      <c r="N18" s="30">
        <f t="shared" ref="N18:N27" si="3">IF(H18=0,0,L18/H18)</f>
        <v>-1.0044102730205977</v>
      </c>
      <c r="O18" s="10"/>
      <c r="P18" s="20">
        <f>SUM(OSRRefP22x_0)</f>
        <v>3055.19</v>
      </c>
      <c r="Q18" s="20"/>
      <c r="R18" s="30">
        <f t="shared" ref="R18:R27" si="4">IF(P$12=0,0,P18/P$12)</f>
        <v>0</v>
      </c>
      <c r="S18" s="20"/>
      <c r="T18" s="20">
        <f>SUM(OSRRefT22x_0)</f>
        <v>113755.56513461538</v>
      </c>
      <c r="U18" s="20"/>
      <c r="V18" s="30">
        <f t="shared" ref="V18:V27" si="5">IF(T$12=0,0,T18/T$12)</f>
        <v>0</v>
      </c>
      <c r="W18" s="4"/>
      <c r="X18" s="20">
        <f t="shared" ref="X18:X27" si="6">+P18-T18</f>
        <v>-110700.37513461537</v>
      </c>
      <c r="Y18" s="4"/>
      <c r="Z18" s="30">
        <f t="shared" ref="Z18:Z27" si="7">IF(T18=0,0,X18/T18)</f>
        <v>-0.97314250079647036</v>
      </c>
    </row>
    <row r="19" spans="1:26" s="28" customFormat="1" outlineLevel="1" collapsed="1" x14ac:dyDescent="0.3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5099.1420192307769</v>
      </c>
      <c r="I19" s="1"/>
      <c r="J19" s="5">
        <f t="shared" si="1"/>
        <v>0</v>
      </c>
      <c r="K19" s="1"/>
      <c r="L19" s="1">
        <f t="shared" si="2"/>
        <v>-5099.1420192307769</v>
      </c>
      <c r="M19" s="1"/>
      <c r="N19" s="5">
        <f t="shared" si="3"/>
        <v>-1</v>
      </c>
      <c r="O19" s="14"/>
      <c r="P19" s="1">
        <f>SUM(OSRRefP22_0x_0)</f>
        <v>2478.73</v>
      </c>
      <c r="Q19" s="1"/>
      <c r="R19" s="5">
        <f t="shared" si="4"/>
        <v>0</v>
      </c>
      <c r="S19" s="1"/>
      <c r="T19" s="1">
        <f>SUM(OSRRefT22_0x_0)</f>
        <v>32722.680519230802</v>
      </c>
      <c r="U19" s="1"/>
      <c r="V19" s="5">
        <f t="shared" si="5"/>
        <v>0</v>
      </c>
      <c r="W19" s="1"/>
      <c r="X19" s="1">
        <f t="shared" si="6"/>
        <v>-30243.950519230802</v>
      </c>
      <c r="Y19" s="1"/>
      <c r="Z19" s="5">
        <f t="shared" si="7"/>
        <v>-0.92425039878553727</v>
      </c>
    </row>
    <row r="20" spans="1:26" s="24" customFormat="1" hidden="1" outlineLevel="2" x14ac:dyDescent="0.35">
      <c r="A20" s="29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>
        <v>1058.9102884615402</v>
      </c>
      <c r="I20" s="2"/>
      <c r="J20" s="6">
        <f t="shared" si="1"/>
        <v>0</v>
      </c>
      <c r="K20" s="2"/>
      <c r="L20" s="7">
        <f t="shared" si="2"/>
        <v>-1058.9102884615402</v>
      </c>
      <c r="M20" s="2"/>
      <c r="N20" s="6">
        <f t="shared" si="3"/>
        <v>-1</v>
      </c>
      <c r="O20" s="11"/>
      <c r="P20" s="7"/>
      <c r="Q20" s="2"/>
      <c r="R20" s="6">
        <f t="shared" si="4"/>
        <v>0</v>
      </c>
      <c r="S20" s="2"/>
      <c r="T20" s="7">
        <v>6565.2437884615447</v>
      </c>
      <c r="U20" s="2"/>
      <c r="V20" s="6">
        <f t="shared" si="5"/>
        <v>0</v>
      </c>
      <c r="W20" s="2"/>
      <c r="X20" s="7">
        <f t="shared" si="6"/>
        <v>-6565.2437884615447</v>
      </c>
      <c r="Y20" s="2"/>
      <c r="Z20" s="6">
        <f t="shared" si="7"/>
        <v>-1</v>
      </c>
    </row>
    <row r="21" spans="1:26" s="24" customFormat="1" hidden="1" outlineLevel="2" x14ac:dyDescent="0.3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/>
      <c r="E21" s="2"/>
      <c r="F21" s="6">
        <f t="shared" si="0"/>
        <v>0</v>
      </c>
      <c r="G21" s="2"/>
      <c r="H21" s="7">
        <v>45.660576923076903</v>
      </c>
      <c r="I21" s="2"/>
      <c r="J21" s="6">
        <f t="shared" si="1"/>
        <v>0</v>
      </c>
      <c r="K21" s="2"/>
      <c r="L21" s="7">
        <f t="shared" si="2"/>
        <v>-45.660576923076903</v>
      </c>
      <c r="M21" s="2"/>
      <c r="N21" s="6">
        <f t="shared" si="3"/>
        <v>-1</v>
      </c>
      <c r="O21" s="11"/>
      <c r="P21" s="7"/>
      <c r="Q21" s="2"/>
      <c r="R21" s="6">
        <f t="shared" si="4"/>
        <v>0</v>
      </c>
      <c r="S21" s="2"/>
      <c r="T21" s="7">
        <v>283.09557692307669</v>
      </c>
      <c r="U21" s="2"/>
      <c r="V21" s="6">
        <f t="shared" si="5"/>
        <v>0</v>
      </c>
      <c r="W21" s="2"/>
      <c r="X21" s="7">
        <f t="shared" si="6"/>
        <v>-283.09557692307669</v>
      </c>
      <c r="Y21" s="2"/>
      <c r="Z21" s="6">
        <f t="shared" si="7"/>
        <v>-1</v>
      </c>
    </row>
    <row r="22" spans="1:26" s="24" customFormat="1" hidden="1" outlineLevel="2" x14ac:dyDescent="0.35">
      <c r="A22" s="29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0"/>
        <v>0</v>
      </c>
      <c r="G22" s="2"/>
      <c r="H22" s="7">
        <v>1385</v>
      </c>
      <c r="I22" s="2"/>
      <c r="J22" s="6">
        <f t="shared" si="1"/>
        <v>0</v>
      </c>
      <c r="K22" s="2"/>
      <c r="L22" s="7">
        <f t="shared" si="2"/>
        <v>-1385</v>
      </c>
      <c r="M22" s="2"/>
      <c r="N22" s="6">
        <f t="shared" si="3"/>
        <v>-1</v>
      </c>
      <c r="O22" s="11"/>
      <c r="P22" s="7">
        <v>1868.2</v>
      </c>
      <c r="Q22" s="2"/>
      <c r="R22" s="6">
        <f t="shared" si="4"/>
        <v>0</v>
      </c>
      <c r="S22" s="2"/>
      <c r="T22" s="7">
        <v>9695</v>
      </c>
      <c r="U22" s="2"/>
      <c r="V22" s="6">
        <f t="shared" si="5"/>
        <v>0</v>
      </c>
      <c r="W22" s="2"/>
      <c r="X22" s="7">
        <f t="shared" si="6"/>
        <v>-7826.8</v>
      </c>
      <c r="Y22" s="2"/>
      <c r="Z22" s="6">
        <f t="shared" si="7"/>
        <v>-0.8073027333677153</v>
      </c>
    </row>
    <row r="23" spans="1:26" s="24" customFormat="1" hidden="1" outlineLevel="2" x14ac:dyDescent="0.3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35.975000000000001</v>
      </c>
      <c r="I23" s="2"/>
      <c r="J23" s="6">
        <f t="shared" si="1"/>
        <v>0</v>
      </c>
      <c r="K23" s="2"/>
      <c r="L23" s="7">
        <f t="shared" si="2"/>
        <v>-35.975000000000001</v>
      </c>
      <c r="M23" s="2"/>
      <c r="N23" s="6">
        <f t="shared" si="3"/>
        <v>-1</v>
      </c>
      <c r="O23" s="11"/>
      <c r="P23" s="7"/>
      <c r="Q23" s="2"/>
      <c r="R23" s="6">
        <f t="shared" si="4"/>
        <v>0</v>
      </c>
      <c r="S23" s="2"/>
      <c r="T23" s="7">
        <v>223.04499999999999</v>
      </c>
      <c r="U23" s="2"/>
      <c r="V23" s="6">
        <f t="shared" si="5"/>
        <v>0</v>
      </c>
      <c r="W23" s="2"/>
      <c r="X23" s="7">
        <f t="shared" si="6"/>
        <v>-223.04499999999999</v>
      </c>
      <c r="Y23" s="2"/>
      <c r="Z23" s="6">
        <f t="shared" si="7"/>
        <v>-1</v>
      </c>
    </row>
    <row r="24" spans="1:26" s="24" customFormat="1" hidden="1" outlineLevel="2" x14ac:dyDescent="0.35">
      <c r="A24" s="29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1189.9423076923101</v>
      </c>
      <c r="I24" s="2"/>
      <c r="J24" s="6">
        <f t="shared" si="1"/>
        <v>0</v>
      </c>
      <c r="K24" s="2"/>
      <c r="L24" s="7">
        <f t="shared" si="2"/>
        <v>-1189.9423076923101</v>
      </c>
      <c r="M24" s="2"/>
      <c r="N24" s="6">
        <f t="shared" si="3"/>
        <v>-1</v>
      </c>
      <c r="O24" s="11"/>
      <c r="P24" s="7">
        <v>610.53</v>
      </c>
      <c r="Q24" s="2"/>
      <c r="R24" s="6">
        <f t="shared" si="4"/>
        <v>0</v>
      </c>
      <c r="S24" s="2"/>
      <c r="T24" s="7">
        <v>7377.6423076923138</v>
      </c>
      <c r="U24" s="2"/>
      <c r="V24" s="6">
        <f t="shared" si="5"/>
        <v>0</v>
      </c>
      <c r="W24" s="2"/>
      <c r="X24" s="7">
        <f t="shared" si="6"/>
        <v>-6767.1123076923141</v>
      </c>
      <c r="Y24" s="2"/>
      <c r="Z24" s="6">
        <f t="shared" si="7"/>
        <v>-0.91724592023613971</v>
      </c>
    </row>
    <row r="25" spans="1:26" s="24" customFormat="1" hidden="1" outlineLevel="2" x14ac:dyDescent="0.3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35">
      <c r="A26" s="29"/>
      <c r="B26" s="11" t="str">
        <f>CONCATENATE("          ", "6118", " - ", "VACATION")</f>
        <v xml:space="preserve">          6118 - VACATION</v>
      </c>
      <c r="C26" s="11"/>
      <c r="D26" s="7"/>
      <c r="E26" s="2"/>
      <c r="F26" s="6">
        <f t="shared" si="0"/>
        <v>0</v>
      </c>
      <c r="G26" s="2"/>
      <c r="H26" s="7">
        <v>1383.6538461538501</v>
      </c>
      <c r="I26" s="2"/>
      <c r="J26" s="6">
        <f t="shared" si="1"/>
        <v>0</v>
      </c>
      <c r="K26" s="2"/>
      <c r="L26" s="7">
        <f t="shared" si="2"/>
        <v>-1383.6538461538501</v>
      </c>
      <c r="M26" s="2"/>
      <c r="N26" s="6">
        <f t="shared" si="3"/>
        <v>-1</v>
      </c>
      <c r="O26" s="11"/>
      <c r="P26" s="7"/>
      <c r="Q26" s="2"/>
      <c r="R26" s="6">
        <f t="shared" si="4"/>
        <v>0</v>
      </c>
      <c r="S26" s="2"/>
      <c r="T26" s="7">
        <v>8578.6538461538694</v>
      </c>
      <c r="U26" s="2"/>
      <c r="V26" s="6">
        <f t="shared" si="5"/>
        <v>0</v>
      </c>
      <c r="W26" s="2"/>
      <c r="X26" s="7">
        <f t="shared" si="6"/>
        <v>-8578.6538461538694</v>
      </c>
      <c r="Y26" s="2"/>
      <c r="Z26" s="6">
        <f t="shared" si="7"/>
        <v>-1</v>
      </c>
    </row>
    <row r="27" spans="1:26" s="24" customFormat="1" hidden="1" outlineLevel="2" x14ac:dyDescent="0.35">
      <c r="A27" s="29"/>
      <c r="B27" s="11" t="str">
        <f>CONCATENATE("          ", "6119", " - ", "SICK LEAVE")</f>
        <v xml:space="preserve">          6119 - SICK LEAVE</v>
      </c>
      <c r="C27" s="11"/>
      <c r="D27" s="7"/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0</v>
      </c>
      <c r="M27" s="2"/>
      <c r="N27" s="6">
        <f t="shared" si="3"/>
        <v>0</v>
      </c>
      <c r="O27" s="11"/>
      <c r="P27" s="7"/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0</v>
      </c>
      <c r="Y27" s="2"/>
      <c r="Z27" s="6">
        <f t="shared" si="7"/>
        <v>0</v>
      </c>
    </row>
    <row r="28" spans="1:26" s="28" customFormat="1" outlineLevel="1" collapsed="1" x14ac:dyDescent="0.3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12452.884615384599</v>
      </c>
      <c r="I28" s="1"/>
      <c r="J28" s="5">
        <f t="shared" ref="J28:J38" si="9">IF(H$12=0,0,H28/H$12)</f>
        <v>0</v>
      </c>
      <c r="K28" s="1"/>
      <c r="L28" s="1">
        <f t="shared" ref="L28:L38" si="10">+D28-H28</f>
        <v>-12452.884615384599</v>
      </c>
      <c r="M28" s="1"/>
      <c r="N28" s="5">
        <f t="shared" ref="N28:N38" si="11">IF(H28=0,0,L28/H28)</f>
        <v>-1</v>
      </c>
      <c r="O28" s="14"/>
      <c r="P28" s="1">
        <f>SUM(OSRRefP22_1x_0)</f>
        <v>0</v>
      </c>
      <c r="Q28" s="1"/>
      <c r="R28" s="5">
        <f t="shared" ref="R28:R38" si="12">IF(P$12=0,0,P28/P$12)</f>
        <v>0</v>
      </c>
      <c r="S28" s="1"/>
      <c r="T28" s="1">
        <f>SUM(OSRRefT22_1x_0)</f>
        <v>77207.884615384566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-77207.884615384566</v>
      </c>
      <c r="Y28" s="1"/>
      <c r="Z28" s="5">
        <f t="shared" ref="Z28:Z38" si="15">IF(T28=0,0,X28/T28)</f>
        <v>-1</v>
      </c>
    </row>
    <row r="29" spans="1:26" s="24" customFormat="1" hidden="1" outlineLevel="2" x14ac:dyDescent="0.35">
      <c r="A29" s="29"/>
      <c r="B29" s="11" t="str">
        <f>CONCATENATE("          ", "6001", " - ", "ADMINISTRATIVE SALARIES")</f>
        <v xml:space="preserve">          6001 - ADMINISTRATIVE SALARIES</v>
      </c>
      <c r="C29" s="11"/>
      <c r="D29" s="7"/>
      <c r="E29" s="2"/>
      <c r="F29" s="6">
        <f t="shared" si="8"/>
        <v>0</v>
      </c>
      <c r="G29" s="2"/>
      <c r="H29" s="7">
        <v>12452.884615384599</v>
      </c>
      <c r="I29" s="2"/>
      <c r="J29" s="6">
        <f t="shared" si="9"/>
        <v>0</v>
      </c>
      <c r="K29" s="2"/>
      <c r="L29" s="7">
        <f t="shared" si="10"/>
        <v>-12452.884615384599</v>
      </c>
      <c r="M29" s="2"/>
      <c r="N29" s="6">
        <f t="shared" si="11"/>
        <v>-1</v>
      </c>
      <c r="O29" s="11"/>
      <c r="P29" s="7"/>
      <c r="Q29" s="2"/>
      <c r="R29" s="6">
        <f t="shared" si="12"/>
        <v>0</v>
      </c>
      <c r="S29" s="2"/>
      <c r="T29" s="7">
        <v>77207.884615384566</v>
      </c>
      <c r="U29" s="2"/>
      <c r="V29" s="6">
        <f t="shared" si="13"/>
        <v>0</v>
      </c>
      <c r="W29" s="2"/>
      <c r="X29" s="7">
        <f t="shared" si="14"/>
        <v>-77207.884615384566</v>
      </c>
      <c r="Y29" s="2"/>
      <c r="Z29" s="6">
        <f t="shared" si="15"/>
        <v>-1</v>
      </c>
    </row>
    <row r="30" spans="1:26" s="24" customFormat="1" hidden="1" outlineLevel="2" x14ac:dyDescent="0.35">
      <c r="A30" s="29"/>
      <c r="B30" s="11" t="str">
        <f>CONCATENATE("          ", "6002", " - ", "STAFF SALARIES")</f>
        <v xml:space="preserve">          6002 - STAFF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35">
      <c r="A31" s="29"/>
      <c r="B31" s="11" t="str">
        <f>CONCATENATE("          ", "6003", " - ", "STAFF HOURLY-9 MONTH")</f>
        <v xml:space="preserve">          6003 - STAFF HOURLY-9 MONTH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35">
      <c r="A32" s="29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35">
      <c r="A33" s="29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35">
      <c r="A34" s="29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35">
      <c r="A35" s="29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35">
      <c r="A36" s="29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35">
      <c r="A37" s="29"/>
      <c r="B37" s="11" t="str">
        <f>CONCATENATE("          ", "6009", " - ", "TEMPORARY-SEASONAL")</f>
        <v xml:space="preserve">          6009 - TEMPORARY-SEASONAL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35">
      <c r="A38" s="29"/>
      <c r="B38" s="11" t="str">
        <f>CONCATENATE("          ", "6010", " - ", "GRATUITY")</f>
        <v xml:space="preserve">          6010 - GRATUITY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8" customFormat="1" outlineLevel="1" collapsed="1" x14ac:dyDescent="0.35">
      <c r="A39" s="27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SUM(OSRRefD22_2x_0)</f>
        <v>0</v>
      </c>
      <c r="E39" s="1"/>
      <c r="F39" s="5">
        <f t="shared" ref="F39:F43" si="16">IF(D$12=0,0,D39/D$12)</f>
        <v>0</v>
      </c>
      <c r="G39" s="1"/>
      <c r="H39" s="1">
        <f>SUM(OSRRefH22_2x_0)</f>
        <v>0</v>
      </c>
      <c r="I39" s="1"/>
      <c r="J39" s="5">
        <f t="shared" ref="J39:J43" si="17">IF(H$12=0,0,H39/H$12)</f>
        <v>0</v>
      </c>
      <c r="K39" s="1"/>
      <c r="L39" s="1">
        <f t="shared" ref="L39:L43" si="18">+D39-H39</f>
        <v>0</v>
      </c>
      <c r="M39" s="1"/>
      <c r="N39" s="5">
        <f t="shared" ref="N39:N43" si="19">IF(H39=0,0,L39/H39)</f>
        <v>0</v>
      </c>
      <c r="O39" s="14"/>
      <c r="P39" s="1">
        <f>SUM(OSRRefP22_2x_0)</f>
        <v>0</v>
      </c>
      <c r="Q39" s="1"/>
      <c r="R39" s="5">
        <f t="shared" ref="R39:R43" si="20">IF(P$12=0,0,P39/P$12)</f>
        <v>0</v>
      </c>
      <c r="S39" s="1"/>
      <c r="T39" s="1">
        <f>SUM(OSRRefT22_2x_0)</f>
        <v>3000</v>
      </c>
      <c r="U39" s="1"/>
      <c r="V39" s="5">
        <f t="shared" ref="V39:V43" si="21">IF(T$12=0,0,T39/T$12)</f>
        <v>0</v>
      </c>
      <c r="W39" s="1"/>
      <c r="X39" s="1">
        <f t="shared" ref="X39:X43" si="22">+P39-T39</f>
        <v>-3000</v>
      </c>
      <c r="Y39" s="1"/>
      <c r="Z39" s="5">
        <f t="shared" ref="Z39:Z43" si="23">IF(T39=0,0,X39/T39)</f>
        <v>-1</v>
      </c>
    </row>
    <row r="40" spans="1:26" s="24" customFormat="1" hidden="1" outlineLevel="2" x14ac:dyDescent="0.35">
      <c r="A40" s="29"/>
      <c r="B40" s="11" t="str">
        <f>CONCATENATE("          ", "6279", " - ", "GENERAL EXPENSE")</f>
        <v xml:space="preserve">          6279 - GENERAL EXPENSE</v>
      </c>
      <c r="C40" s="11"/>
      <c r="D40" s="7"/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/>
      <c r="Q40" s="2"/>
      <c r="R40" s="6">
        <f t="shared" si="20"/>
        <v>0</v>
      </c>
      <c r="S40" s="2"/>
      <c r="T40" s="7">
        <v>3000</v>
      </c>
      <c r="U40" s="2"/>
      <c r="V40" s="6">
        <f t="shared" si="21"/>
        <v>0</v>
      </c>
      <c r="W40" s="2"/>
      <c r="X40" s="7">
        <f t="shared" si="22"/>
        <v>-3000</v>
      </c>
      <c r="Y40" s="2"/>
      <c r="Z40" s="6">
        <f t="shared" si="23"/>
        <v>-1</v>
      </c>
    </row>
    <row r="41" spans="1:26" s="28" customFormat="1" outlineLevel="1" collapsed="1" x14ac:dyDescent="0.35">
      <c r="A41" s="27"/>
      <c r="B41" s="14" t="str">
        <f>CONCATENATE("     ","Services                                          ")</f>
        <v xml:space="preserve">     Services                                          </v>
      </c>
      <c r="C41" s="14"/>
      <c r="D41" s="1">
        <f>SUM(OSRRefD22_3x_0)</f>
        <v>0</v>
      </c>
      <c r="E41" s="1"/>
      <c r="F41" s="5">
        <f t="shared" si="16"/>
        <v>0</v>
      </c>
      <c r="G41" s="1"/>
      <c r="H41" s="1">
        <f>SUM(OSRRefH22_3x_0)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4"/>
      <c r="P41" s="1">
        <f>SUM(OSRRefP22_3x_0)</f>
        <v>0</v>
      </c>
      <c r="Q41" s="1"/>
      <c r="R41" s="5">
        <f t="shared" si="20"/>
        <v>0</v>
      </c>
      <c r="S41" s="1"/>
      <c r="T41" s="1">
        <f>SUM(OSRRefT22_3x_0)</f>
        <v>0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35">
      <c r="A42" s="29"/>
      <c r="B42" s="11" t="str">
        <f>CONCATENATE("          ", "6282", " - ", "JANITORIAL/EXTERMINATOR EXPENS")</f>
        <v xml:space="preserve">          6282 - JANITORIAL/EXTERMINATOR EXPENS</v>
      </c>
      <c r="C42" s="11"/>
      <c r="D42" s="7"/>
      <c r="E42" s="2"/>
      <c r="F42" s="6">
        <f t="shared" si="16"/>
        <v>0</v>
      </c>
      <c r="G42" s="2"/>
      <c r="H42" s="7">
        <v>0</v>
      </c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/>
      <c r="Q42" s="2"/>
      <c r="R42" s="6">
        <f t="shared" si="20"/>
        <v>0</v>
      </c>
      <c r="S42" s="2"/>
      <c r="T42" s="7">
        <v>0</v>
      </c>
      <c r="U42" s="2"/>
      <c r="V42" s="6">
        <f t="shared" si="21"/>
        <v>0</v>
      </c>
      <c r="W42" s="2"/>
      <c r="X42" s="7">
        <f t="shared" si="22"/>
        <v>0</v>
      </c>
      <c r="Y42" s="2"/>
      <c r="Z42" s="6">
        <f t="shared" si="23"/>
        <v>0</v>
      </c>
    </row>
    <row r="43" spans="1:26" s="24" customFormat="1" hidden="1" outlineLevel="2" x14ac:dyDescent="0.35">
      <c r="A43" s="29"/>
      <c r="B43" s="11" t="str">
        <f>CONCATENATE("          ", "6285", " - ", "JANITORIAL SERVICES")</f>
        <v xml:space="preserve">          6285 - JANITORIAL SERVICES</v>
      </c>
      <c r="C43" s="11"/>
      <c r="D43" s="7"/>
      <c r="E43" s="2"/>
      <c r="F43" s="6">
        <f t="shared" si="16"/>
        <v>0</v>
      </c>
      <c r="G43" s="2"/>
      <c r="H43" s="7">
        <v>0</v>
      </c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/>
      <c r="Q43" s="2"/>
      <c r="R43" s="6">
        <f t="shared" si="20"/>
        <v>0</v>
      </c>
      <c r="S43" s="2"/>
      <c r="T43" s="7">
        <v>0</v>
      </c>
      <c r="U43" s="2"/>
      <c r="V43" s="6">
        <f t="shared" si="21"/>
        <v>0</v>
      </c>
      <c r="W43" s="2"/>
      <c r="X43" s="7">
        <f t="shared" si="22"/>
        <v>0</v>
      </c>
      <c r="Y43" s="2"/>
      <c r="Z43" s="6">
        <f t="shared" si="23"/>
        <v>0</v>
      </c>
    </row>
    <row r="44" spans="1:26" s="28" customFormat="1" outlineLevel="1" collapsed="1" x14ac:dyDescent="0.35">
      <c r="A44" s="27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SUM(OSRRefD22_4x_0)</f>
        <v>36.26</v>
      </c>
      <c r="E44" s="1"/>
      <c r="F44" s="5">
        <f t="shared" ref="F44:F49" si="24">IF(D$12=0,0,D44/D$12)</f>
        <v>0</v>
      </c>
      <c r="G44" s="1"/>
      <c r="H44" s="1">
        <f>SUM(OSRRefH22_4x_0)</f>
        <v>25</v>
      </c>
      <c r="I44" s="1"/>
      <c r="J44" s="5">
        <f t="shared" ref="J44:J49" si="25">IF(H$12=0,0,H44/H$12)</f>
        <v>0</v>
      </c>
      <c r="K44" s="1"/>
      <c r="L44" s="1">
        <f t="shared" ref="L44:L49" si="26">+D44-H44</f>
        <v>11.259999999999998</v>
      </c>
      <c r="M44" s="1"/>
      <c r="N44" s="5">
        <f t="shared" ref="N44:N49" si="27">IF(H44=0,0,L44/H44)</f>
        <v>0.45039999999999991</v>
      </c>
      <c r="O44" s="14"/>
      <c r="P44" s="1">
        <f>SUM(OSRRefP22_4x_0)</f>
        <v>-14.54</v>
      </c>
      <c r="Q44" s="1"/>
      <c r="R44" s="5">
        <f t="shared" ref="R44:R49" si="28">IF(P$12=0,0,P44/P$12)</f>
        <v>0</v>
      </c>
      <c r="S44" s="1"/>
      <c r="T44" s="1">
        <f>SUM(OSRRefT22_4x_0)</f>
        <v>175</v>
      </c>
      <c r="U44" s="1"/>
      <c r="V44" s="5">
        <f t="shared" ref="V44:V49" si="29">IF(T$12=0,0,T44/T$12)</f>
        <v>0</v>
      </c>
      <c r="W44" s="1"/>
      <c r="X44" s="1">
        <f t="shared" ref="X44:X49" si="30">+P44-T44</f>
        <v>-189.54</v>
      </c>
      <c r="Y44" s="1"/>
      <c r="Z44" s="5">
        <f t="shared" ref="Z44:Z49" si="31">IF(T44=0,0,X44/T44)</f>
        <v>-1.0830857142857142</v>
      </c>
    </row>
    <row r="45" spans="1:26" s="24" customFormat="1" hidden="1" outlineLevel="2" x14ac:dyDescent="0.35">
      <c r="A45" s="29"/>
      <c r="B45" s="11" t="str">
        <f>CONCATENATE("          ", "6241", " - ", "OFFICE EXPENSE")</f>
        <v xml:space="preserve">          6241 - OFFICE EXPENSE</v>
      </c>
      <c r="C45" s="11"/>
      <c r="D45" s="7">
        <v>36.26</v>
      </c>
      <c r="E45" s="2"/>
      <c r="F45" s="6">
        <f t="shared" si="24"/>
        <v>0</v>
      </c>
      <c r="G45" s="2"/>
      <c r="H45" s="7">
        <v>25</v>
      </c>
      <c r="I45" s="2"/>
      <c r="J45" s="6">
        <f t="shared" si="25"/>
        <v>0</v>
      </c>
      <c r="K45" s="2"/>
      <c r="L45" s="7">
        <f t="shared" si="26"/>
        <v>11.259999999999998</v>
      </c>
      <c r="M45" s="2"/>
      <c r="N45" s="6">
        <f t="shared" si="27"/>
        <v>0.45039999999999991</v>
      </c>
      <c r="O45" s="11"/>
      <c r="P45" s="7">
        <v>-14.54</v>
      </c>
      <c r="Q45" s="2"/>
      <c r="R45" s="6">
        <f t="shared" si="28"/>
        <v>0</v>
      </c>
      <c r="S45" s="2"/>
      <c r="T45" s="7">
        <v>175</v>
      </c>
      <c r="U45" s="2"/>
      <c r="V45" s="6">
        <f t="shared" si="29"/>
        <v>0</v>
      </c>
      <c r="W45" s="2"/>
      <c r="X45" s="7">
        <f t="shared" si="30"/>
        <v>-189.54</v>
      </c>
      <c r="Y45" s="2"/>
      <c r="Z45" s="6">
        <f t="shared" si="31"/>
        <v>-1.0830857142857142</v>
      </c>
    </row>
    <row r="46" spans="1:26" s="28" customFormat="1" outlineLevel="1" collapsed="1" x14ac:dyDescent="0.35">
      <c r="A46" s="27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SUM(OSRRefD22_5x_0)</f>
        <v>-114</v>
      </c>
      <c r="E46" s="1"/>
      <c r="F46" s="5">
        <f t="shared" si="24"/>
        <v>0</v>
      </c>
      <c r="G46" s="1"/>
      <c r="H46" s="1">
        <f>SUM(OSRRefH22_5x_0)</f>
        <v>50</v>
      </c>
      <c r="I46" s="1"/>
      <c r="J46" s="5">
        <f t="shared" si="25"/>
        <v>0</v>
      </c>
      <c r="K46" s="1"/>
      <c r="L46" s="1">
        <f t="shared" si="26"/>
        <v>-164</v>
      </c>
      <c r="M46" s="1"/>
      <c r="N46" s="5">
        <f t="shared" si="27"/>
        <v>-3.28</v>
      </c>
      <c r="O46" s="14"/>
      <c r="P46" s="1">
        <f>SUM(OSRRefP22_5x_0)</f>
        <v>591</v>
      </c>
      <c r="Q46" s="1"/>
      <c r="R46" s="5">
        <f t="shared" si="28"/>
        <v>0</v>
      </c>
      <c r="S46" s="1"/>
      <c r="T46" s="1">
        <f>SUM(OSRRefT22_5x_0)</f>
        <v>650</v>
      </c>
      <c r="U46" s="1"/>
      <c r="V46" s="5">
        <f t="shared" si="29"/>
        <v>0</v>
      </c>
      <c r="W46" s="1"/>
      <c r="X46" s="1">
        <f t="shared" si="30"/>
        <v>-59</v>
      </c>
      <c r="Y46" s="1"/>
      <c r="Z46" s="5">
        <f t="shared" si="31"/>
        <v>-9.0769230769230769E-2</v>
      </c>
    </row>
    <row r="47" spans="1:26" s="24" customFormat="1" hidden="1" outlineLevel="2" x14ac:dyDescent="0.35">
      <c r="A47" s="29"/>
      <c r="B47" s="11" t="str">
        <f>CONCATENATE("          ", "6309", " - ", "TELEPHONE")</f>
        <v xml:space="preserve">          6309 - TELEPHONE</v>
      </c>
      <c r="C47" s="11"/>
      <c r="D47" s="7">
        <v>-114</v>
      </c>
      <c r="E47" s="2"/>
      <c r="F47" s="6">
        <f t="shared" si="24"/>
        <v>0</v>
      </c>
      <c r="G47" s="2"/>
      <c r="H47" s="7">
        <v>50</v>
      </c>
      <c r="I47" s="2"/>
      <c r="J47" s="6">
        <f t="shared" si="25"/>
        <v>0</v>
      </c>
      <c r="K47" s="2"/>
      <c r="L47" s="7">
        <f t="shared" si="26"/>
        <v>-164</v>
      </c>
      <c r="M47" s="2"/>
      <c r="N47" s="6">
        <f t="shared" si="27"/>
        <v>-3.28</v>
      </c>
      <c r="O47" s="11"/>
      <c r="P47" s="7">
        <v>591</v>
      </c>
      <c r="Q47" s="2"/>
      <c r="R47" s="6">
        <f t="shared" si="28"/>
        <v>0</v>
      </c>
      <c r="S47" s="2"/>
      <c r="T47" s="7">
        <v>650</v>
      </c>
      <c r="U47" s="2"/>
      <c r="V47" s="6">
        <f t="shared" si="29"/>
        <v>0</v>
      </c>
      <c r="W47" s="2"/>
      <c r="X47" s="7">
        <f t="shared" si="30"/>
        <v>-59</v>
      </c>
      <c r="Y47" s="2"/>
      <c r="Z47" s="6">
        <f t="shared" si="31"/>
        <v>-9.0769230769230769E-2</v>
      </c>
    </row>
    <row r="48" spans="1:26" s="28" customFormat="1" outlineLevel="1" collapsed="1" x14ac:dyDescent="0.35">
      <c r="A48" s="27"/>
      <c r="B48" s="14" t="str">
        <f>CONCATENATE("     ","Utilities                                         ")</f>
        <v xml:space="preserve">     Utilities                                         </v>
      </c>
      <c r="C48" s="14"/>
      <c r="D48" s="1">
        <f>SUM(OSRRefD22_6x_0)</f>
        <v>0</v>
      </c>
      <c r="E48" s="1"/>
      <c r="F48" s="5">
        <f t="shared" si="24"/>
        <v>0</v>
      </c>
      <c r="G48" s="1"/>
      <c r="H48" s="1">
        <f>SUM(OSRRefH22_6x_0)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4"/>
      <c r="P48" s="1">
        <f>SUM(OSRRefP22_6x_0)</f>
        <v>0</v>
      </c>
      <c r="Q48" s="1"/>
      <c r="R48" s="5">
        <f t="shared" si="28"/>
        <v>0</v>
      </c>
      <c r="S48" s="1"/>
      <c r="T48" s="1">
        <f>SUM(OSRRefT22_6x_0)</f>
        <v>0</v>
      </c>
      <c r="U48" s="1"/>
      <c r="V48" s="5">
        <f t="shared" si="29"/>
        <v>0</v>
      </c>
      <c r="W48" s="1"/>
      <c r="X48" s="1">
        <f t="shared" si="30"/>
        <v>0</v>
      </c>
      <c r="Y48" s="1"/>
      <c r="Z48" s="5">
        <f t="shared" si="31"/>
        <v>0</v>
      </c>
    </row>
    <row r="49" spans="1:26" s="24" customFormat="1" hidden="1" outlineLevel="2" x14ac:dyDescent="0.35">
      <c r="A49" s="29"/>
      <c r="B49" s="11" t="str">
        <f>CONCATENATE("          ", "6274", " - ", "UTILITIES")</f>
        <v xml:space="preserve">          6274 - UTILITIES</v>
      </c>
      <c r="C49" s="11"/>
      <c r="D49" s="7"/>
      <c r="E49" s="2"/>
      <c r="F49" s="6">
        <f t="shared" si="24"/>
        <v>0</v>
      </c>
      <c r="G49" s="2"/>
      <c r="H49" s="7">
        <v>0</v>
      </c>
      <c r="I49" s="2"/>
      <c r="J49" s="6">
        <f t="shared" si="25"/>
        <v>0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/>
      <c r="Q49" s="2"/>
      <c r="R49" s="6">
        <f t="shared" si="28"/>
        <v>0</v>
      </c>
      <c r="S49" s="2"/>
      <c r="T49" s="7">
        <v>0</v>
      </c>
      <c r="U49" s="2"/>
      <c r="V49" s="6">
        <f t="shared" si="29"/>
        <v>0</v>
      </c>
      <c r="W49" s="2"/>
      <c r="X49" s="7">
        <f t="shared" si="30"/>
        <v>0</v>
      </c>
      <c r="Y49" s="2"/>
      <c r="Z49" s="6">
        <f t="shared" si="31"/>
        <v>0</v>
      </c>
    </row>
    <row r="50" spans="1:26" s="55" customFormat="1" x14ac:dyDescent="0.35">
      <c r="A50" s="36"/>
      <c r="B50" s="36"/>
      <c r="C50" s="36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6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collapsed="1" x14ac:dyDescent="0.35">
      <c r="A51" s="10"/>
      <c r="B51" s="25" t="s">
        <v>0</v>
      </c>
      <c r="C51" s="10"/>
      <c r="D51" s="4">
        <f>SUM(OSRRefD25x_0)</f>
        <v>0</v>
      </c>
      <c r="E51" s="4"/>
      <c r="F51" s="12">
        <f t="shared" ref="F51:F54" si="32">IF(D$12=0,0,D51/D$12)</f>
        <v>0</v>
      </c>
      <c r="G51" s="4"/>
      <c r="H51" s="4">
        <f>SUM(OSRRefH25x_0)</f>
        <v>6822</v>
      </c>
      <c r="I51" s="4"/>
      <c r="J51" s="12">
        <f t="shared" ref="J51:J54" si="33">IF(H$12=0,0,H51/H$12)</f>
        <v>0</v>
      </c>
      <c r="K51" s="4"/>
      <c r="L51" s="4">
        <f t="shared" ref="L51:L54" si="34">+D51-H51</f>
        <v>-6822</v>
      </c>
      <c r="M51" s="4"/>
      <c r="N51" s="12">
        <f t="shared" ref="N51:N54" si="35">IF(H51=0,0,L51/H51)</f>
        <v>-1</v>
      </c>
      <c r="O51" s="10"/>
      <c r="P51" s="4">
        <f>SUM(OSRRefP25x_0)</f>
        <v>0</v>
      </c>
      <c r="Q51" s="4"/>
      <c r="R51" s="12">
        <f t="shared" ref="R51:R54" si="36">IF(P$12=0,0,P51/P$12)</f>
        <v>0</v>
      </c>
      <c r="S51" s="4"/>
      <c r="T51" s="4">
        <f>SUM(OSRRefT25x_0)</f>
        <v>34225</v>
      </c>
      <c r="U51" s="4"/>
      <c r="V51" s="12">
        <f t="shared" ref="V51:V54" si="37">IF(T$12=0,0,T51/T$12)</f>
        <v>0</v>
      </c>
      <c r="W51" s="4"/>
      <c r="X51" s="4">
        <f t="shared" ref="X51:X54" si="38">+P51-T51</f>
        <v>-34225</v>
      </c>
      <c r="Y51" s="4"/>
      <c r="Z51" s="12">
        <f t="shared" ref="Z51:Z54" si="39">IF(T51=0,0,X51/T51)</f>
        <v>-1</v>
      </c>
    </row>
    <row r="52" spans="1:26" s="24" customFormat="1" hidden="1" outlineLevel="1" x14ac:dyDescent="0.35">
      <c r="A52" s="51"/>
      <c r="B52" s="11" t="str">
        <f>CONCATENATE("          ", "9150", " - ", "MISC. INCOME")</f>
        <v xml:space="preserve">          9150 - MISC. INCOME</v>
      </c>
      <c r="C52" s="11"/>
      <c r="D52" s="2">
        <f t="shared" ref="D52:D54" si="40">0</f>
        <v>0</v>
      </c>
      <c r="E52" s="2"/>
      <c r="F52" s="22">
        <f t="shared" si="32"/>
        <v>0</v>
      </c>
      <c r="G52" s="2"/>
      <c r="H52" s="2">
        <v>2142</v>
      </c>
      <c r="I52" s="2"/>
      <c r="J52" s="22">
        <f t="shared" si="33"/>
        <v>0</v>
      </c>
      <c r="K52" s="2"/>
      <c r="L52" s="2">
        <f t="shared" si="34"/>
        <v>-2142</v>
      </c>
      <c r="M52" s="2"/>
      <c r="N52" s="22">
        <f t="shared" si="35"/>
        <v>-1</v>
      </c>
      <c r="O52" s="11"/>
      <c r="P52" s="2">
        <f t="shared" ref="P52:P54" si="41">0</f>
        <v>0</v>
      </c>
      <c r="Q52" s="2"/>
      <c r="R52" s="22">
        <f t="shared" si="36"/>
        <v>0</v>
      </c>
      <c r="S52" s="2"/>
      <c r="T52" s="2">
        <v>13492</v>
      </c>
      <c r="U52" s="2"/>
      <c r="V52" s="22">
        <f t="shared" si="37"/>
        <v>0</v>
      </c>
      <c r="W52" s="2"/>
      <c r="X52" s="2">
        <f t="shared" si="38"/>
        <v>-13492</v>
      </c>
      <c r="Y52" s="2"/>
      <c r="Z52" s="22">
        <f t="shared" si="39"/>
        <v>-1</v>
      </c>
    </row>
    <row r="53" spans="1:26" s="24" customFormat="1" hidden="1" outlineLevel="1" x14ac:dyDescent="0.35">
      <c r="A53" s="51"/>
      <c r="B53" s="11" t="str">
        <f>CONCATENATE("          ", "9151", " - ", "MISC. INCOME")</f>
        <v xml:space="preserve">          9151 - MISC. INCOME</v>
      </c>
      <c r="C53" s="11"/>
      <c r="D53" s="2">
        <f t="shared" si="40"/>
        <v>0</v>
      </c>
      <c r="E53" s="2"/>
      <c r="F53" s="22">
        <f t="shared" si="32"/>
        <v>0</v>
      </c>
      <c r="G53" s="2"/>
      <c r="H53" s="2">
        <v>2657</v>
      </c>
      <c r="I53" s="2"/>
      <c r="J53" s="22">
        <f t="shared" si="33"/>
        <v>0</v>
      </c>
      <c r="K53" s="2"/>
      <c r="L53" s="2">
        <f t="shared" si="34"/>
        <v>-2657</v>
      </c>
      <c r="M53" s="2"/>
      <c r="N53" s="22">
        <f t="shared" si="35"/>
        <v>-1</v>
      </c>
      <c r="O53" s="11"/>
      <c r="P53" s="2">
        <f t="shared" si="41"/>
        <v>0</v>
      </c>
      <c r="Q53" s="2"/>
      <c r="R53" s="22">
        <f t="shared" si="36"/>
        <v>0</v>
      </c>
      <c r="S53" s="2"/>
      <c r="T53" s="2">
        <v>13787</v>
      </c>
      <c r="U53" s="2"/>
      <c r="V53" s="22">
        <f t="shared" si="37"/>
        <v>0</v>
      </c>
      <c r="W53" s="2"/>
      <c r="X53" s="2">
        <f t="shared" si="38"/>
        <v>-13787</v>
      </c>
      <c r="Y53" s="2"/>
      <c r="Z53" s="22">
        <f t="shared" si="39"/>
        <v>-1</v>
      </c>
    </row>
    <row r="54" spans="1:26" s="24" customFormat="1" hidden="1" outlineLevel="1" x14ac:dyDescent="0.35">
      <c r="A54" s="51"/>
      <c r="B54" s="11" t="str">
        <f>CONCATENATE("          ", "9160", " - ", "MISC. INCOME")</f>
        <v xml:space="preserve">          9160 - MISC. INCOME</v>
      </c>
      <c r="C54" s="11"/>
      <c r="D54" s="2">
        <f t="shared" si="40"/>
        <v>0</v>
      </c>
      <c r="E54" s="2"/>
      <c r="F54" s="22">
        <f t="shared" si="32"/>
        <v>0</v>
      </c>
      <c r="G54" s="2"/>
      <c r="H54" s="2">
        <v>2023</v>
      </c>
      <c r="I54" s="2"/>
      <c r="J54" s="22">
        <f t="shared" si="33"/>
        <v>0</v>
      </c>
      <c r="K54" s="2"/>
      <c r="L54" s="2">
        <f t="shared" si="34"/>
        <v>-2023</v>
      </c>
      <c r="M54" s="2"/>
      <c r="N54" s="22">
        <f t="shared" si="35"/>
        <v>-1</v>
      </c>
      <c r="O54" s="11"/>
      <c r="P54" s="2">
        <f t="shared" si="41"/>
        <v>0</v>
      </c>
      <c r="Q54" s="2"/>
      <c r="R54" s="22">
        <f t="shared" si="36"/>
        <v>0</v>
      </c>
      <c r="S54" s="2"/>
      <c r="T54" s="2">
        <v>6946</v>
      </c>
      <c r="U54" s="2"/>
      <c r="V54" s="22">
        <f t="shared" si="37"/>
        <v>0</v>
      </c>
      <c r="W54" s="2"/>
      <c r="X54" s="2">
        <f t="shared" si="38"/>
        <v>-6946</v>
      </c>
      <c r="Y54" s="2"/>
      <c r="Z54" s="22">
        <f t="shared" si="39"/>
        <v>-1</v>
      </c>
    </row>
    <row r="55" spans="1:26" x14ac:dyDescent="0.3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35">
      <c r="A56" s="10"/>
      <c r="B56" s="26" t="s">
        <v>3</v>
      </c>
      <c r="C56" s="26"/>
      <c r="D56" s="19">
        <f>+D16-D18+D51</f>
        <v>77.740000000000009</v>
      </c>
      <c r="E56" s="13"/>
      <c r="F56" s="21">
        <f>IF(D$12=0,0,D56/D$12)</f>
        <v>0</v>
      </c>
      <c r="G56" s="13"/>
      <c r="H56" s="19">
        <f>+H16-H18+H51</f>
        <v>-10805.026634615377</v>
      </c>
      <c r="I56" s="13"/>
      <c r="J56" s="21">
        <f>IF(H$12=0,0,H56/H$12)</f>
        <v>0</v>
      </c>
      <c r="K56" s="16"/>
      <c r="L56" s="19">
        <f>+D56-H56</f>
        <v>10882.766634615376</v>
      </c>
      <c r="M56" s="16"/>
      <c r="N56" s="21">
        <f>IF(H56=0,0,L56/H56)</f>
        <v>-1.0071947994788786</v>
      </c>
      <c r="O56" s="25"/>
      <c r="P56" s="19">
        <f>+P16-P18+P51</f>
        <v>-3055.19</v>
      </c>
      <c r="Q56" s="13"/>
      <c r="R56" s="21">
        <f>IF(P$12=0,0,P56/P$12)</f>
        <v>0</v>
      </c>
      <c r="S56" s="13"/>
      <c r="T56" s="19">
        <f>+T16-T18+T51</f>
        <v>-79530.565134615375</v>
      </c>
      <c r="U56" s="13"/>
      <c r="V56" s="21">
        <f>IF(T$12=0,0,T56/T$12)</f>
        <v>0</v>
      </c>
      <c r="W56" s="16"/>
      <c r="X56" s="19">
        <f>+P56-T56</f>
        <v>76475.375134615373</v>
      </c>
      <c r="Y56" s="16"/>
      <c r="Z56" s="21">
        <f>IF(T56=0,0,X56/T56)</f>
        <v>-0.96158470652347672</v>
      </c>
    </row>
    <row r="57" spans="1:26" x14ac:dyDescent="0.35">
      <c r="A57" s="9"/>
      <c r="B57" s="10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35">
      <c r="A58" s="52"/>
      <c r="B58" s="10" t="s">
        <v>14</v>
      </c>
      <c r="C58" s="10"/>
      <c r="D58" s="4"/>
      <c r="E58" s="4"/>
      <c r="F58" s="12">
        <f>IF(D$12=0,0,D58/D$12)</f>
        <v>0</v>
      </c>
      <c r="G58" s="4"/>
      <c r="H58" s="4"/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/>
      <c r="Q58" s="4"/>
      <c r="R58" s="12">
        <f>IF(P$12=0,0,P58/P$12)</f>
        <v>0</v>
      </c>
      <c r="S58" s="4"/>
      <c r="T58" s="4"/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3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" thickBot="1" x14ac:dyDescent="0.4">
      <c r="A60" s="10"/>
      <c r="B60" s="26" t="s">
        <v>4</v>
      </c>
      <c r="C60" s="26"/>
      <c r="D60" s="33">
        <f>+D56-D58</f>
        <v>77.740000000000009</v>
      </c>
      <c r="E60" s="13"/>
      <c r="F60" s="31">
        <f>IF(D$12=0,0,D60/D$12)</f>
        <v>0</v>
      </c>
      <c r="G60" s="13"/>
      <c r="H60" s="33">
        <f>+H56-H58</f>
        <v>-10805.026634615377</v>
      </c>
      <c r="I60" s="13"/>
      <c r="J60" s="31">
        <f>IF(H$12=0,0,H60/H$12)</f>
        <v>0</v>
      </c>
      <c r="K60" s="16"/>
      <c r="L60" s="33">
        <f>D60-H60</f>
        <v>10882.766634615376</v>
      </c>
      <c r="M60" s="16"/>
      <c r="N60" s="31">
        <f>IF(H60=0,0,L60/H60)</f>
        <v>-1.0071947994788786</v>
      </c>
      <c r="O60" s="25"/>
      <c r="P60" s="33">
        <f>+P56-P58</f>
        <v>-3055.19</v>
      </c>
      <c r="Q60" s="13"/>
      <c r="R60" s="31">
        <f>IF(P$12=0,0,P60/P$12)</f>
        <v>0</v>
      </c>
      <c r="S60" s="13"/>
      <c r="T60" s="33">
        <f>+T56-T58</f>
        <v>-79530.565134615375</v>
      </c>
      <c r="U60" s="13"/>
      <c r="V60" s="31">
        <f>IF(T$12=0,0,T60/T$12)</f>
        <v>0</v>
      </c>
      <c r="W60" s="16"/>
      <c r="X60" s="33">
        <f>P60-T60</f>
        <v>76475.375134615373</v>
      </c>
      <c r="Y60" s="16"/>
      <c r="Z60" s="31">
        <f>IF(T60=0,0,X60/T60)</f>
        <v>-0.96158470652347672</v>
      </c>
    </row>
    <row r="61" spans="1:26" ht="15" thickTop="1" x14ac:dyDescent="0.3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x14ac:dyDescent="0.35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" thickBot="1" x14ac:dyDescent="0.4">
      <c r="A63" s="10"/>
      <c r="B63" s="26" t="s">
        <v>5</v>
      </c>
      <c r="C63" s="26"/>
      <c r="D63" s="34">
        <f>SUM(D60:D62)</f>
        <v>77.740000000000009</v>
      </c>
      <c r="E63" s="13"/>
      <c r="F63" s="32">
        <f>IF(D$12=0,0,D63/D$12)</f>
        <v>0</v>
      </c>
      <c r="G63" s="13"/>
      <c r="H63" s="34">
        <f>SUM(H60:H62)</f>
        <v>-10805.026634615377</v>
      </c>
      <c r="I63" s="13"/>
      <c r="J63" s="32">
        <f>IF(H$12=0,0,H63/H$12)</f>
        <v>0</v>
      </c>
      <c r="K63" s="16"/>
      <c r="L63" s="34">
        <f>+D63-H63</f>
        <v>10882.766634615376</v>
      </c>
      <c r="M63" s="16"/>
      <c r="N63" s="32">
        <f>IF(H63=0,0,L63/H63)</f>
        <v>-1.0071947994788786</v>
      </c>
      <c r="O63" s="25"/>
      <c r="P63" s="34">
        <f>SUM(P60:P62)</f>
        <v>-3055.19</v>
      </c>
      <c r="Q63" s="13"/>
      <c r="R63" s="32">
        <f>IF(P$12=0,0,P63/P$12)</f>
        <v>0</v>
      </c>
      <c r="S63" s="13"/>
      <c r="T63" s="34">
        <f>SUM(T60:T62)</f>
        <v>-79530.565134615375</v>
      </c>
      <c r="U63" s="13"/>
      <c r="V63" s="32">
        <f>IF(T$12=0,0,T63/T$12)</f>
        <v>0</v>
      </c>
      <c r="W63" s="16"/>
      <c r="X63" s="34">
        <f>+P63-T63</f>
        <v>76475.375134615373</v>
      </c>
      <c r="Y63" s="16"/>
      <c r="Z63" s="32">
        <f>IF(T63=0,0,X63/T63)</f>
        <v>-0.96158470652347672</v>
      </c>
    </row>
    <row r="64" spans="1:26" ht="15" thickTop="1" x14ac:dyDescent="0.35">
      <c r="A64" s="9"/>
      <c r="C64" s="9"/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1:24" x14ac:dyDescent="0.35">
      <c r="A65" s="9"/>
      <c r="B65" s="60">
        <v>44238.490795254627</v>
      </c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35">
      <c r="A66" s="9"/>
      <c r="B66" s="59" t="s">
        <v>314</v>
      </c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4" x14ac:dyDescent="0.35">
      <c r="A67" s="9"/>
      <c r="B67" s="58"/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4" x14ac:dyDescent="0.35"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","424", " - ", "Blair Field")</f>
        <v>Department 424 - Blair Field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6" t="s">
        <v>6</v>
      </c>
      <c r="C16" s="26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6"/>
      <c r="L16" s="19">
        <f>+D16-H16</f>
        <v>0</v>
      </c>
      <c r="M16" s="16"/>
      <c r="N16" s="21">
        <f>IF(H16=0,0,L16/H16)</f>
        <v>0</v>
      </c>
      <c r="O16" s="25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6"/>
      <c r="X16" s="19">
        <f>+P16-T16</f>
        <v>0</v>
      </c>
      <c r="Y16" s="16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5" t="s">
        <v>9</v>
      </c>
      <c r="C18" s="10"/>
      <c r="D18" s="20">
        <f>SUM(OSRRefD22x_0)</f>
        <v>479.29</v>
      </c>
      <c r="E18" s="20"/>
      <c r="F18" s="30">
        <f t="shared" ref="F18:F26" si="0">IF(D$12=0,0,D18/D$12)</f>
        <v>0</v>
      </c>
      <c r="G18" s="20"/>
      <c r="H18" s="20">
        <f>SUM(OSRRefH22x_0)</f>
        <v>479</v>
      </c>
      <c r="I18" s="20"/>
      <c r="J18" s="30">
        <f t="shared" ref="J18:J26" si="1">IF(H$12=0,0,H18/H$12)</f>
        <v>0</v>
      </c>
      <c r="K18" s="4"/>
      <c r="L18" s="20">
        <f t="shared" ref="L18:L26" si="2">+D18-H18</f>
        <v>0.29000000000002046</v>
      </c>
      <c r="M18" s="4"/>
      <c r="N18" s="30">
        <f t="shared" ref="N18:N26" si="3">IF(H18=0,0,L18/H18)</f>
        <v>6.054279749478506E-4</v>
      </c>
      <c r="O18" s="10"/>
      <c r="P18" s="20">
        <f>SUM(OSRRefP22x_0)</f>
        <v>4259.88</v>
      </c>
      <c r="Q18" s="20"/>
      <c r="R18" s="30">
        <f t="shared" ref="R18:R26" si="4">IF(P$12=0,0,P18/P$12)</f>
        <v>0</v>
      </c>
      <c r="S18" s="20"/>
      <c r="T18" s="20">
        <f>SUM(OSRRefT22x_0)</f>
        <v>3353</v>
      </c>
      <c r="U18" s="20"/>
      <c r="V18" s="30">
        <f t="shared" ref="V18:V26" si="5">IF(T$12=0,0,T18/T$12)</f>
        <v>0</v>
      </c>
      <c r="W18" s="4"/>
      <c r="X18" s="20">
        <f t="shared" ref="X18:X26" si="6">+P18-T18</f>
        <v>906.88000000000011</v>
      </c>
      <c r="Y18" s="4"/>
      <c r="Z18" s="30">
        <f t="shared" ref="Z18:Z26" si="7">IF(T18=0,0,X18/T18)</f>
        <v>0.27046823739934389</v>
      </c>
    </row>
    <row r="19" spans="1:26" s="28" customFormat="1" outlineLevel="1" collapsed="1" x14ac:dyDescent="0.35">
      <c r="A19" s="27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</v>
      </c>
      <c r="I19" s="1"/>
      <c r="J19" s="5">
        <f t="shared" si="1"/>
        <v>0</v>
      </c>
      <c r="K19" s="1"/>
      <c r="L19" s="1">
        <f t="shared" si="2"/>
        <v>0.29000000000002046</v>
      </c>
      <c r="M19" s="1"/>
      <c r="N19" s="5">
        <f t="shared" si="3"/>
        <v>6.054279749478506E-4</v>
      </c>
      <c r="O19" s="14"/>
      <c r="P19" s="1">
        <f>SUM(OSRRefP22_0x_0)</f>
        <v>3355.03</v>
      </c>
      <c r="Q19" s="1"/>
      <c r="R19" s="5">
        <f t="shared" si="4"/>
        <v>0</v>
      </c>
      <c r="S19" s="1"/>
      <c r="T19" s="1">
        <f>SUM(OSRRefT22_0x_0)</f>
        <v>3353</v>
      </c>
      <c r="U19" s="1"/>
      <c r="V19" s="5">
        <f t="shared" si="5"/>
        <v>0</v>
      </c>
      <c r="W19" s="1"/>
      <c r="X19" s="1">
        <f t="shared" si="6"/>
        <v>2.0300000000002001</v>
      </c>
      <c r="Y19" s="1"/>
      <c r="Z19" s="5">
        <f t="shared" si="7"/>
        <v>6.0542797494786763E-4</v>
      </c>
    </row>
    <row r="20" spans="1:26" s="24" customFormat="1" hidden="1" outlineLevel="2" x14ac:dyDescent="0.35">
      <c r="A20" s="29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479.29</v>
      </c>
      <c r="E20" s="2"/>
      <c r="F20" s="6">
        <f t="shared" si="0"/>
        <v>0</v>
      </c>
      <c r="G20" s="2"/>
      <c r="H20" s="7">
        <v>479</v>
      </c>
      <c r="I20" s="2"/>
      <c r="J20" s="6">
        <f t="shared" si="1"/>
        <v>0</v>
      </c>
      <c r="K20" s="2"/>
      <c r="L20" s="7">
        <f t="shared" si="2"/>
        <v>0.29000000000002046</v>
      </c>
      <c r="M20" s="2"/>
      <c r="N20" s="6">
        <f t="shared" si="3"/>
        <v>6.054279749478506E-4</v>
      </c>
      <c r="O20" s="11"/>
      <c r="P20" s="7">
        <v>3355.03</v>
      </c>
      <c r="Q20" s="2"/>
      <c r="R20" s="6">
        <f t="shared" si="4"/>
        <v>0</v>
      </c>
      <c r="S20" s="2"/>
      <c r="T20" s="7">
        <v>3353</v>
      </c>
      <c r="U20" s="2"/>
      <c r="V20" s="6">
        <f t="shared" si="5"/>
        <v>0</v>
      </c>
      <c r="W20" s="2"/>
      <c r="X20" s="7">
        <f t="shared" si="6"/>
        <v>2.0300000000002001</v>
      </c>
      <c r="Y20" s="2"/>
      <c r="Z20" s="6">
        <f t="shared" si="7"/>
        <v>6.0542797494786763E-4</v>
      </c>
    </row>
    <row r="21" spans="1:26" s="28" customFormat="1" outlineLevel="1" collapsed="1" x14ac:dyDescent="0.35">
      <c r="A21" s="27"/>
      <c r="B21" s="14" t="str">
        <f>CONCATENATE("     ","General                                           ")</f>
        <v xml:space="preserve">     General 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523.54999999999995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523.54999999999995</v>
      </c>
      <c r="Y21" s="1"/>
      <c r="Z21" s="5">
        <f t="shared" si="7"/>
        <v>0</v>
      </c>
    </row>
    <row r="22" spans="1:26" s="24" customFormat="1" hidden="1" outlineLevel="2" x14ac:dyDescent="0.35">
      <c r="A22" s="29"/>
      <c r="B22" s="11" t="str">
        <f>CONCATENATE("          ", "6279", " - ", "GENERAL EXPENSE")</f>
        <v xml:space="preserve">          6279 - GENERAL EXPENSE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>
        <v>523.54999999999995</v>
      </c>
      <c r="Q22" s="2"/>
      <c r="R22" s="6">
        <f t="shared" si="4"/>
        <v>0</v>
      </c>
      <c r="S22" s="2"/>
      <c r="T22" s="7"/>
      <c r="U22" s="2"/>
      <c r="V22" s="6">
        <f t="shared" si="5"/>
        <v>0</v>
      </c>
      <c r="W22" s="2"/>
      <c r="X22" s="7">
        <f t="shared" si="6"/>
        <v>523.54999999999995</v>
      </c>
      <c r="Y22" s="2"/>
      <c r="Z22" s="6">
        <f t="shared" si="7"/>
        <v>0</v>
      </c>
    </row>
    <row r="23" spans="1:26" s="28" customFormat="1" outlineLevel="1" collapsed="1" x14ac:dyDescent="0.35">
      <c r="A23" s="27"/>
      <c r="B23" s="14" t="str">
        <f>CONCATENATE("     ","Repair and Maintenance                            ")</f>
        <v xml:space="preserve">     Repair and Maintenance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154.33000000000001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154.33000000000001</v>
      </c>
      <c r="Y23" s="1"/>
      <c r="Z23" s="5">
        <f t="shared" si="7"/>
        <v>0</v>
      </c>
    </row>
    <row r="24" spans="1:26" s="24" customFormat="1" hidden="1" outlineLevel="2" x14ac:dyDescent="0.35">
      <c r="A24" s="29"/>
      <c r="B24" s="11" t="str">
        <f>CONCATENATE("          ", "6373", " - ", "MAINTENANCE CONTRACTS")</f>
        <v xml:space="preserve">          6373 - MAINTENANCE CONTRACTS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154.33000000000001</v>
      </c>
      <c r="Q24" s="2"/>
      <c r="R24" s="6">
        <f t="shared" si="4"/>
        <v>0</v>
      </c>
      <c r="S24" s="2"/>
      <c r="T24" s="7"/>
      <c r="U24" s="2"/>
      <c r="V24" s="6">
        <f t="shared" si="5"/>
        <v>0</v>
      </c>
      <c r="W24" s="2"/>
      <c r="X24" s="7">
        <f t="shared" si="6"/>
        <v>154.33000000000001</v>
      </c>
      <c r="Y24" s="2"/>
      <c r="Z24" s="6">
        <f t="shared" si="7"/>
        <v>0</v>
      </c>
    </row>
    <row r="25" spans="1:26" s="28" customFormat="1" outlineLevel="1" collapsed="1" x14ac:dyDescent="0.35">
      <c r="A25" s="27"/>
      <c r="B25" s="14" t="str">
        <f>CONCATENATE("     ","Telephone/Data Lines                              ")</f>
        <v xml:space="preserve">     Telephone/Data Lines 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226.97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226.97</v>
      </c>
      <c r="Y25" s="1"/>
      <c r="Z25" s="5">
        <f t="shared" si="7"/>
        <v>0</v>
      </c>
    </row>
    <row r="26" spans="1:26" s="24" customFormat="1" hidden="1" outlineLevel="2" x14ac:dyDescent="0.35">
      <c r="A26" s="29"/>
      <c r="B26" s="11" t="str">
        <f>CONCATENATE("          ", "6309", " - ", "TELEPHONE")</f>
        <v xml:space="preserve">          6309 - TELEPHONE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226.97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226.97</v>
      </c>
      <c r="Y26" s="2"/>
      <c r="Z26" s="6">
        <f t="shared" si="7"/>
        <v>0</v>
      </c>
    </row>
    <row r="27" spans="1:26" s="55" customFormat="1" x14ac:dyDescent="0.35">
      <c r="A27" s="36"/>
      <c r="B27" s="36"/>
      <c r="C27" s="36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35">
      <c r="A28" s="10"/>
      <c r="B28" s="25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5">
      <c r="A30" s="10"/>
      <c r="B30" s="26" t="s">
        <v>3</v>
      </c>
      <c r="C30" s="26"/>
      <c r="D30" s="19">
        <f>+D16-D18+D28</f>
        <v>-479.29</v>
      </c>
      <c r="E30" s="13"/>
      <c r="F30" s="21">
        <f>IF(D$12=0,0,D30/D$12)</f>
        <v>0</v>
      </c>
      <c r="G30" s="13"/>
      <c r="H30" s="19">
        <f>+H16-H18+H28</f>
        <v>-479</v>
      </c>
      <c r="I30" s="13"/>
      <c r="J30" s="21">
        <f>IF(H$12=0,0,H30/H$12)</f>
        <v>0</v>
      </c>
      <c r="K30" s="16"/>
      <c r="L30" s="19">
        <f>+D30-H30</f>
        <v>-0.29000000000002046</v>
      </c>
      <c r="M30" s="16"/>
      <c r="N30" s="21">
        <f>IF(H30=0,0,L30/H30)</f>
        <v>6.054279749478506E-4</v>
      </c>
      <c r="O30" s="25"/>
      <c r="P30" s="19">
        <f>+P16-P18+P28</f>
        <v>-4259.88</v>
      </c>
      <c r="Q30" s="13"/>
      <c r="R30" s="21">
        <f>IF(P$12=0,0,P30/P$12)</f>
        <v>0</v>
      </c>
      <c r="S30" s="13"/>
      <c r="T30" s="19">
        <f>+T16-T18+T28</f>
        <v>-3353</v>
      </c>
      <c r="U30" s="13"/>
      <c r="V30" s="21">
        <f>IF(T$12=0,0,T30/T$12)</f>
        <v>0</v>
      </c>
      <c r="W30" s="16"/>
      <c r="X30" s="19">
        <f>+P30-T30</f>
        <v>-906.88000000000011</v>
      </c>
      <c r="Y30" s="16"/>
      <c r="Z30" s="21">
        <f>IF(T30=0,0,X30/T30)</f>
        <v>0.27046823739934389</v>
      </c>
    </row>
    <row r="31" spans="1:26" x14ac:dyDescent="0.3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35">
      <c r="A32" s="52"/>
      <c r="B32" s="10" t="s">
        <v>14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3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" thickBot="1" x14ac:dyDescent="0.4">
      <c r="A34" s="10"/>
      <c r="B34" s="26" t="s">
        <v>4</v>
      </c>
      <c r="C34" s="26"/>
      <c r="D34" s="33">
        <f>+D30-D32</f>
        <v>-479.29</v>
      </c>
      <c r="E34" s="13"/>
      <c r="F34" s="31">
        <f>IF(D$12=0,0,D34/D$12)</f>
        <v>0</v>
      </c>
      <c r="G34" s="13"/>
      <c r="H34" s="33">
        <f>+H30-H32</f>
        <v>-479</v>
      </c>
      <c r="I34" s="13"/>
      <c r="J34" s="31">
        <f>IF(H$12=0,0,H34/H$12)</f>
        <v>0</v>
      </c>
      <c r="K34" s="16"/>
      <c r="L34" s="33">
        <f>D34-H34</f>
        <v>-0.29000000000002046</v>
      </c>
      <c r="M34" s="16"/>
      <c r="N34" s="31">
        <f>IF(H34=0,0,L34/H34)</f>
        <v>6.054279749478506E-4</v>
      </c>
      <c r="O34" s="25"/>
      <c r="P34" s="33">
        <f>+P30-P32</f>
        <v>-4259.88</v>
      </c>
      <c r="Q34" s="13"/>
      <c r="R34" s="31">
        <f>IF(P$12=0,0,P34/P$12)</f>
        <v>0</v>
      </c>
      <c r="S34" s="13"/>
      <c r="T34" s="33">
        <f>+T30-T32</f>
        <v>-3353</v>
      </c>
      <c r="U34" s="13"/>
      <c r="V34" s="31">
        <f>IF(T$12=0,0,T34/T$12)</f>
        <v>0</v>
      </c>
      <c r="W34" s="16"/>
      <c r="X34" s="33">
        <f>P34-T34</f>
        <v>-906.88000000000011</v>
      </c>
      <c r="Y34" s="16"/>
      <c r="Z34" s="31">
        <f>IF(T34=0,0,X34/T34)</f>
        <v>0.27046823739934389</v>
      </c>
    </row>
    <row r="35" spans="1:26" ht="15" thickTop="1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3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" thickBot="1" x14ac:dyDescent="0.4">
      <c r="A37" s="10"/>
      <c r="B37" s="26" t="s">
        <v>5</v>
      </c>
      <c r="C37" s="26"/>
      <c r="D37" s="34">
        <f>SUM(D34:D36)</f>
        <v>-479.29</v>
      </c>
      <c r="E37" s="13"/>
      <c r="F37" s="32">
        <f>IF(D$12=0,0,D37/D$12)</f>
        <v>0</v>
      </c>
      <c r="G37" s="13"/>
      <c r="H37" s="34">
        <f>SUM(H34:H36)</f>
        <v>-479</v>
      </c>
      <c r="I37" s="13"/>
      <c r="J37" s="32">
        <f>IF(H$12=0,0,H37/H$12)</f>
        <v>0</v>
      </c>
      <c r="K37" s="16"/>
      <c r="L37" s="34">
        <f>+D37-H37</f>
        <v>-0.29000000000002046</v>
      </c>
      <c r="M37" s="16"/>
      <c r="N37" s="32">
        <f>IF(H37=0,0,L37/H37)</f>
        <v>6.054279749478506E-4</v>
      </c>
      <c r="O37" s="25"/>
      <c r="P37" s="34">
        <f>SUM(P34:P36)</f>
        <v>-4259.88</v>
      </c>
      <c r="Q37" s="13"/>
      <c r="R37" s="32">
        <f>IF(P$12=0,0,P37/P$12)</f>
        <v>0</v>
      </c>
      <c r="S37" s="13"/>
      <c r="T37" s="34">
        <f>SUM(T34:T36)</f>
        <v>-3353</v>
      </c>
      <c r="U37" s="13"/>
      <c r="V37" s="32">
        <f>IF(T$12=0,0,T37/T$12)</f>
        <v>0</v>
      </c>
      <c r="W37" s="16"/>
      <c r="X37" s="34">
        <f>+P37-T37</f>
        <v>-906.88000000000011</v>
      </c>
      <c r="Y37" s="16"/>
      <c r="Z37" s="32">
        <f>IF(T37=0,0,X37/T37)</f>
        <v>0.27046823739934389</v>
      </c>
    </row>
    <row r="38" spans="1:26" ht="15" thickTop="1" x14ac:dyDescent="0.35">
      <c r="A38" s="9"/>
      <c r="C38" s="9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60">
        <v>44238.490807256945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9" t="s">
        <v>314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A41" s="9"/>
      <c r="B41" s="58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35"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","425", " - ", "Events Center")</f>
        <v>Department 425 - Events Center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6" t="s">
        <v>6</v>
      </c>
      <c r="C16" s="26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6"/>
      <c r="L16" s="19">
        <f>+D16-H16</f>
        <v>0</v>
      </c>
      <c r="M16" s="16"/>
      <c r="N16" s="21">
        <f>IF(H16=0,0,L16/H16)</f>
        <v>0</v>
      </c>
      <c r="O16" s="25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6"/>
      <c r="X16" s="19">
        <f>+P16-T16</f>
        <v>0</v>
      </c>
      <c r="Y16" s="16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5" t="s">
        <v>9</v>
      </c>
      <c r="C18" s="10"/>
      <c r="D18" s="20">
        <f>SUM(OSRRefD22x_0)</f>
        <v>1000.91</v>
      </c>
      <c r="E18" s="20"/>
      <c r="F18" s="30">
        <f t="shared" ref="F18:F24" si="0">IF(D$12=0,0,D18/D$12)</f>
        <v>0</v>
      </c>
      <c r="G18" s="20"/>
      <c r="H18" s="20">
        <f>SUM(OSRRefH22x_0)</f>
        <v>1001</v>
      </c>
      <c r="I18" s="20"/>
      <c r="J18" s="30">
        <f t="shared" ref="J18:J24" si="1">IF(H$12=0,0,H18/H$12)</f>
        <v>0</v>
      </c>
      <c r="K18" s="4"/>
      <c r="L18" s="20">
        <f t="shared" ref="L18:L24" si="2">+D18-H18</f>
        <v>-9.0000000000031832E-2</v>
      </c>
      <c r="M18" s="4"/>
      <c r="N18" s="30">
        <f t="shared" ref="N18:N24" si="3">IF(H18=0,0,L18/H18)</f>
        <v>-8.9910089910121704E-5</v>
      </c>
      <c r="O18" s="10"/>
      <c r="P18" s="20">
        <f>SUM(OSRRefP22x_0)</f>
        <v>10635.05</v>
      </c>
      <c r="Q18" s="20"/>
      <c r="R18" s="30">
        <f t="shared" ref="R18:R24" si="4">IF(P$12=0,0,P18/P$12)</f>
        <v>0</v>
      </c>
      <c r="S18" s="20"/>
      <c r="T18" s="20">
        <f>SUM(OSRRefT22x_0)</f>
        <v>7007</v>
      </c>
      <c r="U18" s="20"/>
      <c r="V18" s="30">
        <f t="shared" ref="V18:V24" si="5">IF(T$12=0,0,T18/T$12)</f>
        <v>0</v>
      </c>
      <c r="W18" s="4"/>
      <c r="X18" s="20">
        <f t="shared" ref="X18:X24" si="6">+P18-T18</f>
        <v>3628.0499999999993</v>
      </c>
      <c r="Y18" s="4"/>
      <c r="Z18" s="30">
        <f t="shared" ref="Z18:Z24" si="7">IF(T18=0,0,X18/T18)</f>
        <v>0.51777508206079625</v>
      </c>
    </row>
    <row r="19" spans="1:26" s="28" customFormat="1" outlineLevel="1" collapsed="1" x14ac:dyDescent="0.3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1420.5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1420.5</v>
      </c>
      <c r="Y19" s="1"/>
      <c r="Z19" s="5">
        <f t="shared" si="7"/>
        <v>0</v>
      </c>
    </row>
    <row r="20" spans="1:26" s="24" customFormat="1" hidden="1" outlineLevel="2" x14ac:dyDescent="0.35">
      <c r="A20" s="29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171.54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171.54</v>
      </c>
      <c r="Y20" s="2"/>
      <c r="Z20" s="6">
        <f t="shared" si="7"/>
        <v>0</v>
      </c>
    </row>
    <row r="21" spans="1:26" s="24" customFormat="1" hidden="1" outlineLevel="2" x14ac:dyDescent="0.35">
      <c r="A21" s="29"/>
      <c r="B21" s="11" t="str">
        <f>CONCATENATE("          ", "6113", " - ", "GROUP INSURANCE")</f>
        <v xml:space="preserve">          6113 - GROUP INSURANCE</v>
      </c>
      <c r="C21" s="11"/>
      <c r="D21" s="7"/>
      <c r="E21" s="2"/>
      <c r="F21" s="6">
        <f t="shared" si="0"/>
        <v>0</v>
      </c>
      <c r="G21" s="2"/>
      <c r="H21" s="7"/>
      <c r="I21" s="2"/>
      <c r="J21" s="6">
        <f t="shared" si="1"/>
        <v>0</v>
      </c>
      <c r="K21" s="2"/>
      <c r="L21" s="7">
        <f t="shared" si="2"/>
        <v>0</v>
      </c>
      <c r="M21" s="2"/>
      <c r="N21" s="6">
        <f t="shared" si="3"/>
        <v>0</v>
      </c>
      <c r="O21" s="11"/>
      <c r="P21" s="7">
        <v>699.3</v>
      </c>
      <c r="Q21" s="2"/>
      <c r="R21" s="6">
        <f t="shared" si="4"/>
        <v>0</v>
      </c>
      <c r="S21" s="2"/>
      <c r="T21" s="7"/>
      <c r="U21" s="2"/>
      <c r="V21" s="6">
        <f t="shared" si="5"/>
        <v>0</v>
      </c>
      <c r="W21" s="2"/>
      <c r="X21" s="7">
        <f t="shared" si="6"/>
        <v>699.3</v>
      </c>
      <c r="Y21" s="2"/>
      <c r="Z21" s="6">
        <f t="shared" si="7"/>
        <v>0</v>
      </c>
    </row>
    <row r="22" spans="1:26" s="24" customFormat="1" hidden="1" outlineLevel="2" x14ac:dyDescent="0.35">
      <c r="A22" s="29"/>
      <c r="B22" s="11" t="str">
        <f>CONCATENATE("          ", "6115", " - ", "P.E.R.S.")</f>
        <v xml:space="preserve">          6115 - P.E.R.S.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>
        <v>355.22</v>
      </c>
      <c r="Q22" s="2"/>
      <c r="R22" s="6">
        <f t="shared" si="4"/>
        <v>0</v>
      </c>
      <c r="S22" s="2"/>
      <c r="T22" s="7"/>
      <c r="U22" s="2"/>
      <c r="V22" s="6">
        <f t="shared" si="5"/>
        <v>0</v>
      </c>
      <c r="W22" s="2"/>
      <c r="X22" s="7">
        <f t="shared" si="6"/>
        <v>355.22</v>
      </c>
      <c r="Y22" s="2"/>
      <c r="Z22" s="6">
        <f t="shared" si="7"/>
        <v>0</v>
      </c>
    </row>
    <row r="23" spans="1:26" s="24" customFormat="1" hidden="1" outlineLevel="2" x14ac:dyDescent="0.35">
      <c r="A23" s="29"/>
      <c r="B23" s="11" t="str">
        <f>CONCATENATE("          ", "6118", " - ", "VACATION")</f>
        <v xml:space="preserve">          6118 - VACATION</v>
      </c>
      <c r="C23" s="11"/>
      <c r="D23" s="7"/>
      <c r="E23" s="2"/>
      <c r="F23" s="6">
        <f t="shared" si="0"/>
        <v>0</v>
      </c>
      <c r="G23" s="2"/>
      <c r="H23" s="7"/>
      <c r="I23" s="2"/>
      <c r="J23" s="6">
        <f t="shared" si="1"/>
        <v>0</v>
      </c>
      <c r="K23" s="2"/>
      <c r="L23" s="7">
        <f t="shared" si="2"/>
        <v>0</v>
      </c>
      <c r="M23" s="2"/>
      <c r="N23" s="6">
        <f t="shared" si="3"/>
        <v>0</v>
      </c>
      <c r="O23" s="11"/>
      <c r="P23" s="7">
        <v>88.46</v>
      </c>
      <c r="Q23" s="2"/>
      <c r="R23" s="6">
        <f t="shared" si="4"/>
        <v>0</v>
      </c>
      <c r="S23" s="2"/>
      <c r="T23" s="7"/>
      <c r="U23" s="2"/>
      <c r="V23" s="6">
        <f t="shared" si="5"/>
        <v>0</v>
      </c>
      <c r="W23" s="2"/>
      <c r="X23" s="7">
        <f t="shared" si="6"/>
        <v>88.46</v>
      </c>
      <c r="Y23" s="2"/>
      <c r="Z23" s="6">
        <f t="shared" si="7"/>
        <v>0</v>
      </c>
    </row>
    <row r="24" spans="1:26" s="24" customFormat="1" hidden="1" outlineLevel="2" x14ac:dyDescent="0.35">
      <c r="A24" s="29"/>
      <c r="B24" s="11" t="str">
        <f>CONCATENATE("          ", "6119", " - ", "SICK LEAVE")</f>
        <v xml:space="preserve">          6119 - SICK LEAVE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105.98</v>
      </c>
      <c r="Q24" s="2"/>
      <c r="R24" s="6">
        <f t="shared" si="4"/>
        <v>0</v>
      </c>
      <c r="S24" s="2"/>
      <c r="T24" s="7"/>
      <c r="U24" s="2"/>
      <c r="V24" s="6">
        <f t="shared" si="5"/>
        <v>0</v>
      </c>
      <c r="W24" s="2"/>
      <c r="X24" s="7">
        <f t="shared" si="6"/>
        <v>105.98</v>
      </c>
      <c r="Y24" s="2"/>
      <c r="Z24" s="6">
        <f t="shared" si="7"/>
        <v>0</v>
      </c>
    </row>
    <row r="25" spans="1:26" s="28" customFormat="1" outlineLevel="1" collapsed="1" x14ac:dyDescent="0.35">
      <c r="A25" s="27"/>
      <c r="B25" s="14" t="str">
        <f>CONCATENATE("     ","*Payroll                                          ")</f>
        <v xml:space="preserve">     *Payroll                                          </v>
      </c>
      <c r="C25" s="14"/>
      <c r="D25" s="1">
        <f>SUM(OSRRefD22_1x_0)</f>
        <v>0</v>
      </c>
      <c r="E25" s="1"/>
      <c r="F25" s="5">
        <f t="shared" ref="F25:F33" si="8">IF(D$12=0,0,D25/D$12)</f>
        <v>0</v>
      </c>
      <c r="G25" s="1"/>
      <c r="H25" s="1">
        <f>SUM(OSRRefH22_1x_0)</f>
        <v>0</v>
      </c>
      <c r="I25" s="1"/>
      <c r="J25" s="5">
        <f t="shared" ref="J25:J33" si="9">IF(H$12=0,0,H25/H$12)</f>
        <v>0</v>
      </c>
      <c r="K25" s="1"/>
      <c r="L25" s="1">
        <f t="shared" ref="L25:L33" si="10">+D25-H25</f>
        <v>0</v>
      </c>
      <c r="M25" s="1"/>
      <c r="N25" s="5">
        <f t="shared" ref="N25:N33" si="11">IF(H25=0,0,L25/H25)</f>
        <v>0</v>
      </c>
      <c r="O25" s="14"/>
      <c r="P25" s="1">
        <f>SUM(OSRRefP22_1x_0)</f>
        <v>1378.61</v>
      </c>
      <c r="Q25" s="1"/>
      <c r="R25" s="5">
        <f t="shared" ref="R25:R33" si="12">IF(P$12=0,0,P25/P$12)</f>
        <v>0</v>
      </c>
      <c r="S25" s="1"/>
      <c r="T25" s="1">
        <f>SUM(OSRRefT22_1x_0)</f>
        <v>0</v>
      </c>
      <c r="U25" s="1"/>
      <c r="V25" s="5">
        <f t="shared" ref="V25:V33" si="13">IF(T$12=0,0,T25/T$12)</f>
        <v>0</v>
      </c>
      <c r="W25" s="1"/>
      <c r="X25" s="1">
        <f t="shared" ref="X25:X33" si="14">+P25-T25</f>
        <v>1378.61</v>
      </c>
      <c r="Y25" s="1"/>
      <c r="Z25" s="5">
        <f t="shared" ref="Z25:Z33" si="15">IF(T25=0,0,X25/T25)</f>
        <v>0</v>
      </c>
    </row>
    <row r="26" spans="1:26" s="24" customFormat="1" hidden="1" outlineLevel="2" x14ac:dyDescent="0.35">
      <c r="A26" s="29"/>
      <c r="B26" s="11" t="str">
        <f>CONCATENATE("          ", "6002", " - ", "STAFF SALARIES")</f>
        <v xml:space="preserve">          6002 - STAFF SALARIES</v>
      </c>
      <c r="C26" s="11"/>
      <c r="D26" s="7"/>
      <c r="E26" s="2"/>
      <c r="F26" s="6">
        <f t="shared" si="8"/>
        <v>0</v>
      </c>
      <c r="G26" s="2"/>
      <c r="H26" s="7"/>
      <c r="I26" s="2"/>
      <c r="J26" s="6">
        <f t="shared" si="9"/>
        <v>0</v>
      </c>
      <c r="K26" s="2"/>
      <c r="L26" s="7">
        <f t="shared" si="10"/>
        <v>0</v>
      </c>
      <c r="M26" s="2"/>
      <c r="N26" s="6">
        <f t="shared" si="11"/>
        <v>0</v>
      </c>
      <c r="O26" s="11"/>
      <c r="P26" s="7">
        <v>1378.61</v>
      </c>
      <c r="Q26" s="2"/>
      <c r="R26" s="6">
        <f t="shared" si="12"/>
        <v>0</v>
      </c>
      <c r="S26" s="2"/>
      <c r="T26" s="7"/>
      <c r="U26" s="2"/>
      <c r="V26" s="6">
        <f t="shared" si="13"/>
        <v>0</v>
      </c>
      <c r="W26" s="2"/>
      <c r="X26" s="7">
        <f t="shared" si="14"/>
        <v>1378.61</v>
      </c>
      <c r="Y26" s="2"/>
      <c r="Z26" s="6">
        <f t="shared" si="15"/>
        <v>0</v>
      </c>
    </row>
    <row r="27" spans="1:26" s="28" customFormat="1" outlineLevel="1" collapsed="1" x14ac:dyDescent="0.35">
      <c r="A27" s="27"/>
      <c r="B27" s="14" t="str">
        <f>CONCATENATE("     ","Depreciation                                      ")</f>
        <v xml:space="preserve">     Depreciation                                      </v>
      </c>
      <c r="C27" s="14"/>
      <c r="D27" s="1">
        <f>SUM(OSRRefD22_2x_0)</f>
        <v>1000.91</v>
      </c>
      <c r="E27" s="1"/>
      <c r="F27" s="5">
        <f t="shared" si="8"/>
        <v>0</v>
      </c>
      <c r="G27" s="1"/>
      <c r="H27" s="1">
        <f>SUM(OSRRefH22_2x_0)</f>
        <v>1001</v>
      </c>
      <c r="I27" s="1"/>
      <c r="J27" s="5">
        <f t="shared" si="9"/>
        <v>0</v>
      </c>
      <c r="K27" s="1"/>
      <c r="L27" s="1">
        <f t="shared" si="10"/>
        <v>-9.0000000000031832E-2</v>
      </c>
      <c r="M27" s="1"/>
      <c r="N27" s="5">
        <f t="shared" si="11"/>
        <v>-8.9910089910121704E-5</v>
      </c>
      <c r="O27" s="14"/>
      <c r="P27" s="1">
        <f>SUM(OSRRefP22_2x_0)</f>
        <v>7006.37</v>
      </c>
      <c r="Q27" s="1"/>
      <c r="R27" s="5">
        <f t="shared" si="12"/>
        <v>0</v>
      </c>
      <c r="S27" s="1"/>
      <c r="T27" s="1">
        <f>SUM(OSRRefT22_2x_0)</f>
        <v>7007</v>
      </c>
      <c r="U27" s="1"/>
      <c r="V27" s="5">
        <f t="shared" si="13"/>
        <v>0</v>
      </c>
      <c r="W27" s="1"/>
      <c r="X27" s="1">
        <f t="shared" si="14"/>
        <v>-0.63000000000010914</v>
      </c>
      <c r="Y27" s="1"/>
      <c r="Z27" s="5">
        <f t="shared" si="15"/>
        <v>-8.9910089910105482E-5</v>
      </c>
    </row>
    <row r="28" spans="1:26" s="24" customFormat="1" hidden="1" outlineLevel="2" x14ac:dyDescent="0.35">
      <c r="A28" s="29"/>
      <c r="B28" s="11" t="str">
        <f>CONCATENATE("          ", "6322", " - ", "EQUIPMENT DEPRECIATION EXPENSE")</f>
        <v xml:space="preserve">          6322 - EQUIPMENT DEPRECIATION EXPENSE</v>
      </c>
      <c r="C28" s="11"/>
      <c r="D28" s="7">
        <v>1000.91</v>
      </c>
      <c r="E28" s="2"/>
      <c r="F28" s="6">
        <f t="shared" si="8"/>
        <v>0</v>
      </c>
      <c r="G28" s="2"/>
      <c r="H28" s="7">
        <v>1001</v>
      </c>
      <c r="I28" s="2"/>
      <c r="J28" s="6">
        <f t="shared" si="9"/>
        <v>0</v>
      </c>
      <c r="K28" s="2"/>
      <c r="L28" s="7">
        <f t="shared" si="10"/>
        <v>-9.0000000000031832E-2</v>
      </c>
      <c r="M28" s="2"/>
      <c r="N28" s="6">
        <f t="shared" si="11"/>
        <v>-8.9910089910121704E-5</v>
      </c>
      <c r="O28" s="11"/>
      <c r="P28" s="7">
        <v>7006.37</v>
      </c>
      <c r="Q28" s="2"/>
      <c r="R28" s="6">
        <f t="shared" si="12"/>
        <v>0</v>
      </c>
      <c r="S28" s="2"/>
      <c r="T28" s="7">
        <v>7007</v>
      </c>
      <c r="U28" s="2"/>
      <c r="V28" s="6">
        <f t="shared" si="13"/>
        <v>0</v>
      </c>
      <c r="W28" s="2"/>
      <c r="X28" s="7">
        <f t="shared" si="14"/>
        <v>-0.63000000000010914</v>
      </c>
      <c r="Y28" s="2"/>
      <c r="Z28" s="6">
        <f t="shared" si="15"/>
        <v>-8.9910089910105482E-5</v>
      </c>
    </row>
    <row r="29" spans="1:26" s="28" customFormat="1" outlineLevel="1" collapsed="1" x14ac:dyDescent="0.35">
      <c r="A29" s="27"/>
      <c r="B29" s="14" t="str">
        <f>CONCATENATE("     ","General                                           ")</f>
        <v xml:space="preserve">     General                                           </v>
      </c>
      <c r="C29" s="14"/>
      <c r="D29" s="1">
        <f>SUM(OSRRefD22_3x_0)</f>
        <v>0</v>
      </c>
      <c r="E29" s="1"/>
      <c r="F29" s="5">
        <f t="shared" si="8"/>
        <v>0</v>
      </c>
      <c r="G29" s="1"/>
      <c r="H29" s="1">
        <f>SUM(OSRRefH22_3x_0)</f>
        <v>0</v>
      </c>
      <c r="I29" s="1"/>
      <c r="J29" s="5">
        <f t="shared" si="9"/>
        <v>0</v>
      </c>
      <c r="K29" s="1"/>
      <c r="L29" s="1">
        <f t="shared" si="10"/>
        <v>0</v>
      </c>
      <c r="M29" s="1"/>
      <c r="N29" s="5">
        <f t="shared" si="11"/>
        <v>0</v>
      </c>
      <c r="O29" s="14"/>
      <c r="P29" s="1">
        <f>SUM(OSRRefP22_3x_0)</f>
        <v>455</v>
      </c>
      <c r="Q29" s="1"/>
      <c r="R29" s="5">
        <f t="shared" si="12"/>
        <v>0</v>
      </c>
      <c r="S29" s="1"/>
      <c r="T29" s="1">
        <f>SUM(OSRRefT22_3x_0)</f>
        <v>0</v>
      </c>
      <c r="U29" s="1"/>
      <c r="V29" s="5">
        <f t="shared" si="13"/>
        <v>0</v>
      </c>
      <c r="W29" s="1"/>
      <c r="X29" s="1">
        <f t="shared" si="14"/>
        <v>455</v>
      </c>
      <c r="Y29" s="1"/>
      <c r="Z29" s="5">
        <f t="shared" si="15"/>
        <v>0</v>
      </c>
    </row>
    <row r="30" spans="1:26" s="24" customFormat="1" hidden="1" outlineLevel="2" x14ac:dyDescent="0.35">
      <c r="A30" s="29"/>
      <c r="B30" s="11" t="str">
        <f>CONCATENATE("          ", "6279", " - ", "GENERAL EXPENSE")</f>
        <v xml:space="preserve">          6279 - GENERAL EXPENSE</v>
      </c>
      <c r="C30" s="11"/>
      <c r="D30" s="7"/>
      <c r="E30" s="2"/>
      <c r="F30" s="6">
        <f t="shared" si="8"/>
        <v>0</v>
      </c>
      <c r="G30" s="2"/>
      <c r="H30" s="7"/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>
        <v>455</v>
      </c>
      <c r="Q30" s="2"/>
      <c r="R30" s="6">
        <f t="shared" si="12"/>
        <v>0</v>
      </c>
      <c r="S30" s="2"/>
      <c r="T30" s="7"/>
      <c r="U30" s="2"/>
      <c r="V30" s="6">
        <f t="shared" si="13"/>
        <v>0</v>
      </c>
      <c r="W30" s="2"/>
      <c r="X30" s="7">
        <f t="shared" si="14"/>
        <v>455</v>
      </c>
      <c r="Y30" s="2"/>
      <c r="Z30" s="6">
        <f t="shared" si="15"/>
        <v>0</v>
      </c>
    </row>
    <row r="31" spans="1:26" s="28" customFormat="1" outlineLevel="1" collapsed="1" x14ac:dyDescent="0.35">
      <c r="A31" s="27"/>
      <c r="B31" s="14" t="str">
        <f>CONCATENATE("     ","Repair and Maintenance                            ")</f>
        <v xml:space="preserve">     Repair and Maintenance                            </v>
      </c>
      <c r="C31" s="14"/>
      <c r="D31" s="1">
        <f>SUM(OSRRefD22_4x_0)</f>
        <v>0</v>
      </c>
      <c r="E31" s="1"/>
      <c r="F31" s="5">
        <f t="shared" si="8"/>
        <v>0</v>
      </c>
      <c r="G31" s="1"/>
      <c r="H31" s="1">
        <f>SUM(OSRRefH22_4x_0)</f>
        <v>0</v>
      </c>
      <c r="I31" s="1"/>
      <c r="J31" s="5">
        <f t="shared" si="9"/>
        <v>0</v>
      </c>
      <c r="K31" s="1"/>
      <c r="L31" s="1">
        <f t="shared" si="10"/>
        <v>0</v>
      </c>
      <c r="M31" s="1"/>
      <c r="N31" s="5">
        <f t="shared" si="11"/>
        <v>0</v>
      </c>
      <c r="O31" s="14"/>
      <c r="P31" s="1">
        <f>SUM(OSRRefP22_4x_0)</f>
        <v>242.03</v>
      </c>
      <c r="Q31" s="1"/>
      <c r="R31" s="5">
        <f t="shared" si="12"/>
        <v>0</v>
      </c>
      <c r="S31" s="1"/>
      <c r="T31" s="1">
        <f>SUM(OSRRefT22_4x_0)</f>
        <v>0</v>
      </c>
      <c r="U31" s="1"/>
      <c r="V31" s="5">
        <f t="shared" si="13"/>
        <v>0</v>
      </c>
      <c r="W31" s="1"/>
      <c r="X31" s="1">
        <f t="shared" si="14"/>
        <v>242.03</v>
      </c>
      <c r="Y31" s="1"/>
      <c r="Z31" s="5">
        <f t="shared" si="15"/>
        <v>0</v>
      </c>
    </row>
    <row r="32" spans="1:26" s="24" customFormat="1" hidden="1" outlineLevel="2" x14ac:dyDescent="0.35">
      <c r="A32" s="29"/>
      <c r="B32" s="11" t="str">
        <f>CONCATENATE("          ", "6373", " - ", "MAINTENANCE CONTRACTS")</f>
        <v xml:space="preserve">          6373 - MAINTENANCE CONTRACTS</v>
      </c>
      <c r="C32" s="11"/>
      <c r="D32" s="7"/>
      <c r="E32" s="2"/>
      <c r="F32" s="6">
        <f t="shared" si="8"/>
        <v>0</v>
      </c>
      <c r="G32" s="2"/>
      <c r="H32" s="7"/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>
        <v>235.8</v>
      </c>
      <c r="Q32" s="2"/>
      <c r="R32" s="6">
        <f t="shared" si="12"/>
        <v>0</v>
      </c>
      <c r="S32" s="2"/>
      <c r="T32" s="7"/>
      <c r="U32" s="2"/>
      <c r="V32" s="6">
        <f t="shared" si="13"/>
        <v>0</v>
      </c>
      <c r="W32" s="2"/>
      <c r="X32" s="7">
        <f t="shared" si="14"/>
        <v>235.8</v>
      </c>
      <c r="Y32" s="2"/>
      <c r="Z32" s="6">
        <f t="shared" si="15"/>
        <v>0</v>
      </c>
    </row>
    <row r="33" spans="1:26" s="24" customFormat="1" hidden="1" outlineLevel="2" x14ac:dyDescent="0.35">
      <c r="A33" s="29"/>
      <c r="B33" s="11" t="str">
        <f>CONCATENATE("          ", "6375", " - ", "OUTSIDE REPAIRS &amp; MAINTENANCE")</f>
        <v xml:space="preserve">          6375 - OUTSIDE REPAIRS &amp; MAINTENANCE</v>
      </c>
      <c r="C33" s="11"/>
      <c r="D33" s="7"/>
      <c r="E33" s="2"/>
      <c r="F33" s="6">
        <f t="shared" si="8"/>
        <v>0</v>
      </c>
      <c r="G33" s="2"/>
      <c r="H33" s="7"/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>
        <v>6.23</v>
      </c>
      <c r="Q33" s="2"/>
      <c r="R33" s="6">
        <f t="shared" si="12"/>
        <v>0</v>
      </c>
      <c r="S33" s="2"/>
      <c r="T33" s="7"/>
      <c r="U33" s="2"/>
      <c r="V33" s="6">
        <f t="shared" si="13"/>
        <v>0</v>
      </c>
      <c r="W33" s="2"/>
      <c r="X33" s="7">
        <f t="shared" si="14"/>
        <v>6.23</v>
      </c>
      <c r="Y33" s="2"/>
      <c r="Z33" s="6">
        <f t="shared" si="15"/>
        <v>0</v>
      </c>
    </row>
    <row r="34" spans="1:26" s="28" customFormat="1" outlineLevel="1" collapsed="1" x14ac:dyDescent="0.35">
      <c r="A34" s="27"/>
      <c r="B34" s="14" t="str">
        <f>CONCATENATE("     ","Telephone/Data Lines                              ")</f>
        <v xml:space="preserve">     Telephone/Data Lines                              </v>
      </c>
      <c r="C34" s="14"/>
      <c r="D34" s="1">
        <f>SUM(OSRRefD22_5x_0)</f>
        <v>0</v>
      </c>
      <c r="E34" s="1"/>
      <c r="F34" s="5">
        <f t="shared" ref="F34:F35" si="16">IF(D$12=0,0,D34/D$12)</f>
        <v>0</v>
      </c>
      <c r="G34" s="1"/>
      <c r="H34" s="1">
        <f>SUM(OSRRefH22_5x_0)</f>
        <v>0</v>
      </c>
      <c r="I34" s="1"/>
      <c r="J34" s="5">
        <f t="shared" ref="J34:J35" si="17">IF(H$12=0,0,H34/H$12)</f>
        <v>0</v>
      </c>
      <c r="K34" s="1"/>
      <c r="L34" s="1">
        <f t="shared" ref="L34:L35" si="18">+D34-H34</f>
        <v>0</v>
      </c>
      <c r="M34" s="1"/>
      <c r="N34" s="5">
        <f t="shared" ref="N34:N35" si="19">IF(H34=0,0,L34/H34)</f>
        <v>0</v>
      </c>
      <c r="O34" s="14"/>
      <c r="P34" s="1">
        <f>SUM(OSRRefP22_5x_0)</f>
        <v>132.54</v>
      </c>
      <c r="Q34" s="1"/>
      <c r="R34" s="5">
        <f t="shared" ref="R34:R35" si="20">IF(P$12=0,0,P34/P$12)</f>
        <v>0</v>
      </c>
      <c r="S34" s="1"/>
      <c r="T34" s="1">
        <f>SUM(OSRRefT22_5x_0)</f>
        <v>0</v>
      </c>
      <c r="U34" s="1"/>
      <c r="V34" s="5">
        <f t="shared" ref="V34:V35" si="21">IF(T$12=0,0,T34/T$12)</f>
        <v>0</v>
      </c>
      <c r="W34" s="1"/>
      <c r="X34" s="1">
        <f t="shared" ref="X34:X35" si="22">+P34-T34</f>
        <v>132.54</v>
      </c>
      <c r="Y34" s="1"/>
      <c r="Z34" s="5">
        <f t="shared" ref="Z34:Z35" si="23">IF(T34=0,0,X34/T34)</f>
        <v>0</v>
      </c>
    </row>
    <row r="35" spans="1:26" s="24" customFormat="1" hidden="1" outlineLevel="2" x14ac:dyDescent="0.35">
      <c r="A35" s="29"/>
      <c r="B35" s="11" t="str">
        <f>CONCATENATE("          ", "6309", " - ", "TELEPHONE")</f>
        <v xml:space="preserve">          6309 - TELEPHONE</v>
      </c>
      <c r="C35" s="11"/>
      <c r="D35" s="7"/>
      <c r="E35" s="2"/>
      <c r="F35" s="6">
        <f t="shared" si="16"/>
        <v>0</v>
      </c>
      <c r="G35" s="2"/>
      <c r="H35" s="7"/>
      <c r="I35" s="2"/>
      <c r="J35" s="6">
        <f t="shared" si="17"/>
        <v>0</v>
      </c>
      <c r="K35" s="2"/>
      <c r="L35" s="7">
        <f t="shared" si="18"/>
        <v>0</v>
      </c>
      <c r="M35" s="2"/>
      <c r="N35" s="6">
        <f t="shared" si="19"/>
        <v>0</v>
      </c>
      <c r="O35" s="11"/>
      <c r="P35" s="7">
        <v>132.54</v>
      </c>
      <c r="Q35" s="2"/>
      <c r="R35" s="6">
        <f t="shared" si="20"/>
        <v>0</v>
      </c>
      <c r="S35" s="2"/>
      <c r="T35" s="7"/>
      <c r="U35" s="2"/>
      <c r="V35" s="6">
        <f t="shared" si="21"/>
        <v>0</v>
      </c>
      <c r="W35" s="2"/>
      <c r="X35" s="7">
        <f t="shared" si="22"/>
        <v>132.54</v>
      </c>
      <c r="Y35" s="2"/>
      <c r="Z35" s="6">
        <f t="shared" si="23"/>
        <v>0</v>
      </c>
    </row>
    <row r="36" spans="1:26" s="55" customFormat="1" x14ac:dyDescent="0.35">
      <c r="A36" s="36"/>
      <c r="B36" s="36"/>
      <c r="C36" s="36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6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35">
      <c r="A37" s="10"/>
      <c r="B37" s="25" t="s">
        <v>0</v>
      </c>
      <c r="C37" s="10"/>
      <c r="D37" s="4">
        <f>SUM(0)</f>
        <v>0</v>
      </c>
      <c r="E37" s="4"/>
      <c r="F37" s="12">
        <f>IF(D$12=0,0,D37/D$12)</f>
        <v>0</v>
      </c>
      <c r="G37" s="4"/>
      <c r="H37" s="4">
        <f>SUM(0)</f>
        <v>0</v>
      </c>
      <c r="I37" s="4"/>
      <c r="J37" s="12">
        <f>IF(H$12=0,0,H37/H$12)</f>
        <v>0</v>
      </c>
      <c r="K37" s="4"/>
      <c r="L37" s="4">
        <f>+D37-H37</f>
        <v>0</v>
      </c>
      <c r="M37" s="4"/>
      <c r="N37" s="12">
        <f>IF(H37=0,0,L37/H37)</f>
        <v>0</v>
      </c>
      <c r="O37" s="10"/>
      <c r="P37" s="4">
        <f>SUM(0)</f>
        <v>0</v>
      </c>
      <c r="Q37" s="4"/>
      <c r="R37" s="12">
        <f>IF(P$12=0,0,P37/P$12)</f>
        <v>0</v>
      </c>
      <c r="S37" s="4"/>
      <c r="T37" s="4">
        <f>SUM(0)</f>
        <v>0</v>
      </c>
      <c r="U37" s="4"/>
      <c r="V37" s="12">
        <f>IF(T$12=0,0,T37/T$12)</f>
        <v>0</v>
      </c>
      <c r="W37" s="4"/>
      <c r="X37" s="4">
        <f>+P37-T37</f>
        <v>0</v>
      </c>
      <c r="Y37" s="4"/>
      <c r="Z37" s="12">
        <f>IF(T37=0,0,X37/T37)</f>
        <v>0</v>
      </c>
    </row>
    <row r="38" spans="1:26" x14ac:dyDescent="0.35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35">
      <c r="A39" s="10"/>
      <c r="B39" s="26" t="s">
        <v>3</v>
      </c>
      <c r="C39" s="26"/>
      <c r="D39" s="19">
        <f>+D16-D18+D37</f>
        <v>-1000.91</v>
      </c>
      <c r="E39" s="13"/>
      <c r="F39" s="21">
        <f>IF(D$12=0,0,D39/D$12)</f>
        <v>0</v>
      </c>
      <c r="G39" s="13"/>
      <c r="H39" s="19">
        <f>+H16-H18+H37</f>
        <v>-1001</v>
      </c>
      <c r="I39" s="13"/>
      <c r="J39" s="21">
        <f>IF(H$12=0,0,H39/H$12)</f>
        <v>0</v>
      </c>
      <c r="K39" s="16"/>
      <c r="L39" s="19">
        <f>+D39-H39</f>
        <v>9.0000000000031832E-2</v>
      </c>
      <c r="M39" s="16"/>
      <c r="N39" s="21">
        <f>IF(H39=0,0,L39/H39)</f>
        <v>-8.9910089910121704E-5</v>
      </c>
      <c r="O39" s="25"/>
      <c r="P39" s="19">
        <f>+P16-P18+P37</f>
        <v>-10635.05</v>
      </c>
      <c r="Q39" s="13"/>
      <c r="R39" s="21">
        <f>IF(P$12=0,0,P39/P$12)</f>
        <v>0</v>
      </c>
      <c r="S39" s="13"/>
      <c r="T39" s="19">
        <f>+T16-T18+T37</f>
        <v>-7007</v>
      </c>
      <c r="U39" s="13"/>
      <c r="V39" s="21">
        <f>IF(T$12=0,0,T39/T$12)</f>
        <v>0</v>
      </c>
      <c r="W39" s="16"/>
      <c r="X39" s="19">
        <f>+P39-T39</f>
        <v>-3628.0499999999993</v>
      </c>
      <c r="Y39" s="16"/>
      <c r="Z39" s="21">
        <f>IF(T39=0,0,X39/T39)</f>
        <v>0.51777508206079625</v>
      </c>
    </row>
    <row r="40" spans="1:26" x14ac:dyDescent="0.35">
      <c r="A40" s="9"/>
      <c r="B40" s="10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x14ac:dyDescent="0.35">
      <c r="A41" s="52"/>
      <c r="B41" s="10" t="s">
        <v>14</v>
      </c>
      <c r="C41" s="10"/>
      <c r="D41" s="4"/>
      <c r="E41" s="4"/>
      <c r="F41" s="12">
        <f>IF(D$12=0,0,D41/D$12)</f>
        <v>0</v>
      </c>
      <c r="G41" s="4"/>
      <c r="H41" s="4"/>
      <c r="I41" s="4"/>
      <c r="J41" s="12">
        <f>IF(H$12=0,0,H41/H$12)</f>
        <v>0</v>
      </c>
      <c r="K41" s="4"/>
      <c r="L41" s="4">
        <f>+D41-H41</f>
        <v>0</v>
      </c>
      <c r="M41" s="4"/>
      <c r="N41" s="12">
        <f>IF(H41=0,0,L41/H41)</f>
        <v>0</v>
      </c>
      <c r="O41" s="10"/>
      <c r="P41" s="4"/>
      <c r="Q41" s="4"/>
      <c r="R41" s="12">
        <f>IF(P$12=0,0,P41/P$12)</f>
        <v>0</v>
      </c>
      <c r="S41" s="4"/>
      <c r="T41" s="4"/>
      <c r="U41" s="4"/>
      <c r="V41" s="12">
        <f>IF(T$12=0,0,T41/T$12)</f>
        <v>0</v>
      </c>
      <c r="W41" s="4"/>
      <c r="X41" s="4">
        <f>+P41-T41</f>
        <v>0</v>
      </c>
      <c r="Y41" s="4"/>
      <c r="Z41" s="12">
        <f>IF(T41=0,0,X41/T41)</f>
        <v>0</v>
      </c>
    </row>
    <row r="42" spans="1:26" x14ac:dyDescent="0.3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ht="15" thickBot="1" x14ac:dyDescent="0.4">
      <c r="A43" s="10"/>
      <c r="B43" s="26" t="s">
        <v>4</v>
      </c>
      <c r="C43" s="26"/>
      <c r="D43" s="33">
        <f>+D39-D41</f>
        <v>-1000.91</v>
      </c>
      <c r="E43" s="13"/>
      <c r="F43" s="31">
        <f>IF(D$12=0,0,D43/D$12)</f>
        <v>0</v>
      </c>
      <c r="G43" s="13"/>
      <c r="H43" s="33">
        <f>+H39-H41</f>
        <v>-1001</v>
      </c>
      <c r="I43" s="13"/>
      <c r="J43" s="31">
        <f>IF(H$12=0,0,H43/H$12)</f>
        <v>0</v>
      </c>
      <c r="K43" s="16"/>
      <c r="L43" s="33">
        <f>D43-H43</f>
        <v>9.0000000000031832E-2</v>
      </c>
      <c r="M43" s="16"/>
      <c r="N43" s="31">
        <f>IF(H43=0,0,L43/H43)</f>
        <v>-8.9910089910121704E-5</v>
      </c>
      <c r="O43" s="25"/>
      <c r="P43" s="33">
        <f>+P39-P41</f>
        <v>-10635.05</v>
      </c>
      <c r="Q43" s="13"/>
      <c r="R43" s="31">
        <f>IF(P$12=0,0,P43/P$12)</f>
        <v>0</v>
      </c>
      <c r="S43" s="13"/>
      <c r="T43" s="33">
        <f>+T39-T41</f>
        <v>-7007</v>
      </c>
      <c r="U43" s="13"/>
      <c r="V43" s="31">
        <f>IF(T$12=0,0,T43/T$12)</f>
        <v>0</v>
      </c>
      <c r="W43" s="16"/>
      <c r="X43" s="33">
        <f>P43-T43</f>
        <v>-3628.0499999999993</v>
      </c>
      <c r="Y43" s="16"/>
      <c r="Z43" s="31">
        <f>IF(T43=0,0,X43/T43)</f>
        <v>0.51777508206079625</v>
      </c>
    </row>
    <row r="44" spans="1:26" ht="15" thickTop="1" x14ac:dyDescent="0.35">
      <c r="A44" s="9"/>
      <c r="B44" s="9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x14ac:dyDescent="0.35">
      <c r="A45" s="9"/>
      <c r="B45" s="9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ht="15" thickBot="1" x14ac:dyDescent="0.4">
      <c r="A46" s="10"/>
      <c r="B46" s="26" t="s">
        <v>5</v>
      </c>
      <c r="C46" s="26"/>
      <c r="D46" s="34">
        <f>SUM(D43:D45)</f>
        <v>-1000.91</v>
      </c>
      <c r="E46" s="13"/>
      <c r="F46" s="32">
        <f>IF(D$12=0,0,D46/D$12)</f>
        <v>0</v>
      </c>
      <c r="G46" s="13"/>
      <c r="H46" s="34">
        <f>SUM(H43:H45)</f>
        <v>-1001</v>
      </c>
      <c r="I46" s="13"/>
      <c r="J46" s="32">
        <f>IF(H$12=0,0,H46/H$12)</f>
        <v>0</v>
      </c>
      <c r="K46" s="16"/>
      <c r="L46" s="34">
        <f>+D46-H46</f>
        <v>9.0000000000031832E-2</v>
      </c>
      <c r="M46" s="16"/>
      <c r="N46" s="32">
        <f>IF(H46=0,0,L46/H46)</f>
        <v>-8.9910089910121704E-5</v>
      </c>
      <c r="O46" s="25"/>
      <c r="P46" s="34">
        <f>SUM(P43:P45)</f>
        <v>-10635.05</v>
      </c>
      <c r="Q46" s="13"/>
      <c r="R46" s="32">
        <f>IF(P$12=0,0,P46/P$12)</f>
        <v>0</v>
      </c>
      <c r="S46" s="13"/>
      <c r="T46" s="34">
        <f>SUM(T43:T45)</f>
        <v>-7007</v>
      </c>
      <c r="U46" s="13"/>
      <c r="V46" s="32">
        <f>IF(T$12=0,0,T46/T$12)</f>
        <v>0</v>
      </c>
      <c r="W46" s="16"/>
      <c r="X46" s="34">
        <f>+P46-T46</f>
        <v>-3628.0499999999993</v>
      </c>
      <c r="Y46" s="16"/>
      <c r="Z46" s="32">
        <f>IF(T46=0,0,X46/T46)</f>
        <v>0.51777508206079625</v>
      </c>
    </row>
    <row r="47" spans="1:26" ht="15" thickTop="1" x14ac:dyDescent="0.35">
      <c r="A47" s="9"/>
      <c r="C47" s="9"/>
      <c r="D47" s="18"/>
      <c r="E47" s="18"/>
      <c r="G47" s="18"/>
      <c r="H47" s="18"/>
      <c r="I47" s="18"/>
      <c r="J47" s="43"/>
      <c r="K47" s="18"/>
      <c r="L47" s="18"/>
      <c r="M47" s="18"/>
      <c r="P47" s="18"/>
      <c r="Q47" s="18"/>
      <c r="R47" s="43"/>
      <c r="S47" s="18"/>
      <c r="T47" s="18"/>
      <c r="U47" s="18"/>
      <c r="V47" s="43"/>
      <c r="W47" s="18"/>
      <c r="X47" s="18"/>
    </row>
    <row r="48" spans="1:26" x14ac:dyDescent="0.35">
      <c r="A48" s="9"/>
      <c r="B48" s="60">
        <v>44238.490820636573</v>
      </c>
      <c r="D48" s="18"/>
      <c r="E48" s="18"/>
      <c r="G48" s="18"/>
      <c r="H48" s="18"/>
      <c r="I48" s="18"/>
      <c r="J48" s="43"/>
      <c r="K48" s="18"/>
      <c r="L48" s="18"/>
      <c r="M48" s="18"/>
      <c r="P48" s="18"/>
      <c r="Q48" s="18"/>
      <c r="R48" s="43"/>
      <c r="S48" s="18"/>
      <c r="T48" s="18"/>
      <c r="U48" s="18"/>
      <c r="V48" s="43"/>
      <c r="W48" s="18"/>
      <c r="X48" s="18"/>
    </row>
    <row r="49" spans="1:24" x14ac:dyDescent="0.35">
      <c r="A49" s="9"/>
      <c r="B49" s="59" t="s">
        <v>314</v>
      </c>
      <c r="D49" s="18"/>
      <c r="E49" s="18"/>
      <c r="G49" s="18"/>
      <c r="H49" s="18"/>
      <c r="I49" s="18"/>
      <c r="J49" s="43"/>
      <c r="K49" s="18"/>
      <c r="L49" s="18"/>
      <c r="M49" s="18"/>
      <c r="P49" s="18"/>
      <c r="Q49" s="18"/>
      <c r="R49" s="43"/>
      <c r="S49" s="18"/>
      <c r="T49" s="18"/>
      <c r="U49" s="18"/>
      <c r="V49" s="43"/>
      <c r="W49" s="18"/>
      <c r="X49" s="18"/>
    </row>
    <row r="50" spans="1:24" x14ac:dyDescent="0.35">
      <c r="A50" s="9"/>
      <c r="B50" s="58"/>
      <c r="D50" s="18"/>
      <c r="E50" s="18"/>
      <c r="G50" s="18"/>
      <c r="H50" s="18"/>
      <c r="I50" s="18"/>
      <c r="J50" s="43"/>
      <c r="K50" s="18"/>
      <c r="L50" s="18"/>
      <c r="M50" s="18"/>
      <c r="P50" s="18"/>
      <c r="Q50" s="18"/>
      <c r="R50" s="43"/>
      <c r="S50" s="18"/>
      <c r="T50" s="18"/>
      <c r="U50" s="18"/>
      <c r="V50" s="43"/>
      <c r="W50" s="18"/>
      <c r="X50" s="18"/>
    </row>
    <row r="51" spans="1:24" x14ac:dyDescent="0.35">
      <c r="D51" s="18"/>
      <c r="E51" s="18"/>
      <c r="G51" s="18"/>
      <c r="H51" s="18"/>
      <c r="I51" s="18"/>
      <c r="J51" s="43"/>
      <c r="K51" s="18"/>
      <c r="L51" s="18"/>
      <c r="M51" s="18"/>
      <c r="P51" s="18"/>
      <c r="Q51" s="18"/>
      <c r="R51" s="43"/>
      <c r="S51" s="18"/>
      <c r="T51" s="18"/>
      <c r="U51" s="18"/>
      <c r="V51" s="43"/>
      <c r="W51" s="18"/>
      <c r="X51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1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","455", " - ", "Vending")</f>
        <v>Department 455 - Vending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6" t="s">
        <v>6</v>
      </c>
      <c r="C16" s="26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6"/>
      <c r="L16" s="19">
        <f>+D16-H16</f>
        <v>0</v>
      </c>
      <c r="M16" s="16"/>
      <c r="N16" s="21">
        <f>IF(H16=0,0,L16/H16)</f>
        <v>0</v>
      </c>
      <c r="O16" s="25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6"/>
      <c r="X16" s="19">
        <f>+P16-T16</f>
        <v>0</v>
      </c>
      <c r="Y16" s="16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5" t="s">
        <v>9</v>
      </c>
      <c r="C18" s="10"/>
      <c r="D18" s="20">
        <f>SUM(0)</f>
        <v>0</v>
      </c>
      <c r="E18" s="20"/>
      <c r="F18" s="30">
        <f>IF(D$12=0,0,D18/D$12)</f>
        <v>0</v>
      </c>
      <c r="G18" s="20"/>
      <c r="H18" s="20">
        <f>SUM(0)</f>
        <v>0</v>
      </c>
      <c r="I18" s="20"/>
      <c r="J18" s="30">
        <f>IF(H$12=0,0,H18/H$12)</f>
        <v>0</v>
      </c>
      <c r="K18" s="4"/>
      <c r="L18" s="20">
        <f>+D18-H18</f>
        <v>0</v>
      </c>
      <c r="M18" s="4"/>
      <c r="N18" s="30">
        <f>IF(H18=0,0,L18/H18)</f>
        <v>0</v>
      </c>
      <c r="O18" s="10"/>
      <c r="P18" s="20">
        <f>SUM(0)</f>
        <v>0</v>
      </c>
      <c r="Q18" s="20"/>
      <c r="R18" s="30">
        <f>IF(P$12=0,0,P18/P$12)</f>
        <v>0</v>
      </c>
      <c r="S18" s="20"/>
      <c r="T18" s="20">
        <f>SUM(0)</f>
        <v>0</v>
      </c>
      <c r="U18" s="20"/>
      <c r="V18" s="30">
        <f>IF(T$12=0,0,T18/T$12)</f>
        <v>0</v>
      </c>
      <c r="W18" s="4"/>
      <c r="X18" s="20">
        <f>+P18-T18</f>
        <v>0</v>
      </c>
      <c r="Y18" s="4"/>
      <c r="Z18" s="30">
        <f>IF(T18=0,0,X18/T18)</f>
        <v>0</v>
      </c>
    </row>
    <row r="19" spans="1:26" s="55" customFormat="1" x14ac:dyDescent="0.3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collapsed="1" x14ac:dyDescent="0.35">
      <c r="A20" s="10"/>
      <c r="B20" s="25" t="s">
        <v>0</v>
      </c>
      <c r="C20" s="10"/>
      <c r="D20" s="4">
        <f>SUM(OSRRefD25x_0)</f>
        <v>786.95</v>
      </c>
      <c r="E20" s="4"/>
      <c r="F20" s="12">
        <f t="shared" ref="F20:F22" si="0">IF(D$12=0,0,D20/D$12)</f>
        <v>0</v>
      </c>
      <c r="G20" s="4"/>
      <c r="H20" s="4">
        <f>SUM(OSRRefH25x_0)</f>
        <v>0</v>
      </c>
      <c r="I20" s="4"/>
      <c r="J20" s="12">
        <f t="shared" ref="J20:J22" si="1">IF(H$12=0,0,H20/H$12)</f>
        <v>0</v>
      </c>
      <c r="K20" s="4"/>
      <c r="L20" s="4">
        <f t="shared" ref="L20:L22" si="2">+D20-H20</f>
        <v>786.95</v>
      </c>
      <c r="M20" s="4"/>
      <c r="N20" s="12">
        <f t="shared" ref="N20:N22" si="3">IF(H20=0,0,L20/H20)</f>
        <v>0</v>
      </c>
      <c r="O20" s="10"/>
      <c r="P20" s="4">
        <f>SUM(OSRRefP25x_0)</f>
        <v>13803.939999999999</v>
      </c>
      <c r="Q20" s="4"/>
      <c r="R20" s="12">
        <f t="shared" ref="R20:R22" si="4">IF(P$12=0,0,P20/P$12)</f>
        <v>0</v>
      </c>
      <c r="S20" s="4"/>
      <c r="T20" s="4">
        <f>SUM(OSRRefT25x_0)</f>
        <v>0</v>
      </c>
      <c r="U20" s="4"/>
      <c r="V20" s="12">
        <f t="shared" ref="V20:V22" si="5">IF(T$12=0,0,T20/T$12)</f>
        <v>0</v>
      </c>
      <c r="W20" s="4"/>
      <c r="X20" s="4">
        <f t="shared" ref="X20:X22" si="6">+P20-T20</f>
        <v>13803.939999999999</v>
      </c>
      <c r="Y20" s="4"/>
      <c r="Z20" s="12">
        <f t="shared" ref="Z20:Z22" si="7">IF(T20=0,0,X20/T20)</f>
        <v>0</v>
      </c>
    </row>
    <row r="21" spans="1:26" s="24" customFormat="1" hidden="1" outlineLevel="1" x14ac:dyDescent="0.35">
      <c r="A21" s="51"/>
      <c r="B21" s="11" t="str">
        <f>CONCATENATE("          ", "9160", " - ", "MISC. INCOME")</f>
        <v xml:space="preserve">          9160 - MISC. INCOME</v>
      </c>
      <c r="C21" s="11"/>
      <c r="D21" s="2">
        <f>0</f>
        <v>0</v>
      </c>
      <c r="E21" s="2"/>
      <c r="F21" s="22">
        <f t="shared" si="0"/>
        <v>0</v>
      </c>
      <c r="G21" s="2"/>
      <c r="H21" s="2"/>
      <c r="I21" s="2"/>
      <c r="J21" s="22">
        <f t="shared" si="1"/>
        <v>0</v>
      </c>
      <c r="K21" s="2"/>
      <c r="L21" s="2">
        <f t="shared" si="2"/>
        <v>0</v>
      </c>
      <c r="M21" s="2"/>
      <c r="N21" s="22">
        <f t="shared" si="3"/>
        <v>0</v>
      </c>
      <c r="O21" s="11"/>
      <c r="P21" s="2">
        <f>--11701.82</f>
        <v>11701.82</v>
      </c>
      <c r="Q21" s="2"/>
      <c r="R21" s="22">
        <f t="shared" si="4"/>
        <v>0</v>
      </c>
      <c r="S21" s="2"/>
      <c r="T21" s="2"/>
      <c r="U21" s="2"/>
      <c r="V21" s="22">
        <f t="shared" si="5"/>
        <v>0</v>
      </c>
      <c r="W21" s="2"/>
      <c r="X21" s="2">
        <f t="shared" si="6"/>
        <v>11701.82</v>
      </c>
      <c r="Y21" s="2"/>
      <c r="Z21" s="22">
        <f t="shared" si="7"/>
        <v>0</v>
      </c>
    </row>
    <row r="22" spans="1:26" s="24" customFormat="1" hidden="1" outlineLevel="1" x14ac:dyDescent="0.35">
      <c r="A22" s="51"/>
      <c r="B22" s="11" t="str">
        <f>CONCATENATE("          ", "9165", " - ", "OTHER INCOME")</f>
        <v xml:space="preserve">          9165 - OTHER INCOME</v>
      </c>
      <c r="C22" s="11"/>
      <c r="D22" s="2">
        <f>--786.95</f>
        <v>786.95</v>
      </c>
      <c r="E22" s="2"/>
      <c r="F22" s="22">
        <f t="shared" si="0"/>
        <v>0</v>
      </c>
      <c r="G22" s="2"/>
      <c r="H22" s="2"/>
      <c r="I22" s="2"/>
      <c r="J22" s="22">
        <f t="shared" si="1"/>
        <v>0</v>
      </c>
      <c r="K22" s="2"/>
      <c r="L22" s="2">
        <f t="shared" si="2"/>
        <v>786.95</v>
      </c>
      <c r="M22" s="2"/>
      <c r="N22" s="22">
        <f t="shared" si="3"/>
        <v>0</v>
      </c>
      <c r="O22" s="11"/>
      <c r="P22" s="2">
        <f>--2102.12</f>
        <v>2102.12</v>
      </c>
      <c r="Q22" s="2"/>
      <c r="R22" s="22">
        <f t="shared" si="4"/>
        <v>0</v>
      </c>
      <c r="S22" s="2"/>
      <c r="T22" s="2"/>
      <c r="U22" s="2"/>
      <c r="V22" s="22">
        <f t="shared" si="5"/>
        <v>0</v>
      </c>
      <c r="W22" s="2"/>
      <c r="X22" s="2">
        <f t="shared" si="6"/>
        <v>2102.12</v>
      </c>
      <c r="Y22" s="2"/>
      <c r="Z22" s="22">
        <f t="shared" si="7"/>
        <v>0</v>
      </c>
    </row>
    <row r="23" spans="1:26" x14ac:dyDescent="0.3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5">
      <c r="A24" s="10"/>
      <c r="B24" s="26" t="s">
        <v>3</v>
      </c>
      <c r="C24" s="26"/>
      <c r="D24" s="19">
        <f>+D16-D18+D20</f>
        <v>786.95</v>
      </c>
      <c r="E24" s="13"/>
      <c r="F24" s="21">
        <f>IF(D$12=0,0,D24/D$12)</f>
        <v>0</v>
      </c>
      <c r="G24" s="13"/>
      <c r="H24" s="19">
        <f>+H16-H18+H20</f>
        <v>0</v>
      </c>
      <c r="I24" s="13"/>
      <c r="J24" s="21">
        <f>IF(H$12=0,0,H24/H$12)</f>
        <v>0</v>
      </c>
      <c r="K24" s="16"/>
      <c r="L24" s="19">
        <f>+D24-H24</f>
        <v>786.95</v>
      </c>
      <c r="M24" s="16"/>
      <c r="N24" s="21">
        <f>IF(H24=0,0,L24/H24)</f>
        <v>0</v>
      </c>
      <c r="O24" s="25"/>
      <c r="P24" s="19">
        <f>+P16-P18+P20</f>
        <v>13803.939999999999</v>
      </c>
      <c r="Q24" s="13"/>
      <c r="R24" s="21">
        <f>IF(P$12=0,0,P24/P$12)</f>
        <v>0</v>
      </c>
      <c r="S24" s="13"/>
      <c r="T24" s="19">
        <f>+T16-T18+T20</f>
        <v>0</v>
      </c>
      <c r="U24" s="13"/>
      <c r="V24" s="21">
        <f>IF(T$12=0,0,T24/T$12)</f>
        <v>0</v>
      </c>
      <c r="W24" s="16"/>
      <c r="X24" s="19">
        <f>+P24-T24</f>
        <v>13803.939999999999</v>
      </c>
      <c r="Y24" s="16"/>
      <c r="Z24" s="21">
        <f>IF(T24=0,0,X24/T24)</f>
        <v>0</v>
      </c>
    </row>
    <row r="25" spans="1:26" x14ac:dyDescent="0.3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35">
      <c r="A26" s="52"/>
      <c r="B26" s="10" t="s">
        <v>14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" thickBot="1" x14ac:dyDescent="0.4">
      <c r="A28" s="10"/>
      <c r="B28" s="26" t="s">
        <v>4</v>
      </c>
      <c r="C28" s="26"/>
      <c r="D28" s="33">
        <f>+D24-D26</f>
        <v>786.95</v>
      </c>
      <c r="E28" s="13"/>
      <c r="F28" s="31">
        <f>IF(D$12=0,0,D28/D$12)</f>
        <v>0</v>
      </c>
      <c r="G28" s="13"/>
      <c r="H28" s="33">
        <f>+H24-H26</f>
        <v>0</v>
      </c>
      <c r="I28" s="13"/>
      <c r="J28" s="31">
        <f>IF(H$12=0,0,H28/H$12)</f>
        <v>0</v>
      </c>
      <c r="K28" s="16"/>
      <c r="L28" s="33">
        <f>D28-H28</f>
        <v>786.95</v>
      </c>
      <c r="M28" s="16"/>
      <c r="N28" s="31">
        <f>IF(H28=0,0,L28/H28)</f>
        <v>0</v>
      </c>
      <c r="O28" s="25"/>
      <c r="P28" s="33">
        <f>+P24-P26</f>
        <v>13803.939999999999</v>
      </c>
      <c r="Q28" s="13"/>
      <c r="R28" s="31">
        <f>IF(P$12=0,0,P28/P$12)</f>
        <v>0</v>
      </c>
      <c r="S28" s="13"/>
      <c r="T28" s="33">
        <f>+T24-T26</f>
        <v>0</v>
      </c>
      <c r="U28" s="13"/>
      <c r="V28" s="31">
        <f>IF(T$12=0,0,T28/T$12)</f>
        <v>0</v>
      </c>
      <c r="W28" s="16"/>
      <c r="X28" s="33">
        <f>P28-T28</f>
        <v>13803.939999999999</v>
      </c>
      <c r="Y28" s="16"/>
      <c r="Z28" s="31">
        <f>IF(T28=0,0,X28/T28)</f>
        <v>0</v>
      </c>
    </row>
    <row r="29" spans="1:26" ht="15" thickTop="1" x14ac:dyDescent="0.3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3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5</v>
      </c>
      <c r="C31" s="26"/>
      <c r="D31" s="34">
        <f>SUM(D28:D30)</f>
        <v>786.95</v>
      </c>
      <c r="E31" s="13"/>
      <c r="F31" s="32">
        <f>IF(D$12=0,0,D31/D$12)</f>
        <v>0</v>
      </c>
      <c r="G31" s="13"/>
      <c r="H31" s="34">
        <f>SUM(H28:H30)</f>
        <v>0</v>
      </c>
      <c r="I31" s="13"/>
      <c r="J31" s="32">
        <f>IF(H$12=0,0,H31/H$12)</f>
        <v>0</v>
      </c>
      <c r="K31" s="16"/>
      <c r="L31" s="34">
        <f>+D31-H31</f>
        <v>786.95</v>
      </c>
      <c r="M31" s="16"/>
      <c r="N31" s="32">
        <f>IF(H31=0,0,L31/H31)</f>
        <v>0</v>
      </c>
      <c r="O31" s="25"/>
      <c r="P31" s="34">
        <f>SUM(P28:P30)</f>
        <v>13803.939999999999</v>
      </c>
      <c r="Q31" s="13"/>
      <c r="R31" s="32">
        <f>IF(P$12=0,0,P31/P$12)</f>
        <v>0</v>
      </c>
      <c r="S31" s="13"/>
      <c r="T31" s="34">
        <f>SUM(T28:T30)</f>
        <v>0</v>
      </c>
      <c r="U31" s="13"/>
      <c r="V31" s="32">
        <f>IF(T$12=0,0,T31/T$12)</f>
        <v>0</v>
      </c>
      <c r="W31" s="16"/>
      <c r="X31" s="34">
        <f>+P31-T31</f>
        <v>13803.939999999999</v>
      </c>
      <c r="Y31" s="16"/>
      <c r="Z31" s="32">
        <f>IF(T31=0,0,X31/T31)</f>
        <v>0</v>
      </c>
    </row>
    <row r="32" spans="1:26" ht="15" thickTop="1" x14ac:dyDescent="0.3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35">
      <c r="A33" s="9"/>
      <c r="B33" s="60">
        <v>44238.490911574074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35">
      <c r="A34" s="9"/>
      <c r="B34" s="59" t="s">
        <v>314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35">
      <c r="A35" s="9"/>
      <c r="B35" s="58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3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302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38251.15</v>
      </c>
      <c r="E12" s="4"/>
      <c r="F12" s="12"/>
      <c r="G12" s="4"/>
      <c r="H12" s="4">
        <f>SUM(OSRRefH13x_0)</f>
        <v>259141.00000000003</v>
      </c>
      <c r="I12" s="4"/>
      <c r="J12" s="12"/>
      <c r="K12" s="4"/>
      <c r="L12" s="4">
        <f t="shared" ref="L12:L16" si="0">+D12-H12</f>
        <v>-220889.85000000003</v>
      </c>
      <c r="M12" s="4"/>
      <c r="N12" s="12">
        <f t="shared" ref="N12:N16" si="1">IF(H12=0,0,L12/H12)</f>
        <v>-0.85239251990229259</v>
      </c>
      <c r="O12" s="10"/>
      <c r="P12" s="4">
        <f>SUM(OSRRefP13x_0)</f>
        <v>674751.01</v>
      </c>
      <c r="Q12" s="4"/>
      <c r="R12" s="12"/>
      <c r="S12" s="4"/>
      <c r="T12" s="4">
        <f>SUM(OSRRefT13x_0)</f>
        <v>2087800</v>
      </c>
      <c r="U12" s="4"/>
      <c r="V12" s="12"/>
      <c r="W12" s="4"/>
      <c r="X12" s="4">
        <f t="shared" ref="X12:X16" si="2">+P12-T12</f>
        <v>-1413048.99</v>
      </c>
      <c r="Y12" s="4"/>
      <c r="Z12" s="12">
        <f t="shared" ref="Z12:Z16" si="3">IF(T12=0,0,X12/T12)</f>
        <v>-0.67681242935147046</v>
      </c>
    </row>
    <row r="13" spans="1:26" s="24" customFormat="1" hidden="1" outlineLevel="1" x14ac:dyDescent="0.3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>--46.44</f>
        <v>46.44</v>
      </c>
      <c r="E13" s="2"/>
      <c r="F13" s="22"/>
      <c r="G13" s="2"/>
      <c r="H13" s="2"/>
      <c r="I13" s="2"/>
      <c r="J13" s="22"/>
      <c r="K13" s="2"/>
      <c r="L13" s="2">
        <f t="shared" si="0"/>
        <v>46.44</v>
      </c>
      <c r="M13" s="2"/>
      <c r="N13" s="22">
        <f t="shared" si="1"/>
        <v>0</v>
      </c>
      <c r="O13" s="11"/>
      <c r="P13" s="2">
        <f>--579.52</f>
        <v>579.52</v>
      </c>
      <c r="Q13" s="2"/>
      <c r="R13" s="22"/>
      <c r="S13" s="2"/>
      <c r="T13" s="2"/>
      <c r="U13" s="2"/>
      <c r="V13" s="22"/>
      <c r="W13" s="2"/>
      <c r="X13" s="2">
        <f t="shared" si="2"/>
        <v>579.52</v>
      </c>
      <c r="Y13" s="2"/>
      <c r="Z13" s="22">
        <f t="shared" si="3"/>
        <v>0</v>
      </c>
    </row>
    <row r="14" spans="1:26" s="24" customFormat="1" hidden="1" outlineLevel="1" x14ac:dyDescent="0.3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2"/>
      <c r="G14" s="2"/>
      <c r="H14" s="2">
        <v>259141.00000000003</v>
      </c>
      <c r="I14" s="2"/>
      <c r="J14" s="22"/>
      <c r="K14" s="2"/>
      <c r="L14" s="2">
        <f t="shared" si="0"/>
        <v>-259141.00000000003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2087800</v>
      </c>
      <c r="U14" s="2"/>
      <c r="V14" s="22"/>
      <c r="W14" s="2"/>
      <c r="X14" s="2">
        <f t="shared" si="2"/>
        <v>-2087800</v>
      </c>
      <c r="Y14" s="2"/>
      <c r="Z14" s="22">
        <f t="shared" si="3"/>
        <v>-1</v>
      </c>
    </row>
    <row r="15" spans="1:26" s="24" customFormat="1" hidden="1" outlineLevel="1" x14ac:dyDescent="0.3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--35996.95</f>
        <v>35996.949999999997</v>
      </c>
      <c r="E15" s="2"/>
      <c r="F15" s="22"/>
      <c r="G15" s="2"/>
      <c r="H15" s="2"/>
      <c r="I15" s="2"/>
      <c r="J15" s="22"/>
      <c r="K15" s="2"/>
      <c r="L15" s="2">
        <f t="shared" si="0"/>
        <v>35996.949999999997</v>
      </c>
      <c r="M15" s="2"/>
      <c r="N15" s="22">
        <f t="shared" si="1"/>
        <v>0</v>
      </c>
      <c r="O15" s="11"/>
      <c r="P15" s="2">
        <f>--642202.33</f>
        <v>642202.32999999996</v>
      </c>
      <c r="Q15" s="2"/>
      <c r="R15" s="22"/>
      <c r="S15" s="2"/>
      <c r="T15" s="2"/>
      <c r="U15" s="2"/>
      <c r="V15" s="22"/>
      <c r="W15" s="2"/>
      <c r="X15" s="2">
        <f t="shared" si="2"/>
        <v>642202.32999999996</v>
      </c>
      <c r="Y15" s="2"/>
      <c r="Z15" s="22">
        <f t="shared" si="3"/>
        <v>0</v>
      </c>
    </row>
    <row r="16" spans="1:26" s="24" customFormat="1" hidden="1" outlineLevel="1" x14ac:dyDescent="0.3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>--2207.76</f>
        <v>2207.7600000000002</v>
      </c>
      <c r="E16" s="2"/>
      <c r="F16" s="22"/>
      <c r="G16" s="2"/>
      <c r="H16" s="2"/>
      <c r="I16" s="2"/>
      <c r="J16" s="22"/>
      <c r="K16" s="2"/>
      <c r="L16" s="2">
        <f t="shared" si="0"/>
        <v>2207.7600000000002</v>
      </c>
      <c r="M16" s="2"/>
      <c r="N16" s="22">
        <f t="shared" si="1"/>
        <v>0</v>
      </c>
      <c r="O16" s="11"/>
      <c r="P16" s="2">
        <f>--31969.16</f>
        <v>31969.16</v>
      </c>
      <c r="Q16" s="2"/>
      <c r="R16" s="22"/>
      <c r="S16" s="2"/>
      <c r="T16" s="2"/>
      <c r="U16" s="2"/>
      <c r="V16" s="22"/>
      <c r="W16" s="2"/>
      <c r="X16" s="2">
        <f t="shared" si="2"/>
        <v>31969.16</v>
      </c>
      <c r="Y16" s="2"/>
      <c r="Z16" s="22">
        <f t="shared" si="3"/>
        <v>0</v>
      </c>
    </row>
    <row r="17" spans="1:26" x14ac:dyDescent="0.3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5">
      <c r="A18" s="10"/>
      <c r="B18" s="25" t="s">
        <v>8</v>
      </c>
      <c r="C18" s="10"/>
      <c r="D18" s="4">
        <f>SUM(OSRRefD16x_0)</f>
        <v>31982.57</v>
      </c>
      <c r="E18" s="4"/>
      <c r="F18" s="12">
        <f t="shared" ref="F18:F21" si="4">IF(D$12=0,0,D18/D$12)</f>
        <v>0.83612048265215555</v>
      </c>
      <c r="G18" s="4"/>
      <c r="H18" s="4">
        <f>SUM(OSRRefH16x_0)</f>
        <v>76689</v>
      </c>
      <c r="I18" s="4"/>
      <c r="J18" s="12">
        <f t="shared" ref="J18:J21" si="5">IF(H$12=0,0,H18/H$12)</f>
        <v>0.29593541739825036</v>
      </c>
      <c r="K18" s="4"/>
      <c r="L18" s="4">
        <f t="shared" ref="L18:L21" si="6">+D18-H18</f>
        <v>-44706.43</v>
      </c>
      <c r="M18" s="4"/>
      <c r="N18" s="12">
        <f t="shared" ref="N18:N21" si="7">IF(H18=0,0,L18/H18)</f>
        <v>-0.58295752976306903</v>
      </c>
      <c r="O18" s="10"/>
      <c r="P18" s="4">
        <f>SUM(OSRRefP16x_0)</f>
        <v>282847.38</v>
      </c>
      <c r="Q18" s="4"/>
      <c r="R18" s="12">
        <f t="shared" ref="R18:R21" si="8">IF(P$12=0,0,P18/P$12)</f>
        <v>0.41918778306089532</v>
      </c>
      <c r="S18" s="4"/>
      <c r="T18" s="4">
        <f>SUM(OSRRefT16x_0)</f>
        <v>571785</v>
      </c>
      <c r="U18" s="4"/>
      <c r="V18" s="12">
        <f t="shared" ref="V18:V21" si="9">IF(T$12=0,0,T18/T$12)</f>
        <v>0.27386962352715777</v>
      </c>
      <c r="W18" s="4"/>
      <c r="X18" s="4">
        <f t="shared" ref="X18:X21" si="10">+P18-T18</f>
        <v>-288937.62</v>
      </c>
      <c r="Y18" s="4"/>
      <c r="Z18" s="12">
        <f t="shared" ref="Z18:Z21" si="11">IF(T18=0,0,X18/T18)</f>
        <v>-0.50532563813321441</v>
      </c>
    </row>
    <row r="19" spans="1:26" s="24" customFormat="1" hidden="1" outlineLevel="1" x14ac:dyDescent="0.3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76689</v>
      </c>
      <c r="I19" s="2"/>
      <c r="J19" s="22">
        <f t="shared" si="5"/>
        <v>0.29593541739825036</v>
      </c>
      <c r="K19" s="2"/>
      <c r="L19" s="2">
        <f t="shared" si="6"/>
        <v>-76689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571785</v>
      </c>
      <c r="U19" s="2"/>
      <c r="V19" s="22">
        <f t="shared" si="9"/>
        <v>0.27386962352715777</v>
      </c>
      <c r="W19" s="2"/>
      <c r="X19" s="2">
        <f t="shared" si="10"/>
        <v>-571785</v>
      </c>
      <c r="Y19" s="2"/>
      <c r="Z19" s="22">
        <f t="shared" si="11"/>
        <v>-1</v>
      </c>
    </row>
    <row r="20" spans="1:26" s="24" customFormat="1" hidden="1" outlineLevel="1" x14ac:dyDescent="0.3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29350.59</v>
      </c>
      <c r="E20" s="2"/>
      <c r="F20" s="22">
        <f t="shared" si="4"/>
        <v>0.76731261674485596</v>
      </c>
      <c r="G20" s="2"/>
      <c r="H20" s="2"/>
      <c r="I20" s="2"/>
      <c r="J20" s="22">
        <f t="shared" si="5"/>
        <v>0</v>
      </c>
      <c r="K20" s="2"/>
      <c r="L20" s="2">
        <f t="shared" si="6"/>
        <v>29350.59</v>
      </c>
      <c r="M20" s="2"/>
      <c r="N20" s="22">
        <f t="shared" si="7"/>
        <v>0</v>
      </c>
      <c r="O20" s="11"/>
      <c r="P20" s="2">
        <v>285679.08</v>
      </c>
      <c r="Q20" s="2"/>
      <c r="R20" s="22">
        <f t="shared" si="8"/>
        <v>0.42338444221076454</v>
      </c>
      <c r="S20" s="2"/>
      <c r="T20" s="2"/>
      <c r="U20" s="2"/>
      <c r="V20" s="22">
        <f t="shared" si="9"/>
        <v>0</v>
      </c>
      <c r="W20" s="2"/>
      <c r="X20" s="2">
        <f t="shared" si="10"/>
        <v>285679.08</v>
      </c>
      <c r="Y20" s="2"/>
      <c r="Z20" s="22">
        <f t="shared" si="11"/>
        <v>0</v>
      </c>
    </row>
    <row r="21" spans="1:26" s="24" customFormat="1" hidden="1" outlineLevel="1" x14ac:dyDescent="0.3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2631.98</v>
      </c>
      <c r="E21" s="2"/>
      <c r="F21" s="22">
        <f t="shared" si="4"/>
        <v>6.8807865907299523E-2</v>
      </c>
      <c r="G21" s="2"/>
      <c r="H21" s="2"/>
      <c r="I21" s="2"/>
      <c r="J21" s="22">
        <f t="shared" si="5"/>
        <v>0</v>
      </c>
      <c r="K21" s="2"/>
      <c r="L21" s="2">
        <f t="shared" si="6"/>
        <v>2631.98</v>
      </c>
      <c r="M21" s="2"/>
      <c r="N21" s="22">
        <f t="shared" si="7"/>
        <v>0</v>
      </c>
      <c r="O21" s="11"/>
      <c r="P21" s="2">
        <v>-2831.7</v>
      </c>
      <c r="Q21" s="2"/>
      <c r="R21" s="22">
        <f t="shared" si="8"/>
        <v>-4.1966591498692231E-3</v>
      </c>
      <c r="S21" s="2"/>
      <c r="T21" s="2"/>
      <c r="U21" s="2"/>
      <c r="V21" s="22">
        <f t="shared" si="9"/>
        <v>0</v>
      </c>
      <c r="W21" s="2"/>
      <c r="X21" s="2">
        <f t="shared" si="10"/>
        <v>-2831.7</v>
      </c>
      <c r="Y21" s="2"/>
      <c r="Z21" s="22">
        <f t="shared" si="11"/>
        <v>0</v>
      </c>
    </row>
    <row r="22" spans="1:26" x14ac:dyDescent="0.3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5">
      <c r="A23" s="10"/>
      <c r="B23" s="26" t="s">
        <v>6</v>
      </c>
      <c r="C23" s="26"/>
      <c r="D23" s="19">
        <f>D12-D18</f>
        <v>6268.5800000000017</v>
      </c>
      <c r="E23" s="13"/>
      <c r="F23" s="21">
        <f>IF(D$12=0,0,D23/D$12)</f>
        <v>0.16387951734784448</v>
      </c>
      <c r="G23" s="13"/>
      <c r="H23" s="19">
        <f>H12-H18</f>
        <v>182452.00000000003</v>
      </c>
      <c r="I23" s="13"/>
      <c r="J23" s="21">
        <f>IF(H$12=0,0,H23/H$12)</f>
        <v>0.70406458260174964</v>
      </c>
      <c r="K23" s="16"/>
      <c r="L23" s="19">
        <f>+D23-H23</f>
        <v>-176183.42000000004</v>
      </c>
      <c r="M23" s="16"/>
      <c r="N23" s="21">
        <f>IF(H23=0,0,L23/H23)</f>
        <v>-0.96564257996623781</v>
      </c>
      <c r="O23" s="25"/>
      <c r="P23" s="19">
        <f>P12-P18</f>
        <v>391903.63</v>
      </c>
      <c r="Q23" s="13"/>
      <c r="R23" s="21">
        <f>IF(P$12=0,0,P23/P$12)</f>
        <v>0.58081221693910468</v>
      </c>
      <c r="S23" s="13"/>
      <c r="T23" s="19">
        <f>T12-T18</f>
        <v>1516015</v>
      </c>
      <c r="U23" s="13"/>
      <c r="V23" s="21">
        <f>IF(T$12=0,0,T23/T$12)</f>
        <v>0.72613037647284218</v>
      </c>
      <c r="W23" s="16"/>
      <c r="X23" s="19">
        <f>+P23-T23</f>
        <v>-1124111.3700000001</v>
      </c>
      <c r="Y23" s="16"/>
      <c r="Z23" s="21">
        <f>IF(T23=0,0,X23/T23)</f>
        <v>-0.74149092851983667</v>
      </c>
    </row>
    <row r="24" spans="1:26" x14ac:dyDescent="0.3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5">
      <c r="A25" s="10"/>
      <c r="B25" s="25" t="s">
        <v>9</v>
      </c>
      <c r="C25" s="10"/>
      <c r="D25" s="20">
        <f>SUM(OSRRefD22x_0)</f>
        <v>181978.56</v>
      </c>
      <c r="E25" s="20"/>
      <c r="F25" s="30">
        <f t="shared" ref="F25:F36" si="12">IF(D$12=0,0,D25/D$12)</f>
        <v>4.7574663768278862</v>
      </c>
      <c r="G25" s="20"/>
      <c r="H25" s="20">
        <f>SUM(OSRRefH22x_0)</f>
        <v>392431.53888115758</v>
      </c>
      <c r="I25" s="20"/>
      <c r="J25" s="30">
        <f t="shared" ref="J25:J36" si="13">IF(H$12=0,0,H25/H$12)</f>
        <v>1.5143552694523736</v>
      </c>
      <c r="K25" s="4"/>
      <c r="L25" s="20">
        <f t="shared" ref="L25:L36" si="14">+D25-H25</f>
        <v>-210452.97888115759</v>
      </c>
      <c r="M25" s="4"/>
      <c r="N25" s="30">
        <f t="shared" ref="N25:N36" si="15">IF(H25=0,0,L25/H25)</f>
        <v>-0.53627947305450985</v>
      </c>
      <c r="O25" s="10"/>
      <c r="P25" s="20">
        <f>SUM(OSRRefP22x_0)</f>
        <v>1585446.06</v>
      </c>
      <c r="Q25" s="20"/>
      <c r="R25" s="30">
        <f t="shared" ref="R25:R36" si="16">IF(P$12=0,0,P25/P$12)</f>
        <v>2.3496757122305012</v>
      </c>
      <c r="S25" s="20"/>
      <c r="T25" s="20">
        <f>SUM(OSRRefT22x_0)</f>
        <v>2499433.0379392272</v>
      </c>
      <c r="U25" s="20"/>
      <c r="V25" s="30">
        <f t="shared" ref="V25:V36" si="17">IF(T$12=0,0,T25/T$12)</f>
        <v>1.1971611447165567</v>
      </c>
      <c r="W25" s="4"/>
      <c r="X25" s="20">
        <f t="shared" ref="X25:X36" si="18">+P25-T25</f>
        <v>-913986.97793922713</v>
      </c>
      <c r="Y25" s="4"/>
      <c r="Z25" s="30">
        <f t="shared" ref="Z25:Z36" si="19">IF(T25=0,0,X25/T25)</f>
        <v>-0.3656777213334772</v>
      </c>
    </row>
    <row r="26" spans="1:26" s="28" customFormat="1" outlineLevel="1" collapsed="1" x14ac:dyDescent="0.3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73060.73000000001</v>
      </c>
      <c r="E26" s="1"/>
      <c r="F26" s="5">
        <f t="shared" si="12"/>
        <v>1.9100270187955135</v>
      </c>
      <c r="G26" s="1"/>
      <c r="H26" s="1">
        <f>SUM(OSRRefH22_0x_0)</f>
        <v>115302.5684430807</v>
      </c>
      <c r="I26" s="1"/>
      <c r="J26" s="5">
        <f t="shared" si="13"/>
        <v>0.44494143513793916</v>
      </c>
      <c r="K26" s="1"/>
      <c r="L26" s="1">
        <f t="shared" si="14"/>
        <v>-42241.838443080691</v>
      </c>
      <c r="M26" s="1"/>
      <c r="N26" s="5">
        <f t="shared" si="15"/>
        <v>-0.36635643952661334</v>
      </c>
      <c r="O26" s="14"/>
      <c r="P26" s="1">
        <f>SUM(OSRRefP22_0x_0)</f>
        <v>539768.98</v>
      </c>
      <c r="Q26" s="1"/>
      <c r="R26" s="5">
        <f t="shared" si="16"/>
        <v>0.79995283000762007</v>
      </c>
      <c r="S26" s="1"/>
      <c r="T26" s="1">
        <f>SUM(OSRRefT22_0x_0)</f>
        <v>735648.36631615076</v>
      </c>
      <c r="U26" s="1"/>
      <c r="V26" s="5">
        <f t="shared" si="17"/>
        <v>0.35235576507143918</v>
      </c>
      <c r="W26" s="1"/>
      <c r="X26" s="1">
        <f t="shared" si="18"/>
        <v>-195879.38631615078</v>
      </c>
      <c r="Y26" s="1"/>
      <c r="Z26" s="5">
        <f t="shared" si="19"/>
        <v>-0.26626768342739721</v>
      </c>
    </row>
    <row r="27" spans="1:26" s="24" customFormat="1" hidden="1" outlineLevel="2" x14ac:dyDescent="0.35">
      <c r="A27" s="29"/>
      <c r="B27" s="11" t="str">
        <f>CONCATENATE("          ", "6111", " - ", "F.I.C.A.")</f>
        <v xml:space="preserve">          6111 - F.I.C.A.</v>
      </c>
      <c r="C27" s="11"/>
      <c r="D27" s="7">
        <v>7273.64</v>
      </c>
      <c r="E27" s="2"/>
      <c r="F27" s="6">
        <f t="shared" si="12"/>
        <v>0.19015480580322422</v>
      </c>
      <c r="G27" s="2"/>
      <c r="H27" s="7">
        <v>12018.18501544615</v>
      </c>
      <c r="I27" s="2"/>
      <c r="J27" s="6">
        <f t="shared" si="13"/>
        <v>4.6377011030466611E-2</v>
      </c>
      <c r="K27" s="2"/>
      <c r="L27" s="7">
        <f t="shared" si="14"/>
        <v>-4744.5450154461496</v>
      </c>
      <c r="M27" s="2"/>
      <c r="N27" s="6">
        <f t="shared" si="15"/>
        <v>-0.39478049383898739</v>
      </c>
      <c r="O27" s="11"/>
      <c r="P27" s="7">
        <v>56379.68</v>
      </c>
      <c r="Q27" s="2"/>
      <c r="R27" s="6">
        <f t="shared" si="16"/>
        <v>8.3556273594907249E-2</v>
      </c>
      <c r="S27" s="2"/>
      <c r="T27" s="7">
        <v>76867.498665766136</v>
      </c>
      <c r="U27" s="2"/>
      <c r="V27" s="6">
        <f t="shared" si="17"/>
        <v>3.6817462719497145E-2</v>
      </c>
      <c r="W27" s="2"/>
      <c r="X27" s="7">
        <f t="shared" si="18"/>
        <v>-20487.818665766135</v>
      </c>
      <c r="Y27" s="2"/>
      <c r="Z27" s="6">
        <f t="shared" si="19"/>
        <v>-0.26653421825069262</v>
      </c>
    </row>
    <row r="28" spans="1:26" s="24" customFormat="1" hidden="1" outlineLevel="2" x14ac:dyDescent="0.3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881.13</v>
      </c>
      <c r="E28" s="2"/>
      <c r="F28" s="6">
        <f t="shared" si="12"/>
        <v>2.3035385864215847E-2</v>
      </c>
      <c r="G28" s="2"/>
      <c r="H28" s="7">
        <v>8490.6330085499994</v>
      </c>
      <c r="I28" s="2"/>
      <c r="J28" s="6">
        <f t="shared" si="13"/>
        <v>3.2764529767771208E-2</v>
      </c>
      <c r="K28" s="2"/>
      <c r="L28" s="7">
        <f t="shared" si="14"/>
        <v>-7609.5030085499993</v>
      </c>
      <c r="M28" s="2"/>
      <c r="N28" s="6">
        <f t="shared" si="15"/>
        <v>-0.89622328522352701</v>
      </c>
      <c r="O28" s="11"/>
      <c r="P28" s="7">
        <v>34988.5</v>
      </c>
      <c r="Q28" s="2"/>
      <c r="R28" s="6">
        <f t="shared" si="16"/>
        <v>5.1853942389800942E-2</v>
      </c>
      <c r="S28" s="2"/>
      <c r="T28" s="7">
        <v>52706.524893000002</v>
      </c>
      <c r="U28" s="2"/>
      <c r="V28" s="6">
        <f t="shared" si="17"/>
        <v>2.5245006654373025E-2</v>
      </c>
      <c r="W28" s="2"/>
      <c r="X28" s="7">
        <f t="shared" si="18"/>
        <v>-17718.024893000002</v>
      </c>
      <c r="Y28" s="2"/>
      <c r="Z28" s="6">
        <f t="shared" si="19"/>
        <v>-0.33616378482492493</v>
      </c>
    </row>
    <row r="29" spans="1:26" s="24" customFormat="1" hidden="1" outlineLevel="2" x14ac:dyDescent="0.35">
      <c r="A29" s="29"/>
      <c r="B29" s="11" t="str">
        <f>CONCATENATE("          ", "6113", " - ", "GROUP INSURANCE")</f>
        <v xml:space="preserve">          6113 - GROUP INSURANCE</v>
      </c>
      <c r="C29" s="11"/>
      <c r="D29" s="7">
        <v>45413.66</v>
      </c>
      <c r="E29" s="2"/>
      <c r="F29" s="6">
        <f t="shared" si="12"/>
        <v>1.1872495336741511</v>
      </c>
      <c r="G29" s="2"/>
      <c r="H29" s="7">
        <v>69691.538461538395</v>
      </c>
      <c r="I29" s="2"/>
      <c r="J29" s="6">
        <f t="shared" si="13"/>
        <v>0.26893289159777262</v>
      </c>
      <c r="K29" s="2"/>
      <c r="L29" s="7">
        <f t="shared" si="14"/>
        <v>-24277.878461538392</v>
      </c>
      <c r="M29" s="2"/>
      <c r="N29" s="6">
        <f t="shared" si="15"/>
        <v>-0.34836192452455256</v>
      </c>
      <c r="O29" s="11"/>
      <c r="P29" s="7">
        <v>313005.58999999997</v>
      </c>
      <c r="Q29" s="2"/>
      <c r="R29" s="6">
        <f t="shared" si="16"/>
        <v>0.46388309963404123</v>
      </c>
      <c r="S29" s="2"/>
      <c r="T29" s="7">
        <v>447451.53846153838</v>
      </c>
      <c r="U29" s="2"/>
      <c r="V29" s="6">
        <f t="shared" si="17"/>
        <v>0.21431724229405996</v>
      </c>
      <c r="W29" s="2"/>
      <c r="X29" s="7">
        <f t="shared" si="18"/>
        <v>-134445.94846153841</v>
      </c>
      <c r="Y29" s="2"/>
      <c r="Z29" s="6">
        <f t="shared" si="19"/>
        <v>-0.30047041278213193</v>
      </c>
    </row>
    <row r="30" spans="1:26" s="24" customFormat="1" hidden="1" outlineLevel="2" x14ac:dyDescent="0.3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>
        <v>555.41999999999996</v>
      </c>
      <c r="E30" s="2"/>
      <c r="F30" s="6">
        <f t="shared" si="12"/>
        <v>1.4520347754250524E-2</v>
      </c>
      <c r="G30" s="2"/>
      <c r="H30" s="7">
        <v>514.58381870000005</v>
      </c>
      <c r="I30" s="2"/>
      <c r="J30" s="6">
        <f t="shared" si="13"/>
        <v>1.9857290768346188E-3</v>
      </c>
      <c r="K30" s="2"/>
      <c r="L30" s="7">
        <f t="shared" si="14"/>
        <v>40.836181299999907</v>
      </c>
      <c r="M30" s="2"/>
      <c r="N30" s="6">
        <f t="shared" si="15"/>
        <v>7.9357686378800044E-2</v>
      </c>
      <c r="O30" s="11"/>
      <c r="P30" s="7">
        <v>2201.2800000000002</v>
      </c>
      <c r="Q30" s="2"/>
      <c r="R30" s="6">
        <f t="shared" si="16"/>
        <v>3.2623589551944504E-3</v>
      </c>
      <c r="S30" s="2"/>
      <c r="T30" s="7">
        <v>3194.3348419999998</v>
      </c>
      <c r="U30" s="2"/>
      <c r="V30" s="6">
        <f t="shared" si="17"/>
        <v>1.5300004032953347E-3</v>
      </c>
      <c r="W30" s="2"/>
      <c r="X30" s="7">
        <f t="shared" si="18"/>
        <v>-993.05484199999955</v>
      </c>
      <c r="Y30" s="2"/>
      <c r="Z30" s="6">
        <f t="shared" si="19"/>
        <v>-0.31088000823928641</v>
      </c>
    </row>
    <row r="31" spans="1:26" s="24" customFormat="1" hidden="1" outlineLevel="2" x14ac:dyDescent="0.35">
      <c r="A31" s="29"/>
      <c r="B31" s="11" t="str">
        <f>CONCATENATE("          ", "6115", " - ", "P.E.R.S.")</f>
        <v xml:space="preserve">          6115 - P.E.R.S.</v>
      </c>
      <c r="C31" s="11"/>
      <c r="D31" s="7">
        <v>5305.4</v>
      </c>
      <c r="E31" s="2"/>
      <c r="F31" s="6">
        <f t="shared" si="12"/>
        <v>0.1386990979356176</v>
      </c>
      <c r="G31" s="2"/>
      <c r="H31" s="7">
        <v>5753.9292307692394</v>
      </c>
      <c r="I31" s="2"/>
      <c r="J31" s="6">
        <f t="shared" si="13"/>
        <v>2.2203855162900656E-2</v>
      </c>
      <c r="K31" s="2"/>
      <c r="L31" s="7">
        <f t="shared" si="14"/>
        <v>-448.5292307692398</v>
      </c>
      <c r="M31" s="2"/>
      <c r="N31" s="6">
        <f t="shared" si="15"/>
        <v>-7.7951815668973079E-2</v>
      </c>
      <c r="O31" s="11"/>
      <c r="P31" s="7">
        <v>28955.78</v>
      </c>
      <c r="Q31" s="2"/>
      <c r="R31" s="6">
        <f t="shared" si="16"/>
        <v>4.2913281448811763E-2</v>
      </c>
      <c r="S31" s="2"/>
      <c r="T31" s="7">
        <v>35674.361230769282</v>
      </c>
      <c r="U31" s="2"/>
      <c r="V31" s="6">
        <f t="shared" si="17"/>
        <v>1.7087058736837475E-2</v>
      </c>
      <c r="W31" s="2"/>
      <c r="X31" s="7">
        <f t="shared" si="18"/>
        <v>-6718.5812307692831</v>
      </c>
      <c r="Y31" s="2"/>
      <c r="Z31" s="6">
        <f t="shared" si="19"/>
        <v>-0.18833080674684877</v>
      </c>
    </row>
    <row r="32" spans="1:26" s="24" customFormat="1" hidden="1" outlineLevel="2" x14ac:dyDescent="0.3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35">
      <c r="A33" s="29"/>
      <c r="B33" s="11" t="str">
        <f>CONCATENATE("          ", "6117", " - ", "RETIREMENT STAFF HOURLY")</f>
        <v xml:space="preserve">          6117 - RETIREMENT STAFF HOURLY</v>
      </c>
      <c r="C33" s="11"/>
      <c r="D33" s="7">
        <v>1440.43</v>
      </c>
      <c r="E33" s="2"/>
      <c r="F33" s="6">
        <f t="shared" si="12"/>
        <v>3.765716847728761E-2</v>
      </c>
      <c r="G33" s="2"/>
      <c r="H33" s="7"/>
      <c r="I33" s="2"/>
      <c r="J33" s="6">
        <f t="shared" si="13"/>
        <v>0</v>
      </c>
      <c r="K33" s="2"/>
      <c r="L33" s="7">
        <f t="shared" si="14"/>
        <v>1440.43</v>
      </c>
      <c r="M33" s="2"/>
      <c r="N33" s="6">
        <f t="shared" si="15"/>
        <v>0</v>
      </c>
      <c r="O33" s="11"/>
      <c r="P33" s="7">
        <v>10473.23</v>
      </c>
      <c r="Q33" s="2"/>
      <c r="R33" s="6">
        <f t="shared" si="16"/>
        <v>1.552162182017334E-2</v>
      </c>
      <c r="S33" s="2"/>
      <c r="T33" s="7"/>
      <c r="U33" s="2"/>
      <c r="V33" s="6">
        <f t="shared" si="17"/>
        <v>0</v>
      </c>
      <c r="W33" s="2"/>
      <c r="X33" s="7">
        <f t="shared" si="18"/>
        <v>10473.23</v>
      </c>
      <c r="Y33" s="2"/>
      <c r="Z33" s="6">
        <f t="shared" si="19"/>
        <v>0</v>
      </c>
    </row>
    <row r="34" spans="1:26" s="24" customFormat="1" hidden="1" outlineLevel="2" x14ac:dyDescent="0.35">
      <c r="A34" s="29"/>
      <c r="B34" s="11" t="str">
        <f>CONCATENATE("          ", "6118", " - ", "VACATION")</f>
        <v xml:space="preserve">          6118 - VACATION</v>
      </c>
      <c r="C34" s="11"/>
      <c r="D34" s="7">
        <v>6545.79</v>
      </c>
      <c r="E34" s="2"/>
      <c r="F34" s="6">
        <f t="shared" si="12"/>
        <v>0.17112661972254428</v>
      </c>
      <c r="G34" s="2"/>
      <c r="H34" s="7">
        <v>8445.1098461538404</v>
      </c>
      <c r="I34" s="2"/>
      <c r="J34" s="6">
        <f t="shared" si="13"/>
        <v>3.258886029672587E-2</v>
      </c>
      <c r="K34" s="2"/>
      <c r="L34" s="7">
        <f t="shared" si="14"/>
        <v>-1899.3198461538404</v>
      </c>
      <c r="M34" s="2"/>
      <c r="N34" s="6">
        <f t="shared" si="15"/>
        <v>-0.2249017337552866</v>
      </c>
      <c r="O34" s="11"/>
      <c r="P34" s="7">
        <v>46613.79</v>
      </c>
      <c r="Q34" s="2"/>
      <c r="R34" s="6">
        <f t="shared" si="16"/>
        <v>6.9082949575725722E-2</v>
      </c>
      <c r="S34" s="2"/>
      <c r="T34" s="7">
        <v>52359.681046153841</v>
      </c>
      <c r="U34" s="2"/>
      <c r="V34" s="6">
        <f t="shared" si="17"/>
        <v>2.5078877788175993E-2</v>
      </c>
      <c r="W34" s="2"/>
      <c r="X34" s="7">
        <f t="shared" si="18"/>
        <v>-5745.8910461538399</v>
      </c>
      <c r="Y34" s="2"/>
      <c r="Z34" s="6">
        <f t="shared" si="19"/>
        <v>-0.10973884736022305</v>
      </c>
    </row>
    <row r="35" spans="1:26" s="24" customFormat="1" hidden="1" outlineLevel="2" x14ac:dyDescent="0.35">
      <c r="A35" s="29"/>
      <c r="B35" s="11" t="str">
        <f>CONCATENATE("          ", "6119", " - ", "SICK LEAVE")</f>
        <v xml:space="preserve">          6119 - SICK LEAVE</v>
      </c>
      <c r="C35" s="11"/>
      <c r="D35" s="7">
        <v>4211.6000000000004</v>
      </c>
      <c r="E35" s="2"/>
      <c r="F35" s="6">
        <f t="shared" si="12"/>
        <v>0.1101038792297748</v>
      </c>
      <c r="G35" s="2"/>
      <c r="H35" s="7">
        <v>6713.5890619230704</v>
      </c>
      <c r="I35" s="2"/>
      <c r="J35" s="6">
        <f t="shared" si="13"/>
        <v>2.5907089429781739E-2</v>
      </c>
      <c r="K35" s="2"/>
      <c r="L35" s="7">
        <f t="shared" si="14"/>
        <v>-2501.98906192307</v>
      </c>
      <c r="M35" s="2"/>
      <c r="N35" s="6">
        <f t="shared" si="15"/>
        <v>-0.37267533637311862</v>
      </c>
      <c r="O35" s="11"/>
      <c r="P35" s="7">
        <v>30875.83</v>
      </c>
      <c r="Q35" s="2"/>
      <c r="R35" s="6">
        <f t="shared" si="16"/>
        <v>4.5758849623655992E-2</v>
      </c>
      <c r="S35" s="2"/>
      <c r="T35" s="7">
        <v>41669.427176923047</v>
      </c>
      <c r="U35" s="2"/>
      <c r="V35" s="6">
        <f t="shared" si="17"/>
        <v>1.9958533948138256E-2</v>
      </c>
      <c r="W35" s="2"/>
      <c r="X35" s="7">
        <f t="shared" si="18"/>
        <v>-10793.597176923045</v>
      </c>
      <c r="Y35" s="2"/>
      <c r="Z35" s="6">
        <f t="shared" si="19"/>
        <v>-0.25902917098175637</v>
      </c>
    </row>
    <row r="36" spans="1:26" s="24" customFormat="1" hidden="1" outlineLevel="2" x14ac:dyDescent="0.35">
      <c r="A36" s="29"/>
      <c r="B36" s="11" t="str">
        <f>CONCATENATE("          ", "6156", " - ", "EMPLOYEE MEALS")</f>
        <v xml:space="preserve">          6156 - EMPLOYEE MEALS</v>
      </c>
      <c r="C36" s="11"/>
      <c r="D36" s="7">
        <v>1433.66</v>
      </c>
      <c r="E36" s="2"/>
      <c r="F36" s="6">
        <f t="shared" si="12"/>
        <v>3.7480180334447465E-2</v>
      </c>
      <c r="G36" s="2"/>
      <c r="H36" s="7">
        <v>3675</v>
      </c>
      <c r="I36" s="2"/>
      <c r="J36" s="6">
        <f t="shared" si="13"/>
        <v>1.4181468775685822E-2</v>
      </c>
      <c r="K36" s="2"/>
      <c r="L36" s="7">
        <f t="shared" si="14"/>
        <v>-2241.34</v>
      </c>
      <c r="M36" s="2"/>
      <c r="N36" s="6">
        <f t="shared" si="15"/>
        <v>-0.60988843537414972</v>
      </c>
      <c r="O36" s="11"/>
      <c r="P36" s="7">
        <v>16275.3</v>
      </c>
      <c r="Q36" s="2"/>
      <c r="R36" s="6">
        <f t="shared" si="16"/>
        <v>2.4120452965309382E-2</v>
      </c>
      <c r="S36" s="2"/>
      <c r="T36" s="7">
        <v>25725</v>
      </c>
      <c r="U36" s="2"/>
      <c r="V36" s="6">
        <f t="shared" si="17"/>
        <v>1.2321582527061978E-2</v>
      </c>
      <c r="W36" s="2"/>
      <c r="X36" s="7">
        <f t="shared" si="18"/>
        <v>-9449.7000000000007</v>
      </c>
      <c r="Y36" s="2"/>
      <c r="Z36" s="6">
        <f t="shared" si="19"/>
        <v>-0.36733527696793006</v>
      </c>
    </row>
    <row r="37" spans="1:26" s="28" customFormat="1" outlineLevel="1" collapsed="1" x14ac:dyDescent="0.35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107539.51</v>
      </c>
      <c r="E37" s="1"/>
      <c r="F37" s="5">
        <f t="shared" ref="F37:F47" si="20">IF(D$12=0,0,D37/D$12)</f>
        <v>2.8114059315863704</v>
      </c>
      <c r="G37" s="1"/>
      <c r="H37" s="1">
        <f>SUM(OSRRefH22_1x_0)</f>
        <v>183256.97043807688</v>
      </c>
      <c r="I37" s="1"/>
      <c r="J37" s="5">
        <f t="shared" ref="J37:J47" si="21">IF(H$12=0,0,H37/H$12)</f>
        <v>0.7071708854950659</v>
      </c>
      <c r="K37" s="1"/>
      <c r="L37" s="1">
        <f t="shared" ref="L37:L47" si="22">+D37-H37</f>
        <v>-75717.460438076887</v>
      </c>
      <c r="M37" s="1"/>
      <c r="N37" s="5">
        <f t="shared" ref="N37:N47" si="23">IF(H37=0,0,L37/H37)</f>
        <v>-0.41317642792562731</v>
      </c>
      <c r="O37" s="14"/>
      <c r="P37" s="1">
        <f>SUM(OSRRefP22_1x_0)</f>
        <v>748055.5199999999</v>
      </c>
      <c r="Q37" s="1"/>
      <c r="R37" s="5">
        <f t="shared" ref="R37:R47" si="24">IF(P$12=0,0,P37/P$12)</f>
        <v>1.108639348313091</v>
      </c>
      <c r="S37" s="1"/>
      <c r="T37" s="1">
        <f>SUM(OSRRefT22_1x_0)</f>
        <v>1138101.6716230768</v>
      </c>
      <c r="U37" s="1"/>
      <c r="V37" s="5">
        <f t="shared" ref="V37:V47" si="25">IF(T$12=0,0,T37/T$12)</f>
        <v>0.54512006495980303</v>
      </c>
      <c r="W37" s="1"/>
      <c r="X37" s="1">
        <f t="shared" ref="X37:X47" si="26">+P37-T37</f>
        <v>-390046.15162307688</v>
      </c>
      <c r="Y37" s="1"/>
      <c r="Z37" s="5">
        <f t="shared" ref="Z37:Z47" si="27">IF(T37=0,0,X37/T37)</f>
        <v>-0.34271643856459832</v>
      </c>
    </row>
    <row r="38" spans="1:26" s="24" customFormat="1" hidden="1" outlineLevel="2" x14ac:dyDescent="0.35">
      <c r="A38" s="29"/>
      <c r="B38" s="11" t="str">
        <f>CONCATENATE("          ", "6001", " - ", "ADMINISTRATIVE SALARIES")</f>
        <v xml:space="preserve">          6001 - ADMINISTRATIVE SALARIES</v>
      </c>
      <c r="C38" s="11"/>
      <c r="D38" s="7">
        <v>10826.56</v>
      </c>
      <c r="E38" s="2"/>
      <c r="F38" s="6">
        <f t="shared" si="20"/>
        <v>0.2830388105978513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10826.56</v>
      </c>
      <c r="M38" s="2"/>
      <c r="N38" s="6">
        <f t="shared" si="23"/>
        <v>0</v>
      </c>
      <c r="O38" s="11"/>
      <c r="P38" s="7">
        <v>64135.82</v>
      </c>
      <c r="Q38" s="2"/>
      <c r="R38" s="6">
        <f t="shared" si="24"/>
        <v>9.5051091513001215E-2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64135.82</v>
      </c>
      <c r="Y38" s="2"/>
      <c r="Z38" s="6">
        <f t="shared" si="27"/>
        <v>0</v>
      </c>
    </row>
    <row r="39" spans="1:26" s="24" customFormat="1" hidden="1" outlineLevel="2" x14ac:dyDescent="0.35">
      <c r="A39" s="29"/>
      <c r="B39" s="11" t="str">
        <f>CONCATENATE("          ", "6002", " - ", "STAFF SALARIES")</f>
        <v xml:space="preserve">          6002 - STAFF SALARIES</v>
      </c>
      <c r="C39" s="11"/>
      <c r="D39" s="7">
        <v>32454.489999999998</v>
      </c>
      <c r="E39" s="2"/>
      <c r="F39" s="6">
        <f t="shared" si="20"/>
        <v>0.84845788950136136</v>
      </c>
      <c r="G39" s="2"/>
      <c r="H39" s="7">
        <v>60354.651923076897</v>
      </c>
      <c r="I39" s="2"/>
      <c r="J39" s="6">
        <f t="shared" si="21"/>
        <v>0.23290275148693912</v>
      </c>
      <c r="K39" s="2"/>
      <c r="L39" s="7">
        <f t="shared" si="22"/>
        <v>-27900.161923076899</v>
      </c>
      <c r="M39" s="2"/>
      <c r="N39" s="6">
        <f t="shared" si="23"/>
        <v>-0.46227028131379438</v>
      </c>
      <c r="O39" s="11"/>
      <c r="P39" s="7">
        <v>202412.44</v>
      </c>
      <c r="Q39" s="2"/>
      <c r="R39" s="6">
        <f t="shared" si="24"/>
        <v>0.29998093667173614</v>
      </c>
      <c r="S39" s="2"/>
      <c r="T39" s="7">
        <v>374198.84192307689</v>
      </c>
      <c r="U39" s="2"/>
      <c r="V39" s="6">
        <f t="shared" si="25"/>
        <v>0.17923117248925993</v>
      </c>
      <c r="W39" s="2"/>
      <c r="X39" s="7">
        <f t="shared" si="26"/>
        <v>-171786.40192307689</v>
      </c>
      <c r="Y39" s="2"/>
      <c r="Z39" s="6">
        <f t="shared" si="27"/>
        <v>-0.459077855613435</v>
      </c>
    </row>
    <row r="40" spans="1:26" s="24" customFormat="1" hidden="1" outlineLevel="2" x14ac:dyDescent="0.35">
      <c r="A40" s="29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35">
      <c r="A41" s="29"/>
      <c r="B41" s="11" t="str">
        <f>CONCATENATE("          ", "6004", " - ", "STAFF HOURLY")</f>
        <v xml:space="preserve">          6004 - STAFF HOURLY</v>
      </c>
      <c r="C41" s="11"/>
      <c r="D41" s="7">
        <v>37580.93</v>
      </c>
      <c r="E41" s="2"/>
      <c r="F41" s="6">
        <f t="shared" si="20"/>
        <v>0.98247843528887369</v>
      </c>
      <c r="G41" s="2"/>
      <c r="H41" s="7">
        <v>82963.062399999995</v>
      </c>
      <c r="I41" s="2"/>
      <c r="J41" s="6">
        <f t="shared" si="21"/>
        <v>0.32014641604377536</v>
      </c>
      <c r="K41" s="2"/>
      <c r="L41" s="7">
        <f t="shared" si="22"/>
        <v>-45382.132399999995</v>
      </c>
      <c r="M41" s="2"/>
      <c r="N41" s="6">
        <f t="shared" si="23"/>
        <v>-0.54701611882639467</v>
      </c>
      <c r="O41" s="11"/>
      <c r="P41" s="7">
        <v>312897.69</v>
      </c>
      <c r="Q41" s="2"/>
      <c r="R41" s="6">
        <f t="shared" si="24"/>
        <v>0.46372318879522684</v>
      </c>
      <c r="S41" s="2"/>
      <c r="T41" s="7">
        <v>530850.98687999998</v>
      </c>
      <c r="U41" s="2"/>
      <c r="V41" s="6">
        <f t="shared" si="25"/>
        <v>0.25426333311619886</v>
      </c>
      <c r="W41" s="2"/>
      <c r="X41" s="7">
        <f t="shared" si="26"/>
        <v>-217953.29687999998</v>
      </c>
      <c r="Y41" s="2"/>
      <c r="Z41" s="6">
        <f t="shared" si="27"/>
        <v>-0.4105734043389257</v>
      </c>
    </row>
    <row r="42" spans="1:26" s="24" customFormat="1" hidden="1" outlineLevel="2" x14ac:dyDescent="0.35">
      <c r="A42" s="29"/>
      <c r="B42" s="11" t="str">
        <f>CONCATENATE("          ", "6005", " - ", "TEMPORARY WAGES-HOURLY")</f>
        <v xml:space="preserve">          6005 - TEMPORARY WAGES-HOURLY</v>
      </c>
      <c r="C42" s="11"/>
      <c r="D42" s="7">
        <v>8579.9500000000007</v>
      </c>
      <c r="E42" s="2"/>
      <c r="F42" s="6">
        <f t="shared" si="20"/>
        <v>0.22430567446991792</v>
      </c>
      <c r="G42" s="2"/>
      <c r="H42" s="7">
        <v>10163.494615</v>
      </c>
      <c r="I42" s="2"/>
      <c r="J42" s="6">
        <f t="shared" si="21"/>
        <v>3.9219940553598232E-2</v>
      </c>
      <c r="K42" s="2"/>
      <c r="L42" s="7">
        <f t="shared" si="22"/>
        <v>-1583.5446149999989</v>
      </c>
      <c r="M42" s="2"/>
      <c r="N42" s="6">
        <f t="shared" si="23"/>
        <v>-0.15580709932810832</v>
      </c>
      <c r="O42" s="11"/>
      <c r="P42" s="7">
        <v>70743.679999999993</v>
      </c>
      <c r="Q42" s="2"/>
      <c r="R42" s="6">
        <f t="shared" si="24"/>
        <v>0.10484412613180082</v>
      </c>
      <c r="S42" s="2"/>
      <c r="T42" s="7">
        <v>52672.121320000006</v>
      </c>
      <c r="U42" s="2"/>
      <c r="V42" s="6">
        <f t="shared" si="25"/>
        <v>2.5228528268991284E-2</v>
      </c>
      <c r="W42" s="2"/>
      <c r="X42" s="7">
        <f t="shared" si="26"/>
        <v>18071.558679999987</v>
      </c>
      <c r="Y42" s="2"/>
      <c r="Z42" s="6">
        <f t="shared" si="27"/>
        <v>0.34309532684680538</v>
      </c>
    </row>
    <row r="43" spans="1:26" s="24" customFormat="1" hidden="1" outlineLevel="2" x14ac:dyDescent="0.35">
      <c r="A43" s="29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35">
      <c r="A44" s="29"/>
      <c r="B44" s="11" t="str">
        <f>CONCATENATE("          ", "6007", " - ", "STUDENT HOURLY")</f>
        <v xml:space="preserve">          6007 - STUDENT HOURLY</v>
      </c>
      <c r="C44" s="11"/>
      <c r="D44" s="7">
        <v>18097.580000000002</v>
      </c>
      <c r="E44" s="2"/>
      <c r="F44" s="6">
        <f t="shared" si="20"/>
        <v>0.47312512172836635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18097.580000000002</v>
      </c>
      <c r="M44" s="2"/>
      <c r="N44" s="6">
        <f t="shared" si="23"/>
        <v>0</v>
      </c>
      <c r="O44" s="11"/>
      <c r="P44" s="7">
        <v>87235.010000000009</v>
      </c>
      <c r="Q44" s="2"/>
      <c r="R44" s="6">
        <f t="shared" si="24"/>
        <v>0.12928474164121667</v>
      </c>
      <c r="S44" s="2"/>
      <c r="T44" s="7">
        <v>13860.33</v>
      </c>
      <c r="U44" s="2"/>
      <c r="V44" s="6">
        <f t="shared" si="25"/>
        <v>6.6387249736564805E-3</v>
      </c>
      <c r="W44" s="2"/>
      <c r="X44" s="7">
        <f t="shared" si="26"/>
        <v>73374.680000000008</v>
      </c>
      <c r="Y44" s="2"/>
      <c r="Z44" s="6">
        <f t="shared" si="27"/>
        <v>5.2938624116453221</v>
      </c>
    </row>
    <row r="45" spans="1:26" s="24" customFormat="1" hidden="1" outlineLevel="2" x14ac:dyDescent="0.35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0"/>
        <v>0</v>
      </c>
      <c r="G45" s="2"/>
      <c r="H45" s="7">
        <v>29775.761500000001</v>
      </c>
      <c r="I45" s="2"/>
      <c r="J45" s="6">
        <f t="shared" si="21"/>
        <v>0.11490177741075321</v>
      </c>
      <c r="K45" s="2"/>
      <c r="L45" s="7">
        <f t="shared" si="22"/>
        <v>-29775.761500000001</v>
      </c>
      <c r="M45" s="2"/>
      <c r="N45" s="6">
        <f t="shared" si="23"/>
        <v>-1</v>
      </c>
      <c r="O45" s="11"/>
      <c r="P45" s="7">
        <v>10630.88</v>
      </c>
      <c r="Q45" s="2"/>
      <c r="R45" s="6">
        <f t="shared" si="24"/>
        <v>1.5755263560109378E-2</v>
      </c>
      <c r="S45" s="2"/>
      <c r="T45" s="7">
        <v>166519.3915</v>
      </c>
      <c r="U45" s="2"/>
      <c r="V45" s="6">
        <f t="shared" si="25"/>
        <v>7.9758306111696528E-2</v>
      </c>
      <c r="W45" s="2"/>
      <c r="X45" s="7">
        <f t="shared" si="26"/>
        <v>-155888.51149999999</v>
      </c>
      <c r="Y45" s="2"/>
      <c r="Z45" s="6">
        <f t="shared" si="27"/>
        <v>-0.93615830622345264</v>
      </c>
    </row>
    <row r="46" spans="1:26" s="24" customFormat="1" hidden="1" outlineLevel="2" x14ac:dyDescent="0.35">
      <c r="A46" s="29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35">
      <c r="A47" s="29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8" customFormat="1" outlineLevel="1" collapsed="1" x14ac:dyDescent="0.3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16.170000000000002</v>
      </c>
      <c r="E48" s="1"/>
      <c r="F48" s="5">
        <f t="shared" ref="F48:F72" si="28">IF(D$12=0,0,D48/D$12)</f>
        <v>4.227323884379947E-4</v>
      </c>
      <c r="G48" s="1"/>
      <c r="H48" s="1">
        <f>SUM(OSRRefH22_2x_0)</f>
        <v>1169</v>
      </c>
      <c r="I48" s="1"/>
      <c r="J48" s="5">
        <f t="shared" ref="J48:J72" si="29">IF(H$12=0,0,H48/H$12)</f>
        <v>4.511057686741966E-3</v>
      </c>
      <c r="K48" s="1"/>
      <c r="L48" s="1">
        <f t="shared" ref="L48:L72" si="30">+D48-H48</f>
        <v>-1152.83</v>
      </c>
      <c r="M48" s="1"/>
      <c r="N48" s="5">
        <f t="shared" ref="N48:N72" si="31">IF(H48=0,0,L48/H48)</f>
        <v>-0.98616766467065864</v>
      </c>
      <c r="O48" s="14"/>
      <c r="P48" s="1">
        <f>SUM(OSRRefP22_2x_0)</f>
        <v>1445.17</v>
      </c>
      <c r="Q48" s="1"/>
      <c r="R48" s="5">
        <f t="shared" ref="R48:R72" si="32">IF(P$12=0,0,P48/P$12)</f>
        <v>2.1417826406810417E-3</v>
      </c>
      <c r="S48" s="1"/>
      <c r="T48" s="1">
        <f>SUM(OSRRefT22_2x_0)</f>
        <v>8283</v>
      </c>
      <c r="U48" s="1"/>
      <c r="V48" s="5">
        <f t="shared" ref="V48:V72" si="33">IF(T$12=0,0,T48/T$12)</f>
        <v>3.9673340358271861E-3</v>
      </c>
      <c r="W48" s="1"/>
      <c r="X48" s="1">
        <f t="shared" ref="X48:X72" si="34">+P48-T48</f>
        <v>-6837.83</v>
      </c>
      <c r="Y48" s="1"/>
      <c r="Z48" s="5">
        <f t="shared" ref="Z48:Z72" si="35">IF(T48=0,0,X48/T48)</f>
        <v>-0.82552577568513819</v>
      </c>
    </row>
    <row r="49" spans="1:26" s="24" customFormat="1" hidden="1" outlineLevel="2" x14ac:dyDescent="0.35">
      <c r="A49" s="29"/>
      <c r="B49" s="11" t="str">
        <f>CONCATENATE("          ", "6362", " - ", "ADVERTISING EXPENSE")</f>
        <v xml:space="preserve">          6362 - ADVERTISING EXPENSE</v>
      </c>
      <c r="C49" s="11"/>
      <c r="D49" s="7">
        <v>16.170000000000002</v>
      </c>
      <c r="E49" s="2"/>
      <c r="F49" s="6">
        <f t="shared" si="28"/>
        <v>4.227323884379947E-4</v>
      </c>
      <c r="G49" s="2"/>
      <c r="H49" s="7">
        <v>1169</v>
      </c>
      <c r="I49" s="2"/>
      <c r="J49" s="6">
        <f t="shared" si="29"/>
        <v>4.511057686741966E-3</v>
      </c>
      <c r="K49" s="2"/>
      <c r="L49" s="7">
        <f t="shared" si="30"/>
        <v>-1152.83</v>
      </c>
      <c r="M49" s="2"/>
      <c r="N49" s="6">
        <f t="shared" si="31"/>
        <v>-0.98616766467065864</v>
      </c>
      <c r="O49" s="11"/>
      <c r="P49" s="7">
        <v>1445.17</v>
      </c>
      <c r="Q49" s="2"/>
      <c r="R49" s="6">
        <f t="shared" si="32"/>
        <v>2.1417826406810417E-3</v>
      </c>
      <c r="S49" s="2"/>
      <c r="T49" s="7">
        <v>8283</v>
      </c>
      <c r="U49" s="2"/>
      <c r="V49" s="6">
        <f t="shared" si="33"/>
        <v>3.9673340358271861E-3</v>
      </c>
      <c r="W49" s="2"/>
      <c r="X49" s="7">
        <f t="shared" si="34"/>
        <v>-6837.83</v>
      </c>
      <c r="Y49" s="2"/>
      <c r="Z49" s="6">
        <f t="shared" si="35"/>
        <v>-0.82552577568513819</v>
      </c>
    </row>
    <row r="50" spans="1:26" s="28" customFormat="1" outlineLevel="1" collapsed="1" x14ac:dyDescent="0.3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31</v>
      </c>
      <c r="I50" s="1"/>
      <c r="J50" s="5">
        <f t="shared" si="29"/>
        <v>1.196259951146287E-4</v>
      </c>
      <c r="K50" s="1"/>
      <c r="L50" s="1">
        <f t="shared" si="30"/>
        <v>-31</v>
      </c>
      <c r="M50" s="1"/>
      <c r="N50" s="5">
        <f t="shared" si="31"/>
        <v>-1</v>
      </c>
      <c r="O50" s="14"/>
      <c r="P50" s="1">
        <f>SUM(OSRRefP22_3x_0)</f>
        <v>69.739999999999995</v>
      </c>
      <c r="Q50" s="1"/>
      <c r="R50" s="5">
        <f t="shared" si="32"/>
        <v>1.0335664410491211E-4</v>
      </c>
      <c r="S50" s="1"/>
      <c r="T50" s="1">
        <f>SUM(OSRRefT22_3x_0)</f>
        <v>201</v>
      </c>
      <c r="U50" s="1"/>
      <c r="V50" s="5">
        <f t="shared" si="33"/>
        <v>9.6273589424274354E-5</v>
      </c>
      <c r="W50" s="1"/>
      <c r="X50" s="1">
        <f t="shared" si="34"/>
        <v>-131.26</v>
      </c>
      <c r="Y50" s="1"/>
      <c r="Z50" s="5">
        <f t="shared" si="35"/>
        <v>-0.65303482587064676</v>
      </c>
    </row>
    <row r="51" spans="1:26" s="24" customFormat="1" hidden="1" outlineLevel="2" x14ac:dyDescent="0.35">
      <c r="A51" s="29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8"/>
        <v>0</v>
      </c>
      <c r="G51" s="2"/>
      <c r="H51" s="7">
        <v>31</v>
      </c>
      <c r="I51" s="2"/>
      <c r="J51" s="6">
        <f t="shared" si="29"/>
        <v>1.196259951146287E-4</v>
      </c>
      <c r="K51" s="2"/>
      <c r="L51" s="7">
        <f t="shared" si="30"/>
        <v>-31</v>
      </c>
      <c r="M51" s="2"/>
      <c r="N51" s="6">
        <f t="shared" si="31"/>
        <v>-1</v>
      </c>
      <c r="O51" s="11"/>
      <c r="P51" s="7">
        <v>69.739999999999995</v>
      </c>
      <c r="Q51" s="2"/>
      <c r="R51" s="6">
        <f t="shared" si="32"/>
        <v>1.0335664410491211E-4</v>
      </c>
      <c r="S51" s="2"/>
      <c r="T51" s="7">
        <v>201</v>
      </c>
      <c r="U51" s="2"/>
      <c r="V51" s="6">
        <f t="shared" si="33"/>
        <v>9.6273589424274354E-5</v>
      </c>
      <c r="W51" s="2"/>
      <c r="X51" s="7">
        <f t="shared" si="34"/>
        <v>-131.26</v>
      </c>
      <c r="Y51" s="2"/>
      <c r="Z51" s="6">
        <f t="shared" si="35"/>
        <v>-0.65303482587064676</v>
      </c>
    </row>
    <row r="52" spans="1:26" s="28" customFormat="1" outlineLevel="1" collapsed="1" x14ac:dyDescent="0.3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76.12</v>
      </c>
      <c r="E52" s="1"/>
      <c r="F52" s="5">
        <f t="shared" si="28"/>
        <v>1.9900055292455259E-3</v>
      </c>
      <c r="G52" s="1"/>
      <c r="H52" s="1">
        <f>SUM(OSRRefH22_4x_0)</f>
        <v>395</v>
      </c>
      <c r="I52" s="1"/>
      <c r="J52" s="5">
        <f t="shared" si="29"/>
        <v>1.5242667119444624E-3</v>
      </c>
      <c r="K52" s="1"/>
      <c r="L52" s="1">
        <f t="shared" si="30"/>
        <v>-318.88</v>
      </c>
      <c r="M52" s="1"/>
      <c r="N52" s="5">
        <f t="shared" si="31"/>
        <v>-0.80729113924050633</v>
      </c>
      <c r="O52" s="14"/>
      <c r="P52" s="1">
        <f>SUM(OSRRefP22_4x_0)</f>
        <v>111.32</v>
      </c>
      <c r="Q52" s="1"/>
      <c r="R52" s="5">
        <f t="shared" si="32"/>
        <v>1.6497937513276192E-4</v>
      </c>
      <c r="S52" s="1"/>
      <c r="T52" s="1">
        <f>SUM(OSRRefT22_4x_0)</f>
        <v>2755</v>
      </c>
      <c r="U52" s="1"/>
      <c r="V52" s="5">
        <f t="shared" si="33"/>
        <v>1.3195708401187852E-3</v>
      </c>
      <c r="W52" s="1"/>
      <c r="X52" s="1">
        <f t="shared" si="34"/>
        <v>-2643.68</v>
      </c>
      <c r="Y52" s="1"/>
      <c r="Z52" s="5">
        <f t="shared" si="35"/>
        <v>-0.95959346642468235</v>
      </c>
    </row>
    <row r="53" spans="1:26" s="24" customFormat="1" hidden="1" outlineLevel="2" x14ac:dyDescent="0.35">
      <c r="A53" s="29"/>
      <c r="B53" s="11" t="str">
        <f>CONCATENATE("          ", "6381", " - ", "BANK/CREDIT CARD FEES")</f>
        <v xml:space="preserve">          6381 - BANK/CREDIT CARD FEES</v>
      </c>
      <c r="C53" s="11"/>
      <c r="D53" s="7">
        <v>76.12</v>
      </c>
      <c r="E53" s="2"/>
      <c r="F53" s="6">
        <f t="shared" si="28"/>
        <v>1.9900055292455259E-3</v>
      </c>
      <c r="G53" s="2"/>
      <c r="H53" s="7">
        <v>395</v>
      </c>
      <c r="I53" s="2"/>
      <c r="J53" s="6">
        <f t="shared" si="29"/>
        <v>1.5242667119444624E-3</v>
      </c>
      <c r="K53" s="2"/>
      <c r="L53" s="7">
        <f t="shared" si="30"/>
        <v>-318.88</v>
      </c>
      <c r="M53" s="2"/>
      <c r="N53" s="6">
        <f t="shared" si="31"/>
        <v>-0.80729113924050633</v>
      </c>
      <c r="O53" s="11"/>
      <c r="P53" s="7">
        <v>111.32</v>
      </c>
      <c r="Q53" s="2"/>
      <c r="R53" s="6">
        <f t="shared" si="32"/>
        <v>1.6497937513276192E-4</v>
      </c>
      <c r="S53" s="2"/>
      <c r="T53" s="7">
        <v>2755</v>
      </c>
      <c r="U53" s="2"/>
      <c r="V53" s="6">
        <f t="shared" si="33"/>
        <v>1.3195708401187852E-3</v>
      </c>
      <c r="W53" s="2"/>
      <c r="X53" s="7">
        <f t="shared" si="34"/>
        <v>-2643.68</v>
      </c>
      <c r="Y53" s="2"/>
      <c r="Z53" s="6">
        <f t="shared" si="35"/>
        <v>-0.95959346642468235</v>
      </c>
    </row>
    <row r="54" spans="1:26" s="28" customFormat="1" outlineLevel="1" collapsed="1" x14ac:dyDescent="0.3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758.5</v>
      </c>
      <c r="E54" s="1"/>
      <c r="F54" s="5">
        <f t="shared" si="28"/>
        <v>1.9829469179358006E-2</v>
      </c>
      <c r="G54" s="1"/>
      <c r="H54" s="1">
        <f>SUM(OSRRefH22_5x_0)</f>
        <v>213</v>
      </c>
      <c r="I54" s="1"/>
      <c r="J54" s="5">
        <f t="shared" si="29"/>
        <v>8.2194635352954564E-4</v>
      </c>
      <c r="K54" s="1"/>
      <c r="L54" s="1">
        <f t="shared" si="30"/>
        <v>545.5</v>
      </c>
      <c r="M54" s="1"/>
      <c r="N54" s="5">
        <f t="shared" si="31"/>
        <v>2.5610328638497655</v>
      </c>
      <c r="O54" s="14"/>
      <c r="P54" s="1">
        <f>SUM(OSRRefP22_5x_0)</f>
        <v>4781.0600000000004</v>
      </c>
      <c r="Q54" s="1"/>
      <c r="R54" s="5">
        <f t="shared" si="32"/>
        <v>7.0856655701782506E-3</v>
      </c>
      <c r="S54" s="1"/>
      <c r="T54" s="1">
        <f>SUM(OSRRefT22_5x_0)</f>
        <v>1491</v>
      </c>
      <c r="U54" s="1"/>
      <c r="V54" s="5">
        <f t="shared" si="33"/>
        <v>7.1414886483379633E-4</v>
      </c>
      <c r="W54" s="1"/>
      <c r="X54" s="1">
        <f t="shared" si="34"/>
        <v>3290.0600000000004</v>
      </c>
      <c r="Y54" s="1"/>
      <c r="Z54" s="5">
        <f t="shared" si="35"/>
        <v>2.2066130114017439</v>
      </c>
    </row>
    <row r="55" spans="1:26" s="24" customFormat="1" hidden="1" outlineLevel="2" x14ac:dyDescent="0.35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758.5</v>
      </c>
      <c r="E55" s="2"/>
      <c r="F55" s="6">
        <f t="shared" si="28"/>
        <v>1.9829469179358006E-2</v>
      </c>
      <c r="G55" s="2"/>
      <c r="H55" s="7">
        <v>213</v>
      </c>
      <c r="I55" s="2"/>
      <c r="J55" s="6">
        <f t="shared" si="29"/>
        <v>8.2194635352954564E-4</v>
      </c>
      <c r="K55" s="2"/>
      <c r="L55" s="7">
        <f t="shared" si="30"/>
        <v>545.5</v>
      </c>
      <c r="M55" s="2"/>
      <c r="N55" s="6">
        <f t="shared" si="31"/>
        <v>2.5610328638497655</v>
      </c>
      <c r="O55" s="11"/>
      <c r="P55" s="7">
        <v>4781.0600000000004</v>
      </c>
      <c r="Q55" s="2"/>
      <c r="R55" s="6">
        <f t="shared" si="32"/>
        <v>7.0856655701782506E-3</v>
      </c>
      <c r="S55" s="2"/>
      <c r="T55" s="7">
        <v>1491</v>
      </c>
      <c r="U55" s="2"/>
      <c r="V55" s="6">
        <f t="shared" si="33"/>
        <v>7.1414886483379633E-4</v>
      </c>
      <c r="W55" s="2"/>
      <c r="X55" s="7">
        <f t="shared" si="34"/>
        <v>3290.0600000000004</v>
      </c>
      <c r="Y55" s="2"/>
      <c r="Z55" s="6">
        <f t="shared" si="35"/>
        <v>2.2066130114017439</v>
      </c>
    </row>
    <row r="56" spans="1:26" s="28" customFormat="1" outlineLevel="1" collapsed="1" x14ac:dyDescent="0.35">
      <c r="A56" s="27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1459.14</v>
      </c>
      <c r="E56" s="1"/>
      <c r="F56" s="5">
        <f t="shared" si="28"/>
        <v>3.8146304098046729E-2</v>
      </c>
      <c r="G56" s="1"/>
      <c r="H56" s="1">
        <f>SUM(OSRRefH22_6x_0)</f>
        <v>10773</v>
      </c>
      <c r="I56" s="1"/>
      <c r="J56" s="5">
        <f t="shared" si="29"/>
        <v>4.1571962753867583E-2</v>
      </c>
      <c r="K56" s="1"/>
      <c r="L56" s="1">
        <f t="shared" si="30"/>
        <v>-9313.86</v>
      </c>
      <c r="M56" s="1"/>
      <c r="N56" s="5">
        <f t="shared" si="31"/>
        <v>-0.8645558340295183</v>
      </c>
      <c r="O56" s="14"/>
      <c r="P56" s="1">
        <f>SUM(OSRRefP22_6x_0)</f>
        <v>38281.15</v>
      </c>
      <c r="Q56" s="1"/>
      <c r="R56" s="5">
        <f t="shared" si="32"/>
        <v>5.6733742421519309E-2</v>
      </c>
      <c r="S56" s="1"/>
      <c r="T56" s="1">
        <f>SUM(OSRRefT22_6x_0)</f>
        <v>78638</v>
      </c>
      <c r="U56" s="1"/>
      <c r="V56" s="5">
        <f t="shared" si="33"/>
        <v>3.7665485199731778E-2</v>
      </c>
      <c r="W56" s="1"/>
      <c r="X56" s="1">
        <f t="shared" si="34"/>
        <v>-40356.85</v>
      </c>
      <c r="Y56" s="1"/>
      <c r="Z56" s="5">
        <f t="shared" si="35"/>
        <v>-0.51319781784887708</v>
      </c>
    </row>
    <row r="57" spans="1:26" s="24" customFormat="1" hidden="1" outlineLevel="2" x14ac:dyDescent="0.35">
      <c r="A57" s="29"/>
      <c r="B57" s="11" t="str">
        <f>CONCATENATE("          ", "6399", " - ", "DONATION-ON CAMPUS")</f>
        <v xml:space="preserve">          6399 - DONATION-ON CAMPUS</v>
      </c>
      <c r="C57" s="11"/>
      <c r="D57" s="7">
        <v>1459.14</v>
      </c>
      <c r="E57" s="2"/>
      <c r="F57" s="6">
        <f t="shared" si="28"/>
        <v>3.8146304098046729E-2</v>
      </c>
      <c r="G57" s="2"/>
      <c r="H57" s="7">
        <v>10773</v>
      </c>
      <c r="I57" s="2"/>
      <c r="J57" s="6">
        <f t="shared" si="29"/>
        <v>4.1571962753867583E-2</v>
      </c>
      <c r="K57" s="2"/>
      <c r="L57" s="7">
        <f t="shared" si="30"/>
        <v>-9313.86</v>
      </c>
      <c r="M57" s="2"/>
      <c r="N57" s="6">
        <f t="shared" si="31"/>
        <v>-0.8645558340295183</v>
      </c>
      <c r="O57" s="11"/>
      <c r="P57" s="7">
        <v>38281.15</v>
      </c>
      <c r="Q57" s="2"/>
      <c r="R57" s="6">
        <f t="shared" si="32"/>
        <v>5.6733742421519309E-2</v>
      </c>
      <c r="S57" s="2"/>
      <c r="T57" s="7">
        <v>78638</v>
      </c>
      <c r="U57" s="2"/>
      <c r="V57" s="6">
        <f t="shared" si="33"/>
        <v>3.7665485199731778E-2</v>
      </c>
      <c r="W57" s="2"/>
      <c r="X57" s="7">
        <f t="shared" si="34"/>
        <v>-40356.85</v>
      </c>
      <c r="Y57" s="2"/>
      <c r="Z57" s="6">
        <f t="shared" si="35"/>
        <v>-0.51319781784887708</v>
      </c>
    </row>
    <row r="58" spans="1:26" s="28" customFormat="1" outlineLevel="1" collapsed="1" x14ac:dyDescent="0.35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300</v>
      </c>
      <c r="I58" s="1"/>
      <c r="J58" s="5">
        <f t="shared" si="29"/>
        <v>1.1576709204641487E-3</v>
      </c>
      <c r="K58" s="1"/>
      <c r="L58" s="1">
        <f t="shared" si="30"/>
        <v>-300</v>
      </c>
      <c r="M58" s="1"/>
      <c r="N58" s="5">
        <f t="shared" si="31"/>
        <v>-1</v>
      </c>
      <c r="O58" s="14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1900</v>
      </c>
      <c r="U58" s="1"/>
      <c r="V58" s="5">
        <f t="shared" si="33"/>
        <v>9.1004885525433469E-4</v>
      </c>
      <c r="W58" s="1"/>
      <c r="X58" s="1">
        <f t="shared" si="34"/>
        <v>-1900</v>
      </c>
      <c r="Y58" s="1"/>
      <c r="Z58" s="5">
        <f t="shared" si="35"/>
        <v>-1</v>
      </c>
    </row>
    <row r="59" spans="1:26" s="24" customFormat="1" hidden="1" outlineLevel="2" x14ac:dyDescent="0.35">
      <c r="A59" s="29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8"/>
        <v>0</v>
      </c>
      <c r="G59" s="2"/>
      <c r="H59" s="7">
        <v>300</v>
      </c>
      <c r="I59" s="2"/>
      <c r="J59" s="6">
        <f t="shared" si="29"/>
        <v>1.1576709204641487E-3</v>
      </c>
      <c r="K59" s="2"/>
      <c r="L59" s="7">
        <f t="shared" si="30"/>
        <v>-300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1900</v>
      </c>
      <c r="U59" s="2"/>
      <c r="V59" s="6">
        <f t="shared" si="33"/>
        <v>9.1004885525433469E-4</v>
      </c>
      <c r="W59" s="2"/>
      <c r="X59" s="7">
        <f t="shared" si="34"/>
        <v>-1900</v>
      </c>
      <c r="Y59" s="2"/>
      <c r="Z59" s="6">
        <f t="shared" si="35"/>
        <v>-1</v>
      </c>
    </row>
    <row r="60" spans="1:26" s="28" customFormat="1" outlineLevel="1" collapsed="1" x14ac:dyDescent="0.35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353.49</v>
      </c>
      <c r="E60" s="1"/>
      <c r="F60" s="5">
        <f t="shared" si="28"/>
        <v>9.2412907847215058E-3</v>
      </c>
      <c r="G60" s="1"/>
      <c r="H60" s="1">
        <f>SUM(OSRRefH22_8x_0)</f>
        <v>690</v>
      </c>
      <c r="I60" s="1"/>
      <c r="J60" s="5">
        <f t="shared" si="29"/>
        <v>2.662643117067542E-3</v>
      </c>
      <c r="K60" s="1"/>
      <c r="L60" s="1">
        <f t="shared" si="30"/>
        <v>-336.51</v>
      </c>
      <c r="M60" s="1"/>
      <c r="N60" s="5">
        <f t="shared" si="31"/>
        <v>-0.48769565217391303</v>
      </c>
      <c r="O60" s="14"/>
      <c r="P60" s="1">
        <f>SUM(OSRRefP22_8x_0)</f>
        <v>3281.02</v>
      </c>
      <c r="Q60" s="1"/>
      <c r="R60" s="5">
        <f t="shared" si="32"/>
        <v>4.8625640441797933E-3</v>
      </c>
      <c r="S60" s="1"/>
      <c r="T60" s="1">
        <f>SUM(OSRRefT22_8x_0)</f>
        <v>4830</v>
      </c>
      <c r="U60" s="1"/>
      <c r="V60" s="5">
        <f t="shared" si="33"/>
        <v>2.3134399846728615E-3</v>
      </c>
      <c r="W60" s="1"/>
      <c r="X60" s="1">
        <f t="shared" si="34"/>
        <v>-1548.98</v>
      </c>
      <c r="Y60" s="1"/>
      <c r="Z60" s="5">
        <f t="shared" si="35"/>
        <v>-0.32069979296066253</v>
      </c>
    </row>
    <row r="61" spans="1:26" s="24" customFormat="1" hidden="1" outlineLevel="2" x14ac:dyDescent="0.35">
      <c r="A61" s="29"/>
      <c r="B61" s="11" t="str">
        <f>CONCATENATE("          ", "6351", " - ", "EQUIPMENT RENTAL")</f>
        <v xml:space="preserve">          6351 - EQUIPMENT RENTAL</v>
      </c>
      <c r="C61" s="11"/>
      <c r="D61" s="7">
        <v>353.49</v>
      </c>
      <c r="E61" s="2"/>
      <c r="F61" s="6">
        <f t="shared" si="28"/>
        <v>9.2412907847215058E-3</v>
      </c>
      <c r="G61" s="2"/>
      <c r="H61" s="7">
        <v>690</v>
      </c>
      <c r="I61" s="2"/>
      <c r="J61" s="6">
        <f t="shared" si="29"/>
        <v>2.662643117067542E-3</v>
      </c>
      <c r="K61" s="2"/>
      <c r="L61" s="7">
        <f t="shared" si="30"/>
        <v>-336.51</v>
      </c>
      <c r="M61" s="2"/>
      <c r="N61" s="6">
        <f t="shared" si="31"/>
        <v>-0.48769565217391303</v>
      </c>
      <c r="O61" s="11"/>
      <c r="P61" s="7">
        <v>3281.02</v>
      </c>
      <c r="Q61" s="2"/>
      <c r="R61" s="6">
        <f t="shared" si="32"/>
        <v>4.8625640441797933E-3</v>
      </c>
      <c r="S61" s="2"/>
      <c r="T61" s="7">
        <v>4830</v>
      </c>
      <c r="U61" s="2"/>
      <c r="V61" s="6">
        <f t="shared" si="33"/>
        <v>2.3134399846728615E-3</v>
      </c>
      <c r="W61" s="2"/>
      <c r="X61" s="7">
        <f t="shared" si="34"/>
        <v>-1548.98</v>
      </c>
      <c r="Y61" s="2"/>
      <c r="Z61" s="6">
        <f t="shared" si="35"/>
        <v>-0.32069979296066253</v>
      </c>
    </row>
    <row r="62" spans="1:26" s="28" customFormat="1" outlineLevel="1" collapsed="1" x14ac:dyDescent="0.35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0</v>
      </c>
      <c r="E62" s="1"/>
      <c r="F62" s="5">
        <f t="shared" si="28"/>
        <v>0</v>
      </c>
      <c r="G62" s="1"/>
      <c r="H62" s="1">
        <f>SUM(OSRRefH22_9x_0)</f>
        <v>430</v>
      </c>
      <c r="I62" s="1"/>
      <c r="J62" s="5">
        <f t="shared" si="29"/>
        <v>1.6593283193319466E-3</v>
      </c>
      <c r="K62" s="1"/>
      <c r="L62" s="1">
        <f t="shared" si="30"/>
        <v>-430</v>
      </c>
      <c r="M62" s="1"/>
      <c r="N62" s="5">
        <f t="shared" si="31"/>
        <v>-1</v>
      </c>
      <c r="O62" s="14"/>
      <c r="P62" s="1">
        <f>SUM(OSRRefP22_9x_0)</f>
        <v>7158.43</v>
      </c>
      <c r="Q62" s="1"/>
      <c r="R62" s="5">
        <f t="shared" si="32"/>
        <v>1.0608994864639032E-2</v>
      </c>
      <c r="S62" s="1"/>
      <c r="T62" s="1">
        <f>SUM(OSRRefT22_9x_0)</f>
        <v>7430</v>
      </c>
      <c r="U62" s="1"/>
      <c r="V62" s="5">
        <f t="shared" si="33"/>
        <v>3.5587699971261614E-3</v>
      </c>
      <c r="W62" s="1"/>
      <c r="X62" s="1">
        <f t="shared" si="34"/>
        <v>-271.56999999999971</v>
      </c>
      <c r="Y62" s="1"/>
      <c r="Z62" s="5">
        <f t="shared" si="35"/>
        <v>-3.6550471063257026E-2</v>
      </c>
    </row>
    <row r="63" spans="1:26" s="24" customFormat="1" hidden="1" outlineLevel="2" x14ac:dyDescent="0.35">
      <c r="A63" s="29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28"/>
        <v>0</v>
      </c>
      <c r="G63" s="2"/>
      <c r="H63" s="7">
        <v>430</v>
      </c>
      <c r="I63" s="2"/>
      <c r="J63" s="6">
        <f t="shared" si="29"/>
        <v>1.6593283193319466E-3</v>
      </c>
      <c r="K63" s="2"/>
      <c r="L63" s="7">
        <f t="shared" si="30"/>
        <v>-430</v>
      </c>
      <c r="M63" s="2"/>
      <c r="N63" s="6">
        <f t="shared" si="31"/>
        <v>-1</v>
      </c>
      <c r="O63" s="11"/>
      <c r="P63" s="7">
        <v>7158.43</v>
      </c>
      <c r="Q63" s="2"/>
      <c r="R63" s="6">
        <f t="shared" si="32"/>
        <v>1.0608994864639032E-2</v>
      </c>
      <c r="S63" s="2"/>
      <c r="T63" s="7">
        <v>7430</v>
      </c>
      <c r="U63" s="2"/>
      <c r="V63" s="6">
        <f t="shared" si="33"/>
        <v>3.5587699971261614E-3</v>
      </c>
      <c r="W63" s="2"/>
      <c r="X63" s="7">
        <f t="shared" si="34"/>
        <v>-271.56999999999971</v>
      </c>
      <c r="Y63" s="2"/>
      <c r="Z63" s="6">
        <f t="shared" si="35"/>
        <v>-3.6550471063257026E-2</v>
      </c>
    </row>
    <row r="64" spans="1:26" s="28" customFormat="1" outlineLevel="1" collapsed="1" x14ac:dyDescent="0.35">
      <c r="A64" s="27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SUM(OSRRefD22_10x_0)</f>
        <v>5.9</v>
      </c>
      <c r="E64" s="1"/>
      <c r="F64" s="5">
        <f t="shared" si="28"/>
        <v>1.5424372861992384E-4</v>
      </c>
      <c r="G64" s="1"/>
      <c r="H64" s="1">
        <f>SUM(OSRRefH22_10x_0)</f>
        <v>7</v>
      </c>
      <c r="I64" s="1"/>
      <c r="J64" s="5">
        <f t="shared" si="29"/>
        <v>2.7012321477496802E-5</v>
      </c>
      <c r="K64" s="1"/>
      <c r="L64" s="1">
        <f t="shared" si="30"/>
        <v>-1.0999999999999996</v>
      </c>
      <c r="M64" s="1"/>
      <c r="N64" s="5">
        <f t="shared" si="31"/>
        <v>-0.15714285714285708</v>
      </c>
      <c r="O64" s="14"/>
      <c r="P64" s="1">
        <f>SUM(OSRRefP22_10x_0)</f>
        <v>41.3</v>
      </c>
      <c r="Q64" s="1"/>
      <c r="R64" s="5">
        <f t="shared" si="32"/>
        <v>6.1207763142140381E-5</v>
      </c>
      <c r="S64" s="1"/>
      <c r="T64" s="1">
        <f>SUM(OSRRefT22_10x_0)</f>
        <v>49</v>
      </c>
      <c r="U64" s="1"/>
      <c r="V64" s="5">
        <f t="shared" si="33"/>
        <v>2.3469681003927578E-5</v>
      </c>
      <c r="W64" s="1"/>
      <c r="X64" s="1">
        <f t="shared" si="34"/>
        <v>-7.7000000000000028</v>
      </c>
      <c r="Y64" s="1"/>
      <c r="Z64" s="5">
        <f t="shared" si="35"/>
        <v>-0.1571428571428572</v>
      </c>
    </row>
    <row r="65" spans="1:26" s="24" customFormat="1" hidden="1" outlineLevel="2" x14ac:dyDescent="0.35">
      <c r="A65" s="29"/>
      <c r="B65" s="11" t="str">
        <f>CONCATENATE("          ", "6314", " - ", "LIABILITY INSURANCE")</f>
        <v xml:space="preserve">          6314 - LIABILITY INSURANCE</v>
      </c>
      <c r="C65" s="11"/>
      <c r="D65" s="7">
        <v>5.9</v>
      </c>
      <c r="E65" s="2"/>
      <c r="F65" s="6">
        <f t="shared" si="28"/>
        <v>1.5424372861992384E-4</v>
      </c>
      <c r="G65" s="2"/>
      <c r="H65" s="7">
        <v>7</v>
      </c>
      <c r="I65" s="2"/>
      <c r="J65" s="6">
        <f t="shared" si="29"/>
        <v>2.7012321477496802E-5</v>
      </c>
      <c r="K65" s="2"/>
      <c r="L65" s="7">
        <f t="shared" si="30"/>
        <v>-1.0999999999999996</v>
      </c>
      <c r="M65" s="2"/>
      <c r="N65" s="6">
        <f t="shared" si="31"/>
        <v>-0.15714285714285708</v>
      </c>
      <c r="O65" s="11"/>
      <c r="P65" s="7">
        <v>41.3</v>
      </c>
      <c r="Q65" s="2"/>
      <c r="R65" s="6">
        <f t="shared" si="32"/>
        <v>6.1207763142140381E-5</v>
      </c>
      <c r="S65" s="2"/>
      <c r="T65" s="7">
        <v>49</v>
      </c>
      <c r="U65" s="2"/>
      <c r="V65" s="6">
        <f t="shared" si="33"/>
        <v>2.3469681003927578E-5</v>
      </c>
      <c r="W65" s="2"/>
      <c r="X65" s="7">
        <f t="shared" si="34"/>
        <v>-7.7000000000000028</v>
      </c>
      <c r="Y65" s="2"/>
      <c r="Z65" s="6">
        <f t="shared" si="35"/>
        <v>-0.1571428571428572</v>
      </c>
    </row>
    <row r="66" spans="1:26" s="28" customFormat="1" outlineLevel="1" collapsed="1" x14ac:dyDescent="0.35">
      <c r="A66" s="27"/>
      <c r="B66" s="14" t="str">
        <f>CONCATENATE("     ","R/H Commissions                                   ")</f>
        <v xml:space="preserve">     R/H Commissions                                   </v>
      </c>
      <c r="C66" s="14"/>
      <c r="D66" s="1">
        <f>SUM(OSRRefD22_11x_0)</f>
        <v>-29103.129999999997</v>
      </c>
      <c r="E66" s="1"/>
      <c r="F66" s="5">
        <f t="shared" si="28"/>
        <v>-0.76084326876446839</v>
      </c>
      <c r="G66" s="1"/>
      <c r="H66" s="1">
        <f>SUM(OSRRefH22_11x_0)</f>
        <v>20731</v>
      </c>
      <c r="I66" s="1"/>
      <c r="J66" s="5">
        <f t="shared" si="29"/>
        <v>7.9998919507140887E-2</v>
      </c>
      <c r="K66" s="1"/>
      <c r="L66" s="1">
        <f t="shared" si="30"/>
        <v>-49834.13</v>
      </c>
      <c r="M66" s="1"/>
      <c r="N66" s="5">
        <f t="shared" si="31"/>
        <v>-2.4038459312141236</v>
      </c>
      <c r="O66" s="14"/>
      <c r="P66" s="1">
        <f>SUM(OSRRefP22_11x_0)</f>
        <v>45913.36</v>
      </c>
      <c r="Q66" s="1"/>
      <c r="R66" s="5">
        <f t="shared" si="32"/>
        <v>6.804489258934196E-2</v>
      </c>
      <c r="S66" s="1"/>
      <c r="T66" s="1">
        <f>SUM(OSRRefT22_11x_0)</f>
        <v>169302</v>
      </c>
      <c r="U66" s="1"/>
      <c r="V66" s="5">
        <f t="shared" si="33"/>
        <v>8.1091100680141776E-2</v>
      </c>
      <c r="W66" s="1"/>
      <c r="X66" s="1">
        <f t="shared" si="34"/>
        <v>-123388.64</v>
      </c>
      <c r="Y66" s="1"/>
      <c r="Z66" s="5">
        <f t="shared" si="35"/>
        <v>-0.72880792902623714</v>
      </c>
    </row>
    <row r="67" spans="1:26" s="24" customFormat="1" hidden="1" outlineLevel="2" x14ac:dyDescent="0.35">
      <c r="A67" s="29"/>
      <c r="B67" s="11" t="str">
        <f>CONCATENATE("          ", "6387", " - ", "COMMISSION DUE HOUSING")</f>
        <v xml:space="preserve">          6387 - COMMISSION DUE HOUSING</v>
      </c>
      <c r="C67" s="11"/>
      <c r="D67" s="7">
        <v>-29103.129999999997</v>
      </c>
      <c r="E67" s="2"/>
      <c r="F67" s="6">
        <f t="shared" si="28"/>
        <v>-0.76084326876446839</v>
      </c>
      <c r="G67" s="2"/>
      <c r="H67" s="7">
        <v>20731</v>
      </c>
      <c r="I67" s="2"/>
      <c r="J67" s="6">
        <f t="shared" si="29"/>
        <v>7.9998919507140887E-2</v>
      </c>
      <c r="K67" s="2"/>
      <c r="L67" s="7">
        <f t="shared" si="30"/>
        <v>-49834.13</v>
      </c>
      <c r="M67" s="2"/>
      <c r="N67" s="6">
        <f t="shared" si="31"/>
        <v>-2.4038459312141236</v>
      </c>
      <c r="O67" s="11"/>
      <c r="P67" s="7">
        <v>45913.36</v>
      </c>
      <c r="Q67" s="2"/>
      <c r="R67" s="6">
        <f t="shared" si="32"/>
        <v>6.804489258934196E-2</v>
      </c>
      <c r="S67" s="2"/>
      <c r="T67" s="7">
        <v>169302</v>
      </c>
      <c r="U67" s="2"/>
      <c r="V67" s="6">
        <f t="shared" si="33"/>
        <v>8.1091100680141776E-2</v>
      </c>
      <c r="W67" s="2"/>
      <c r="X67" s="7">
        <f t="shared" si="34"/>
        <v>-123388.64</v>
      </c>
      <c r="Y67" s="2"/>
      <c r="Z67" s="6">
        <f t="shared" si="35"/>
        <v>-0.72880792902623714</v>
      </c>
    </row>
    <row r="68" spans="1:26" s="28" customFormat="1" outlineLevel="1" collapsed="1" x14ac:dyDescent="0.35">
      <c r="A68" s="27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SUM(OSRRefD22_12x_0)</f>
        <v>3524.94</v>
      </c>
      <c r="E68" s="1"/>
      <c r="F68" s="5">
        <f t="shared" si="28"/>
        <v>9.2152523518900742E-2</v>
      </c>
      <c r="G68" s="1"/>
      <c r="H68" s="1">
        <f>SUM(OSRRefH22_12x_0)</f>
        <v>8508</v>
      </c>
      <c r="I68" s="1"/>
      <c r="J68" s="5">
        <f t="shared" si="29"/>
        <v>3.2831547304363259E-2</v>
      </c>
      <c r="K68" s="1"/>
      <c r="L68" s="1">
        <f t="shared" si="30"/>
        <v>-4983.0599999999995</v>
      </c>
      <c r="M68" s="1"/>
      <c r="N68" s="5">
        <f t="shared" si="31"/>
        <v>-0.58569111424541598</v>
      </c>
      <c r="O68" s="14"/>
      <c r="P68" s="1">
        <f>SUM(OSRRefP22_12x_0)</f>
        <v>11671.73</v>
      </c>
      <c r="Q68" s="1"/>
      <c r="R68" s="5">
        <f t="shared" si="32"/>
        <v>1.729783257382601E-2</v>
      </c>
      <c r="S68" s="1"/>
      <c r="T68" s="1">
        <f>SUM(OSRRefT22_12x_0)</f>
        <v>26739</v>
      </c>
      <c r="U68" s="1"/>
      <c r="V68" s="5">
        <f t="shared" si="33"/>
        <v>1.2807261231918766E-2</v>
      </c>
      <c r="W68" s="1"/>
      <c r="X68" s="1">
        <f t="shared" si="34"/>
        <v>-15067.27</v>
      </c>
      <c r="Y68" s="1"/>
      <c r="Z68" s="5">
        <f t="shared" si="35"/>
        <v>-0.56349414712592094</v>
      </c>
    </row>
    <row r="69" spans="1:26" s="24" customFormat="1" hidden="1" outlineLevel="2" x14ac:dyDescent="0.35">
      <c r="A69" s="29"/>
      <c r="B69" s="11" t="str">
        <f>CONCATENATE("          ", "6371", " - ", "COMPUTER SOFTWARE MAINTENANCE")</f>
        <v xml:space="preserve">          6371 - COMPUTER SOFTWARE MAINTENANCE</v>
      </c>
      <c r="C69" s="11"/>
      <c r="D69" s="7">
        <v>3500</v>
      </c>
      <c r="E69" s="2"/>
      <c r="F69" s="6">
        <f t="shared" si="28"/>
        <v>9.1500516977920915E-2</v>
      </c>
      <c r="G69" s="2"/>
      <c r="H69" s="7">
        <v>8000</v>
      </c>
      <c r="I69" s="2"/>
      <c r="J69" s="6">
        <f t="shared" si="29"/>
        <v>3.0871224545710632E-2</v>
      </c>
      <c r="K69" s="2"/>
      <c r="L69" s="7">
        <f t="shared" si="30"/>
        <v>-4500</v>
      </c>
      <c r="M69" s="2"/>
      <c r="N69" s="6">
        <f t="shared" si="31"/>
        <v>-0.5625</v>
      </c>
      <c r="O69" s="11"/>
      <c r="P69" s="7">
        <v>7000</v>
      </c>
      <c r="Q69" s="2"/>
      <c r="R69" s="6">
        <f t="shared" si="32"/>
        <v>1.0374197142735658E-2</v>
      </c>
      <c r="S69" s="2"/>
      <c r="T69" s="7">
        <v>16500</v>
      </c>
      <c r="U69" s="2"/>
      <c r="V69" s="6">
        <f t="shared" si="33"/>
        <v>7.9030558482613283E-3</v>
      </c>
      <c r="W69" s="2"/>
      <c r="X69" s="7">
        <f t="shared" si="34"/>
        <v>-9500</v>
      </c>
      <c r="Y69" s="2"/>
      <c r="Z69" s="6">
        <f t="shared" si="35"/>
        <v>-0.5757575757575758</v>
      </c>
    </row>
    <row r="70" spans="1:26" s="24" customFormat="1" hidden="1" outlineLevel="2" x14ac:dyDescent="0.35">
      <c r="A70" s="29"/>
      <c r="B70" s="11" t="str">
        <f>CONCATENATE("          ", "6372", " - ", "COMPUTER HARDWARE MAINTENANCE")</f>
        <v xml:space="preserve">          6372 - COMPUTER HARDWARE MAINTENANCE</v>
      </c>
      <c r="C70" s="11"/>
      <c r="D70" s="7"/>
      <c r="E70" s="2"/>
      <c r="F70" s="6">
        <f t="shared" si="28"/>
        <v>0</v>
      </c>
      <c r="G70" s="2"/>
      <c r="H70" s="7"/>
      <c r="I70" s="2"/>
      <c r="J70" s="6">
        <f t="shared" si="29"/>
        <v>0</v>
      </c>
      <c r="K70" s="2"/>
      <c r="L70" s="7">
        <f t="shared" si="30"/>
        <v>0</v>
      </c>
      <c r="M70" s="2"/>
      <c r="N70" s="6">
        <f t="shared" si="31"/>
        <v>0</v>
      </c>
      <c r="O70" s="11"/>
      <c r="P70" s="7"/>
      <c r="Q70" s="2"/>
      <c r="R70" s="6">
        <f t="shared" si="32"/>
        <v>0</v>
      </c>
      <c r="S70" s="2"/>
      <c r="T70" s="7">
        <v>3083</v>
      </c>
      <c r="U70" s="2"/>
      <c r="V70" s="6">
        <f t="shared" si="33"/>
        <v>1.4766740109205864E-3</v>
      </c>
      <c r="W70" s="2"/>
      <c r="X70" s="7">
        <f t="shared" si="34"/>
        <v>-3083</v>
      </c>
      <c r="Y70" s="2"/>
      <c r="Z70" s="6">
        <f t="shared" si="35"/>
        <v>-1</v>
      </c>
    </row>
    <row r="71" spans="1:26" s="24" customFormat="1" hidden="1" outlineLevel="2" x14ac:dyDescent="0.35">
      <c r="A71" s="29"/>
      <c r="B71" s="11" t="str">
        <f>CONCATENATE("          ", "6373", " - ", "MAINTENANCE CONTRACTS")</f>
        <v xml:space="preserve">          6373 - MAINTENANCE CONTRACTS</v>
      </c>
      <c r="C71" s="11"/>
      <c r="D71" s="7">
        <v>5.94</v>
      </c>
      <c r="E71" s="2"/>
      <c r="F71" s="6">
        <f t="shared" si="28"/>
        <v>1.5528944881395724E-4</v>
      </c>
      <c r="G71" s="2"/>
      <c r="H71" s="7">
        <v>58</v>
      </c>
      <c r="I71" s="2"/>
      <c r="J71" s="6">
        <f t="shared" si="29"/>
        <v>2.238163779564021E-4</v>
      </c>
      <c r="K71" s="2"/>
      <c r="L71" s="7">
        <f t="shared" si="30"/>
        <v>-52.06</v>
      </c>
      <c r="M71" s="2"/>
      <c r="N71" s="6">
        <f t="shared" si="31"/>
        <v>-0.89758620689655177</v>
      </c>
      <c r="O71" s="11"/>
      <c r="P71" s="7">
        <v>2975.91</v>
      </c>
      <c r="Q71" s="2"/>
      <c r="R71" s="6">
        <f t="shared" si="32"/>
        <v>4.4103824312912102E-3</v>
      </c>
      <c r="S71" s="2"/>
      <c r="T71" s="7">
        <v>4006</v>
      </c>
      <c r="U71" s="2"/>
      <c r="V71" s="6">
        <f t="shared" si="33"/>
        <v>1.9187661653415078E-3</v>
      </c>
      <c r="W71" s="2"/>
      <c r="X71" s="7">
        <f t="shared" si="34"/>
        <v>-1030.0900000000001</v>
      </c>
      <c r="Y71" s="2"/>
      <c r="Z71" s="6">
        <f t="shared" si="35"/>
        <v>-0.25713679480778834</v>
      </c>
    </row>
    <row r="72" spans="1:26" s="24" customFormat="1" hidden="1" outlineLevel="2" x14ac:dyDescent="0.35">
      <c r="A72" s="29"/>
      <c r="B72" s="11" t="str">
        <f>CONCATENATE("          ", "6375", " - ", "OUTSIDE REPAIRS &amp; MAINTENANCE")</f>
        <v xml:space="preserve">          6375 - OUTSIDE REPAIRS &amp; MAINTENANCE</v>
      </c>
      <c r="C72" s="11"/>
      <c r="D72" s="7">
        <v>19</v>
      </c>
      <c r="E72" s="2"/>
      <c r="F72" s="6">
        <f t="shared" si="28"/>
        <v>4.9671709216585647E-4</v>
      </c>
      <c r="G72" s="2"/>
      <c r="H72" s="7">
        <v>450</v>
      </c>
      <c r="I72" s="2"/>
      <c r="J72" s="6">
        <f t="shared" si="29"/>
        <v>1.7365063806962231E-3</v>
      </c>
      <c r="K72" s="2"/>
      <c r="L72" s="7">
        <f t="shared" si="30"/>
        <v>-431</v>
      </c>
      <c r="M72" s="2"/>
      <c r="N72" s="6">
        <f t="shared" si="31"/>
        <v>-0.95777777777777773</v>
      </c>
      <c r="O72" s="11"/>
      <c r="P72" s="7">
        <v>1695.82</v>
      </c>
      <c r="Q72" s="2"/>
      <c r="R72" s="6">
        <f t="shared" si="32"/>
        <v>2.5132529997991407E-3</v>
      </c>
      <c r="S72" s="2"/>
      <c r="T72" s="7">
        <v>3150</v>
      </c>
      <c r="U72" s="2"/>
      <c r="V72" s="6">
        <f t="shared" si="33"/>
        <v>1.5087652073953444E-3</v>
      </c>
      <c r="W72" s="2"/>
      <c r="X72" s="7">
        <f t="shared" si="34"/>
        <v>-1454.18</v>
      </c>
      <c r="Y72" s="2"/>
      <c r="Z72" s="6">
        <f t="shared" si="35"/>
        <v>-0.46164444444444447</v>
      </c>
    </row>
    <row r="73" spans="1:26" s="28" customFormat="1" outlineLevel="1" collapsed="1" x14ac:dyDescent="0.35">
      <c r="A73" s="27"/>
      <c r="B73" s="14" t="str">
        <f>CONCATENATE("     ","Services                                          ")</f>
        <v xml:space="preserve">     Services                                          </v>
      </c>
      <c r="C73" s="14"/>
      <c r="D73" s="1">
        <f>SUM(OSRRefD22_13x_0)</f>
        <v>13280.949999999999</v>
      </c>
      <c r="E73" s="1"/>
      <c r="F73" s="5">
        <f t="shared" ref="F73:F77" si="36">IF(D$12=0,0,D73/D$12)</f>
        <v>0.34720394027369106</v>
      </c>
      <c r="G73" s="1"/>
      <c r="H73" s="1">
        <f>SUM(OSRRefH22_13x_0)</f>
        <v>19902</v>
      </c>
      <c r="I73" s="1"/>
      <c r="J73" s="5">
        <f t="shared" ref="J73:J77" si="37">IF(H$12=0,0,H73/H$12)</f>
        <v>7.6799888863591625E-2</v>
      </c>
      <c r="K73" s="1"/>
      <c r="L73" s="1">
        <f t="shared" ref="L73:L77" si="38">+D73-H73</f>
        <v>-6621.0500000000011</v>
      </c>
      <c r="M73" s="1"/>
      <c r="N73" s="5">
        <f t="shared" ref="N73:N77" si="39">IF(H73=0,0,L73/H73)</f>
        <v>-0.33268264496030553</v>
      </c>
      <c r="O73" s="14"/>
      <c r="P73" s="1">
        <f>SUM(OSRRefP22_13x_0)</f>
        <v>78806.94</v>
      </c>
      <c r="Q73" s="1"/>
      <c r="R73" s="5">
        <f t="shared" ref="R73:R77" si="40">IF(P$12=0,0,P73/P$12)</f>
        <v>0.1167941045393915</v>
      </c>
      <c r="S73" s="1"/>
      <c r="T73" s="1">
        <f>SUM(OSRRefT22_13x_0)</f>
        <v>134352</v>
      </c>
      <c r="U73" s="1"/>
      <c r="V73" s="5">
        <f t="shared" ref="V73:V77" si="41">IF(T$12=0,0,T73/T$12)</f>
        <v>6.435099147427914E-2</v>
      </c>
      <c r="W73" s="1"/>
      <c r="X73" s="1">
        <f t="shared" ref="X73:X77" si="42">+P73-T73</f>
        <v>-55545.06</v>
      </c>
      <c r="Y73" s="1"/>
      <c r="Z73" s="5">
        <f t="shared" ref="Z73:Z77" si="43">IF(T73=0,0,X73/T73)</f>
        <v>-0.41342934976777418</v>
      </c>
    </row>
    <row r="74" spans="1:26" s="24" customFormat="1" hidden="1" outlineLevel="2" x14ac:dyDescent="0.35">
      <c r="A74" s="29"/>
      <c r="B74" s="11" t="str">
        <f>CONCATENATE("          ", "6282", " - ", "JANITORIAL/EXTERMINATOR EXPENS")</f>
        <v xml:space="preserve">          6282 - JANITORIAL/EXTERMINATOR EXPENS</v>
      </c>
      <c r="C74" s="11"/>
      <c r="D74" s="7">
        <v>3610.45</v>
      </c>
      <c r="E74" s="2"/>
      <c r="F74" s="6">
        <f t="shared" si="36"/>
        <v>9.4388011863695595E-2</v>
      </c>
      <c r="G74" s="2"/>
      <c r="H74" s="7">
        <v>1750</v>
      </c>
      <c r="I74" s="2"/>
      <c r="J74" s="6">
        <f t="shared" si="37"/>
        <v>6.7530803693742012E-3</v>
      </c>
      <c r="K74" s="2"/>
      <c r="L74" s="7">
        <f t="shared" si="38"/>
        <v>1860.4499999999998</v>
      </c>
      <c r="M74" s="2"/>
      <c r="N74" s="6">
        <f t="shared" si="39"/>
        <v>1.0631142857142857</v>
      </c>
      <c r="O74" s="11"/>
      <c r="P74" s="7">
        <v>9495.31</v>
      </c>
      <c r="Q74" s="2"/>
      <c r="R74" s="6">
        <f t="shared" si="40"/>
        <v>1.4072316838769904E-2</v>
      </c>
      <c r="S74" s="2"/>
      <c r="T74" s="7">
        <v>12250</v>
      </c>
      <c r="U74" s="2"/>
      <c r="V74" s="6">
        <f t="shared" si="41"/>
        <v>5.8674202509818949E-3</v>
      </c>
      <c r="W74" s="2"/>
      <c r="X74" s="7">
        <f t="shared" si="42"/>
        <v>-2754.6900000000005</v>
      </c>
      <c r="Y74" s="2"/>
      <c r="Z74" s="6">
        <f t="shared" si="43"/>
        <v>-0.22487265306122453</v>
      </c>
    </row>
    <row r="75" spans="1:26" s="24" customFormat="1" hidden="1" outlineLevel="2" x14ac:dyDescent="0.35">
      <c r="A75" s="29"/>
      <c r="B75" s="11" t="str">
        <f>CONCATENATE("          ", "6284", " - ", "TRASH REMOVAL EXPENSE")</f>
        <v xml:space="preserve">          6284 - TRASH REMOVAL EXPENSE</v>
      </c>
      <c r="C75" s="11"/>
      <c r="D75" s="7"/>
      <c r="E75" s="2"/>
      <c r="F75" s="6">
        <f t="shared" si="36"/>
        <v>0</v>
      </c>
      <c r="G75" s="2"/>
      <c r="H75" s="7">
        <v>500</v>
      </c>
      <c r="I75" s="2"/>
      <c r="J75" s="6">
        <f t="shared" si="37"/>
        <v>1.9294515341069145E-3</v>
      </c>
      <c r="K75" s="2"/>
      <c r="L75" s="7">
        <f t="shared" si="38"/>
        <v>-500</v>
      </c>
      <c r="M75" s="2"/>
      <c r="N75" s="6">
        <f t="shared" si="39"/>
        <v>-1</v>
      </c>
      <c r="O75" s="11"/>
      <c r="P75" s="7">
        <v>282.75</v>
      </c>
      <c r="Q75" s="2"/>
      <c r="R75" s="6">
        <f t="shared" si="40"/>
        <v>4.190434631583582E-4</v>
      </c>
      <c r="S75" s="2"/>
      <c r="T75" s="7">
        <v>3500</v>
      </c>
      <c r="U75" s="2"/>
      <c r="V75" s="6">
        <f t="shared" si="41"/>
        <v>1.6764057859948271E-3</v>
      </c>
      <c r="W75" s="2"/>
      <c r="X75" s="7">
        <f t="shared" si="42"/>
        <v>-3217.25</v>
      </c>
      <c r="Y75" s="2"/>
      <c r="Z75" s="6">
        <f t="shared" si="43"/>
        <v>-0.91921428571428576</v>
      </c>
    </row>
    <row r="76" spans="1:26" s="24" customFormat="1" hidden="1" outlineLevel="2" x14ac:dyDescent="0.35">
      <c r="A76" s="29"/>
      <c r="B76" s="11" t="str">
        <f>CONCATENATE("          ", "6285", " - ", "JANITORIAL SERVICES")</f>
        <v xml:space="preserve">          6285 - JANITORIAL SERVICES</v>
      </c>
      <c r="C76" s="11"/>
      <c r="D76" s="7">
        <v>8897.19</v>
      </c>
      <c r="E76" s="2"/>
      <c r="F76" s="6">
        <f t="shared" si="36"/>
        <v>0.23259928132879665</v>
      </c>
      <c r="G76" s="2"/>
      <c r="H76" s="7">
        <v>13152</v>
      </c>
      <c r="I76" s="2"/>
      <c r="J76" s="6">
        <f t="shared" si="37"/>
        <v>5.0752293153148283E-2</v>
      </c>
      <c r="K76" s="2"/>
      <c r="L76" s="7">
        <f t="shared" si="38"/>
        <v>-4254.8099999999995</v>
      </c>
      <c r="M76" s="2"/>
      <c r="N76" s="6">
        <f t="shared" si="39"/>
        <v>-0.3235104927007299</v>
      </c>
      <c r="O76" s="11"/>
      <c r="P76" s="7">
        <v>58199.17</v>
      </c>
      <c r="Q76" s="2"/>
      <c r="R76" s="6">
        <f t="shared" si="40"/>
        <v>8.6252809017655266E-2</v>
      </c>
      <c r="S76" s="2"/>
      <c r="T76" s="7">
        <v>87102</v>
      </c>
      <c r="U76" s="2"/>
      <c r="V76" s="6">
        <f t="shared" si="41"/>
        <v>4.1719513363348983E-2</v>
      </c>
      <c r="W76" s="2"/>
      <c r="X76" s="7">
        <f t="shared" si="42"/>
        <v>-28902.83</v>
      </c>
      <c r="Y76" s="2"/>
      <c r="Z76" s="6">
        <f t="shared" si="43"/>
        <v>-0.33182739776354159</v>
      </c>
    </row>
    <row r="77" spans="1:26" s="24" customFormat="1" hidden="1" outlineLevel="2" x14ac:dyDescent="0.35">
      <c r="A77" s="29"/>
      <c r="B77" s="11" t="str">
        <f>CONCATENATE("          ", "6286", " - ", "LAUNDRY EXPENSE")</f>
        <v xml:space="preserve">          6286 - LAUNDRY EXPENSE</v>
      </c>
      <c r="C77" s="11"/>
      <c r="D77" s="7">
        <v>773.31</v>
      </c>
      <c r="E77" s="2"/>
      <c r="F77" s="6">
        <f t="shared" si="36"/>
        <v>2.0216647081198864E-2</v>
      </c>
      <c r="G77" s="2"/>
      <c r="H77" s="7">
        <v>4500</v>
      </c>
      <c r="I77" s="2"/>
      <c r="J77" s="6">
        <f t="shared" si="37"/>
        <v>1.736506380696223E-2</v>
      </c>
      <c r="K77" s="2"/>
      <c r="L77" s="7">
        <f t="shared" si="38"/>
        <v>-3726.69</v>
      </c>
      <c r="M77" s="2"/>
      <c r="N77" s="6">
        <f t="shared" si="39"/>
        <v>-0.8281533333333333</v>
      </c>
      <c r="O77" s="11"/>
      <c r="P77" s="7">
        <v>10829.71</v>
      </c>
      <c r="Q77" s="2"/>
      <c r="R77" s="6">
        <f t="shared" si="40"/>
        <v>1.6049935219807968E-2</v>
      </c>
      <c r="S77" s="2"/>
      <c r="T77" s="7">
        <v>31500</v>
      </c>
      <c r="U77" s="2"/>
      <c r="V77" s="6">
        <f t="shared" si="41"/>
        <v>1.5087652073953444E-2</v>
      </c>
      <c r="W77" s="2"/>
      <c r="X77" s="7">
        <f t="shared" si="42"/>
        <v>-20670.29</v>
      </c>
      <c r="Y77" s="2"/>
      <c r="Z77" s="6">
        <f t="shared" si="43"/>
        <v>-0.65619968253968253</v>
      </c>
    </row>
    <row r="78" spans="1:26" s="28" customFormat="1" outlineLevel="1" collapsed="1" x14ac:dyDescent="0.35">
      <c r="A78" s="27"/>
      <c r="B78" s="14" t="str">
        <f>CONCATENATE("     ","Subscriptions &amp; Dues                              ")</f>
        <v xml:space="preserve">     Subscriptions &amp; Dues                              </v>
      </c>
      <c r="C78" s="14"/>
      <c r="D78" s="1">
        <f>SUM(OSRRefD22_14x_0)</f>
        <v>0</v>
      </c>
      <c r="E78" s="1"/>
      <c r="F78" s="5">
        <f t="shared" ref="F78:F90" si="44">IF(D$12=0,0,D78/D$12)</f>
        <v>0</v>
      </c>
      <c r="G78" s="1"/>
      <c r="H78" s="1">
        <f>SUM(OSRRefH22_14x_0)</f>
        <v>0</v>
      </c>
      <c r="I78" s="1"/>
      <c r="J78" s="5">
        <f t="shared" ref="J78:J90" si="45">IF(H$12=0,0,H78/H$12)</f>
        <v>0</v>
      </c>
      <c r="K78" s="1"/>
      <c r="L78" s="1">
        <f t="shared" ref="L78:L90" si="46">+D78-H78</f>
        <v>0</v>
      </c>
      <c r="M78" s="1"/>
      <c r="N78" s="5">
        <f t="shared" ref="N78:N90" si="47">IF(H78=0,0,L78/H78)</f>
        <v>0</v>
      </c>
      <c r="O78" s="14"/>
      <c r="P78" s="1">
        <f>SUM(OSRRefP22_14x_0)</f>
        <v>795</v>
      </c>
      <c r="Q78" s="1"/>
      <c r="R78" s="5">
        <f t="shared" ref="R78:R90" si="48">IF(P$12=0,0,P78/P$12)</f>
        <v>1.1782123897821212E-3</v>
      </c>
      <c r="S78" s="1"/>
      <c r="T78" s="1">
        <f>SUM(OSRRefT22_14x_0)</f>
        <v>0</v>
      </c>
      <c r="U78" s="1"/>
      <c r="V78" s="5">
        <f t="shared" ref="V78:V90" si="49">IF(T$12=0,0,T78/T$12)</f>
        <v>0</v>
      </c>
      <c r="W78" s="1"/>
      <c r="X78" s="1">
        <f t="shared" ref="X78:X90" si="50">+P78-T78</f>
        <v>795</v>
      </c>
      <c r="Y78" s="1"/>
      <c r="Z78" s="5">
        <f t="shared" ref="Z78:Z90" si="51">IF(T78=0,0,X78/T78)</f>
        <v>0</v>
      </c>
    </row>
    <row r="79" spans="1:26" s="24" customFormat="1" hidden="1" outlineLevel="2" x14ac:dyDescent="0.35">
      <c r="A79" s="29"/>
      <c r="B79" s="11" t="str">
        <f>CONCATENATE("          ", "6258", " - ", "MEMBERSHIP DUES")</f>
        <v xml:space="preserve">          6258 - MEMBERSHIP DUES</v>
      </c>
      <c r="C79" s="11"/>
      <c r="D79" s="7"/>
      <c r="E79" s="2"/>
      <c r="F79" s="6">
        <f t="shared" si="44"/>
        <v>0</v>
      </c>
      <c r="G79" s="2"/>
      <c r="H79" s="7"/>
      <c r="I79" s="2"/>
      <c r="J79" s="6">
        <f t="shared" si="45"/>
        <v>0</v>
      </c>
      <c r="K79" s="2"/>
      <c r="L79" s="7">
        <f t="shared" si="46"/>
        <v>0</v>
      </c>
      <c r="M79" s="2"/>
      <c r="N79" s="6">
        <f t="shared" si="47"/>
        <v>0</v>
      </c>
      <c r="O79" s="11"/>
      <c r="P79" s="7">
        <v>795</v>
      </c>
      <c r="Q79" s="2"/>
      <c r="R79" s="6">
        <f t="shared" si="48"/>
        <v>1.1782123897821212E-3</v>
      </c>
      <c r="S79" s="2"/>
      <c r="T79" s="7"/>
      <c r="U79" s="2"/>
      <c r="V79" s="6">
        <f t="shared" si="49"/>
        <v>0</v>
      </c>
      <c r="W79" s="2"/>
      <c r="X79" s="7">
        <f t="shared" si="50"/>
        <v>795</v>
      </c>
      <c r="Y79" s="2"/>
      <c r="Z79" s="6">
        <f t="shared" si="51"/>
        <v>0</v>
      </c>
    </row>
    <row r="80" spans="1:26" s="28" customFormat="1" outlineLevel="1" collapsed="1" x14ac:dyDescent="0.35">
      <c r="A80" s="27"/>
      <c r="B80" s="14" t="str">
        <f>CONCATENATE("     ","Supplies                                          ")</f>
        <v xml:space="preserve">     Supplies                                          </v>
      </c>
      <c r="C80" s="14"/>
      <c r="D80" s="1">
        <f>SUM(OSRRefD22_15x_0)</f>
        <v>10758.24</v>
      </c>
      <c r="E80" s="1"/>
      <c r="F80" s="5">
        <f t="shared" si="44"/>
        <v>0.28125272050644229</v>
      </c>
      <c r="G80" s="1"/>
      <c r="H80" s="1">
        <f>SUM(OSRRefH22_15x_0)</f>
        <v>27448</v>
      </c>
      <c r="I80" s="1"/>
      <c r="J80" s="5">
        <f t="shared" si="45"/>
        <v>0.10591917141633318</v>
      </c>
      <c r="K80" s="1"/>
      <c r="L80" s="1">
        <f t="shared" si="46"/>
        <v>-16689.760000000002</v>
      </c>
      <c r="M80" s="1"/>
      <c r="N80" s="5">
        <f t="shared" si="47"/>
        <v>-0.60805013115709716</v>
      </c>
      <c r="O80" s="14"/>
      <c r="P80" s="1">
        <f>SUM(OSRRefP22_15x_0)</f>
        <v>100499.02</v>
      </c>
      <c r="Q80" s="1"/>
      <c r="R80" s="5">
        <f t="shared" si="48"/>
        <v>0.14894237801881913</v>
      </c>
      <c r="S80" s="1"/>
      <c r="T80" s="1">
        <f>SUM(OSRRefT22_15x_0)</f>
        <v>176138</v>
      </c>
      <c r="U80" s="1"/>
      <c r="V80" s="5">
        <f t="shared" si="49"/>
        <v>8.4365360666730532E-2</v>
      </c>
      <c r="W80" s="1"/>
      <c r="X80" s="1">
        <f t="shared" si="50"/>
        <v>-75638.98</v>
      </c>
      <c r="Y80" s="1"/>
      <c r="Z80" s="5">
        <f t="shared" si="51"/>
        <v>-0.42943021948699311</v>
      </c>
    </row>
    <row r="81" spans="1:26" s="24" customFormat="1" hidden="1" outlineLevel="2" x14ac:dyDescent="0.35">
      <c r="A81" s="29"/>
      <c r="B81" s="11" t="str">
        <f>CONCATENATE("          ", "6234", " - ", "EXPENDABLE SUPPLIES &amp; EQUIPMEN")</f>
        <v xml:space="preserve">          6234 - EXPENDABLE SUPPLIES &amp; EQUIPMEN</v>
      </c>
      <c r="C81" s="11"/>
      <c r="D81" s="7"/>
      <c r="E81" s="2"/>
      <c r="F81" s="6">
        <f t="shared" si="44"/>
        <v>0</v>
      </c>
      <c r="G81" s="2"/>
      <c r="H81" s="7">
        <v>100</v>
      </c>
      <c r="I81" s="2"/>
      <c r="J81" s="6">
        <f t="shared" si="45"/>
        <v>3.8589030682138292E-4</v>
      </c>
      <c r="K81" s="2"/>
      <c r="L81" s="7">
        <f t="shared" si="46"/>
        <v>-100</v>
      </c>
      <c r="M81" s="2"/>
      <c r="N81" s="6">
        <f t="shared" si="47"/>
        <v>-1</v>
      </c>
      <c r="O81" s="11"/>
      <c r="P81" s="7"/>
      <c r="Q81" s="2"/>
      <c r="R81" s="6">
        <f t="shared" si="48"/>
        <v>0</v>
      </c>
      <c r="S81" s="2"/>
      <c r="T81" s="7">
        <v>700</v>
      </c>
      <c r="U81" s="2"/>
      <c r="V81" s="6">
        <f t="shared" si="49"/>
        <v>3.3528115719896542E-4</v>
      </c>
      <c r="W81" s="2"/>
      <c r="X81" s="7">
        <f t="shared" si="50"/>
        <v>-700</v>
      </c>
      <c r="Y81" s="2"/>
      <c r="Z81" s="6">
        <f t="shared" si="51"/>
        <v>-1</v>
      </c>
    </row>
    <row r="82" spans="1:26" s="24" customFormat="1" hidden="1" outlineLevel="2" x14ac:dyDescent="0.35">
      <c r="A82" s="29"/>
      <c r="B82" s="11" t="str">
        <f>CONCATENATE("          ", "6235", " - ", "COVID-19 EXPENSES")</f>
        <v xml:space="preserve">          6235 - COVID-19 EXPENSES</v>
      </c>
      <c r="C82" s="11"/>
      <c r="D82" s="7">
        <v>2921.2</v>
      </c>
      <c r="E82" s="2"/>
      <c r="F82" s="6">
        <f t="shared" si="44"/>
        <v>7.6368945770257879E-2</v>
      </c>
      <c r="G82" s="2"/>
      <c r="H82" s="7">
        <v>12200</v>
      </c>
      <c r="I82" s="2"/>
      <c r="J82" s="6">
        <f t="shared" si="45"/>
        <v>4.7078617432208716E-2</v>
      </c>
      <c r="K82" s="2"/>
      <c r="L82" s="7">
        <f t="shared" si="46"/>
        <v>-9278.7999999999993</v>
      </c>
      <c r="M82" s="2"/>
      <c r="N82" s="6">
        <f t="shared" si="47"/>
        <v>-0.76055737704918025</v>
      </c>
      <c r="O82" s="11"/>
      <c r="P82" s="7">
        <v>50648.35</v>
      </c>
      <c r="Q82" s="2"/>
      <c r="R82" s="6">
        <f t="shared" si="48"/>
        <v>7.5062281122039373E-2</v>
      </c>
      <c r="S82" s="2"/>
      <c r="T82" s="7">
        <v>78400</v>
      </c>
      <c r="U82" s="2"/>
      <c r="V82" s="6">
        <f t="shared" si="49"/>
        <v>3.7551489606284127E-2</v>
      </c>
      <c r="W82" s="2"/>
      <c r="X82" s="7">
        <f t="shared" si="50"/>
        <v>-27751.65</v>
      </c>
      <c r="Y82" s="2"/>
      <c r="Z82" s="6">
        <f t="shared" si="51"/>
        <v>-0.35397512755102045</v>
      </c>
    </row>
    <row r="83" spans="1:26" s="24" customFormat="1" hidden="1" outlineLevel="2" x14ac:dyDescent="0.35">
      <c r="A83" s="29"/>
      <c r="B83" s="11" t="str">
        <f>CONCATENATE("          ", "6237", " - ", "JANITORIAL SUPPLIES")</f>
        <v xml:space="preserve">          6237 - JANITORIAL SUPPLIES</v>
      </c>
      <c r="C83" s="11"/>
      <c r="D83" s="7">
        <v>4171.3599999999997</v>
      </c>
      <c r="E83" s="2"/>
      <c r="F83" s="6">
        <f t="shared" si="44"/>
        <v>0.10905188471457719</v>
      </c>
      <c r="G83" s="2"/>
      <c r="H83" s="7">
        <v>9000</v>
      </c>
      <c r="I83" s="2"/>
      <c r="J83" s="6">
        <f t="shared" si="45"/>
        <v>3.4730127613924459E-2</v>
      </c>
      <c r="K83" s="2"/>
      <c r="L83" s="7">
        <f t="shared" si="46"/>
        <v>-4828.6400000000003</v>
      </c>
      <c r="M83" s="2"/>
      <c r="N83" s="6">
        <f t="shared" si="47"/>
        <v>-0.53651555555555563</v>
      </c>
      <c r="O83" s="11"/>
      <c r="P83" s="7">
        <v>17235.809999999998</v>
      </c>
      <c r="Q83" s="2"/>
      <c r="R83" s="6">
        <f t="shared" si="48"/>
        <v>2.5543955836390669E-2</v>
      </c>
      <c r="S83" s="2"/>
      <c r="T83" s="7">
        <v>59000</v>
      </c>
      <c r="U83" s="2"/>
      <c r="V83" s="6">
        <f t="shared" si="49"/>
        <v>2.8259411821055656E-2</v>
      </c>
      <c r="W83" s="2"/>
      <c r="X83" s="7">
        <f t="shared" si="50"/>
        <v>-41764.19</v>
      </c>
      <c r="Y83" s="2"/>
      <c r="Z83" s="6">
        <f t="shared" si="51"/>
        <v>-0.70786762711864415</v>
      </c>
    </row>
    <row r="84" spans="1:26" s="24" customFormat="1" hidden="1" outlineLevel="2" x14ac:dyDescent="0.35">
      <c r="A84" s="29"/>
      <c r="B84" s="11" t="str">
        <f>CONCATENATE("          ", "6239", " - ", "KITCHEN SUPPLIES")</f>
        <v xml:space="preserve">          6239 - KITCHEN SUPPLIES</v>
      </c>
      <c r="C84" s="11"/>
      <c r="D84" s="7">
        <v>979.48</v>
      </c>
      <c r="E84" s="2"/>
      <c r="F84" s="6">
        <f t="shared" si="44"/>
        <v>2.5606550391295425E-2</v>
      </c>
      <c r="G84" s="2"/>
      <c r="H84" s="7">
        <v>2300</v>
      </c>
      <c r="I84" s="2"/>
      <c r="J84" s="6">
        <f t="shared" si="45"/>
        <v>8.8754770568918069E-3</v>
      </c>
      <c r="K84" s="2"/>
      <c r="L84" s="7">
        <f t="shared" si="46"/>
        <v>-1320.52</v>
      </c>
      <c r="M84" s="2"/>
      <c r="N84" s="6">
        <f t="shared" si="47"/>
        <v>-0.5741391304347826</v>
      </c>
      <c r="O84" s="11"/>
      <c r="P84" s="7">
        <v>6794.03</v>
      </c>
      <c r="Q84" s="2"/>
      <c r="R84" s="6">
        <f t="shared" si="48"/>
        <v>1.0068943801951478E-2</v>
      </c>
      <c r="S84" s="2"/>
      <c r="T84" s="7">
        <v>15300</v>
      </c>
      <c r="U84" s="2"/>
      <c r="V84" s="6">
        <f t="shared" si="49"/>
        <v>7.3282881502059584E-3</v>
      </c>
      <c r="W84" s="2"/>
      <c r="X84" s="7">
        <f t="shared" si="50"/>
        <v>-8505.9700000000012</v>
      </c>
      <c r="Y84" s="2"/>
      <c r="Z84" s="6">
        <f t="shared" si="51"/>
        <v>-0.55594575163398696</v>
      </c>
    </row>
    <row r="85" spans="1:26" s="24" customFormat="1" hidden="1" outlineLevel="2" x14ac:dyDescent="0.35">
      <c r="A85" s="29"/>
      <c r="B85" s="11" t="str">
        <f>CONCATENATE("          ", "6241", " - ", "OFFICE EXPENSE")</f>
        <v xml:space="preserve">          6241 - OFFICE EXPENSE</v>
      </c>
      <c r="C85" s="11"/>
      <c r="D85" s="7">
        <v>979.61</v>
      </c>
      <c r="E85" s="2"/>
      <c r="F85" s="6">
        <f t="shared" si="44"/>
        <v>2.5609948981926034E-2</v>
      </c>
      <c r="G85" s="2"/>
      <c r="H85" s="7">
        <v>1000</v>
      </c>
      <c r="I85" s="2"/>
      <c r="J85" s="6">
        <f t="shared" si="45"/>
        <v>3.858903068213829E-3</v>
      </c>
      <c r="K85" s="2"/>
      <c r="L85" s="7">
        <f t="shared" si="46"/>
        <v>-20.389999999999986</v>
      </c>
      <c r="M85" s="2"/>
      <c r="N85" s="6">
        <f t="shared" si="47"/>
        <v>-2.0389999999999988E-2</v>
      </c>
      <c r="O85" s="11"/>
      <c r="P85" s="7">
        <v>4267.49</v>
      </c>
      <c r="Q85" s="2"/>
      <c r="R85" s="6">
        <f t="shared" si="48"/>
        <v>6.3245403663789992E-3</v>
      </c>
      <c r="S85" s="2"/>
      <c r="T85" s="7">
        <v>6750</v>
      </c>
      <c r="U85" s="2"/>
      <c r="V85" s="6">
        <f t="shared" si="49"/>
        <v>3.2330683015614524E-3</v>
      </c>
      <c r="W85" s="2"/>
      <c r="X85" s="7">
        <f t="shared" si="50"/>
        <v>-2482.5100000000002</v>
      </c>
      <c r="Y85" s="2"/>
      <c r="Z85" s="6">
        <f t="shared" si="51"/>
        <v>-0.36777925925925931</v>
      </c>
    </row>
    <row r="86" spans="1:26" s="24" customFormat="1" hidden="1" outlineLevel="2" x14ac:dyDescent="0.35">
      <c r="A86" s="29"/>
      <c r="B86" s="11" t="str">
        <f>CONCATENATE("          ", "6243", " - ", "PAPER SUPPLIES")</f>
        <v xml:space="preserve">          6243 - PAPER SUPPLIES</v>
      </c>
      <c r="C86" s="11"/>
      <c r="D86" s="7">
        <v>1706.59</v>
      </c>
      <c r="E86" s="2"/>
      <c r="F86" s="6">
        <f t="shared" si="44"/>
        <v>4.4615390648385732E-2</v>
      </c>
      <c r="G86" s="2"/>
      <c r="H86" s="7">
        <v>500</v>
      </c>
      <c r="I86" s="2"/>
      <c r="J86" s="6">
        <f t="shared" si="45"/>
        <v>1.9294515341069145E-3</v>
      </c>
      <c r="K86" s="2"/>
      <c r="L86" s="7">
        <f t="shared" si="46"/>
        <v>1206.5899999999999</v>
      </c>
      <c r="M86" s="2"/>
      <c r="N86" s="6">
        <f t="shared" si="47"/>
        <v>2.4131799999999997</v>
      </c>
      <c r="O86" s="11"/>
      <c r="P86" s="7">
        <v>17052.75</v>
      </c>
      <c r="Q86" s="2"/>
      <c r="R86" s="6">
        <f t="shared" si="48"/>
        <v>2.5272655760826501E-2</v>
      </c>
      <c r="S86" s="2"/>
      <c r="T86" s="7">
        <v>3500</v>
      </c>
      <c r="U86" s="2"/>
      <c r="V86" s="6">
        <f t="shared" si="49"/>
        <v>1.6764057859948271E-3</v>
      </c>
      <c r="W86" s="2"/>
      <c r="X86" s="7">
        <f t="shared" si="50"/>
        <v>13552.75</v>
      </c>
      <c r="Y86" s="2"/>
      <c r="Z86" s="6">
        <f t="shared" si="51"/>
        <v>3.8722142857142856</v>
      </c>
    </row>
    <row r="87" spans="1:26" s="24" customFormat="1" hidden="1" outlineLevel="2" x14ac:dyDescent="0.35">
      <c r="A87" s="29"/>
      <c r="B87" s="11" t="str">
        <f>CONCATENATE("          ", "6244", " - ", "SAFETY SUPPLY EXPENSE")</f>
        <v xml:space="preserve">          6244 - SAFETY SUPPLY EXPENSE</v>
      </c>
      <c r="C87" s="11"/>
      <c r="D87" s="7"/>
      <c r="E87" s="2"/>
      <c r="F87" s="6">
        <f t="shared" si="44"/>
        <v>0</v>
      </c>
      <c r="G87" s="2"/>
      <c r="H87" s="7">
        <v>180</v>
      </c>
      <c r="I87" s="2"/>
      <c r="J87" s="6">
        <f t="shared" si="45"/>
        <v>6.9460255227848922E-4</v>
      </c>
      <c r="K87" s="2"/>
      <c r="L87" s="7">
        <f t="shared" si="46"/>
        <v>-180</v>
      </c>
      <c r="M87" s="2"/>
      <c r="N87" s="6">
        <f t="shared" si="47"/>
        <v>-1</v>
      </c>
      <c r="O87" s="11"/>
      <c r="P87" s="7"/>
      <c r="Q87" s="2"/>
      <c r="R87" s="6">
        <f t="shared" si="48"/>
        <v>0</v>
      </c>
      <c r="S87" s="2"/>
      <c r="T87" s="7">
        <v>980</v>
      </c>
      <c r="U87" s="2"/>
      <c r="V87" s="6">
        <f t="shared" si="49"/>
        <v>4.6939362007855157E-4</v>
      </c>
      <c r="W87" s="2"/>
      <c r="X87" s="7">
        <f t="shared" si="50"/>
        <v>-980</v>
      </c>
      <c r="Y87" s="2"/>
      <c r="Z87" s="6">
        <f t="shared" si="51"/>
        <v>-1</v>
      </c>
    </row>
    <row r="88" spans="1:26" s="24" customFormat="1" hidden="1" outlineLevel="2" x14ac:dyDescent="0.35">
      <c r="A88" s="29"/>
      <c r="B88" s="11" t="str">
        <f>CONCATENATE("          ", "6245", " - ", "PRINTING")</f>
        <v xml:space="preserve">          6245 - PRINTING</v>
      </c>
      <c r="C88" s="11"/>
      <c r="D88" s="7"/>
      <c r="E88" s="2"/>
      <c r="F88" s="6">
        <f t="shared" si="44"/>
        <v>0</v>
      </c>
      <c r="G88" s="2"/>
      <c r="H88" s="7">
        <v>150</v>
      </c>
      <c r="I88" s="2"/>
      <c r="J88" s="6">
        <f t="shared" si="45"/>
        <v>5.7883546023207433E-4</v>
      </c>
      <c r="K88" s="2"/>
      <c r="L88" s="7">
        <f t="shared" si="46"/>
        <v>-150</v>
      </c>
      <c r="M88" s="2"/>
      <c r="N88" s="6">
        <f t="shared" si="47"/>
        <v>-1</v>
      </c>
      <c r="O88" s="11"/>
      <c r="P88" s="7"/>
      <c r="Q88" s="2"/>
      <c r="R88" s="6">
        <f t="shared" si="48"/>
        <v>0</v>
      </c>
      <c r="S88" s="2"/>
      <c r="T88" s="7">
        <v>2050</v>
      </c>
      <c r="U88" s="2"/>
      <c r="V88" s="6">
        <f t="shared" si="49"/>
        <v>9.8189481751125582E-4</v>
      </c>
      <c r="W88" s="2"/>
      <c r="X88" s="7">
        <f t="shared" si="50"/>
        <v>-2050</v>
      </c>
      <c r="Y88" s="2"/>
      <c r="Z88" s="6">
        <f t="shared" si="51"/>
        <v>-1</v>
      </c>
    </row>
    <row r="89" spans="1:26" s="24" customFormat="1" hidden="1" outlineLevel="2" x14ac:dyDescent="0.35">
      <c r="A89" s="29"/>
      <c r="B89" s="11" t="str">
        <f>CONCATENATE("          ", "6247", " - ", "STORE SUPPLIES")</f>
        <v xml:space="preserve">          6247 - STORE SUPPLIES</v>
      </c>
      <c r="C89" s="11"/>
      <c r="D89" s="7"/>
      <c r="E89" s="2"/>
      <c r="F89" s="6">
        <f t="shared" si="44"/>
        <v>0</v>
      </c>
      <c r="G89" s="2"/>
      <c r="H89" s="7">
        <v>18</v>
      </c>
      <c r="I89" s="2"/>
      <c r="J89" s="6">
        <f t="shared" si="45"/>
        <v>6.9460255227848922E-5</v>
      </c>
      <c r="K89" s="2"/>
      <c r="L89" s="7">
        <f t="shared" si="46"/>
        <v>-18</v>
      </c>
      <c r="M89" s="2"/>
      <c r="N89" s="6">
        <f t="shared" si="47"/>
        <v>-1</v>
      </c>
      <c r="O89" s="11"/>
      <c r="P89" s="7"/>
      <c r="Q89" s="2"/>
      <c r="R89" s="6">
        <f t="shared" si="48"/>
        <v>0</v>
      </c>
      <c r="S89" s="2"/>
      <c r="T89" s="7">
        <v>108</v>
      </c>
      <c r="U89" s="2"/>
      <c r="V89" s="6">
        <f t="shared" si="49"/>
        <v>5.1729092824983233E-5</v>
      </c>
      <c r="W89" s="2"/>
      <c r="X89" s="7">
        <f t="shared" si="50"/>
        <v>-108</v>
      </c>
      <c r="Y89" s="2"/>
      <c r="Z89" s="6">
        <f t="shared" si="51"/>
        <v>-1</v>
      </c>
    </row>
    <row r="90" spans="1:26" s="24" customFormat="1" hidden="1" outlineLevel="2" x14ac:dyDescent="0.35">
      <c r="A90" s="29"/>
      <c r="B90" s="11" t="str">
        <f>CONCATENATE("          ", "6248", " - ", "UNIFORMS")</f>
        <v xml:space="preserve">          6248 - UNIFORMS</v>
      </c>
      <c r="C90" s="11"/>
      <c r="D90" s="7"/>
      <c r="E90" s="2"/>
      <c r="F90" s="6">
        <f t="shared" si="44"/>
        <v>0</v>
      </c>
      <c r="G90" s="2"/>
      <c r="H90" s="7">
        <v>2000</v>
      </c>
      <c r="I90" s="2"/>
      <c r="J90" s="6">
        <f t="shared" si="45"/>
        <v>7.717806136427658E-3</v>
      </c>
      <c r="K90" s="2"/>
      <c r="L90" s="7">
        <f t="shared" si="46"/>
        <v>-2000</v>
      </c>
      <c r="M90" s="2"/>
      <c r="N90" s="6">
        <f t="shared" si="47"/>
        <v>-1</v>
      </c>
      <c r="O90" s="11"/>
      <c r="P90" s="7">
        <v>4500.59</v>
      </c>
      <c r="Q90" s="2"/>
      <c r="R90" s="6">
        <f t="shared" si="48"/>
        <v>6.6700011312320973E-3</v>
      </c>
      <c r="S90" s="2"/>
      <c r="T90" s="7">
        <v>9350</v>
      </c>
      <c r="U90" s="2"/>
      <c r="V90" s="6">
        <f t="shared" si="49"/>
        <v>4.4783983140147523E-3</v>
      </c>
      <c r="W90" s="2"/>
      <c r="X90" s="7">
        <f t="shared" si="50"/>
        <v>-4849.41</v>
      </c>
      <c r="Y90" s="2"/>
      <c r="Z90" s="6">
        <f t="shared" si="51"/>
        <v>-0.51865347593582889</v>
      </c>
    </row>
    <row r="91" spans="1:26" s="28" customFormat="1" outlineLevel="1" collapsed="1" x14ac:dyDescent="0.35">
      <c r="A91" s="27"/>
      <c r="B91" s="14" t="str">
        <f>CONCATENATE("     ","Telephone/Data Lines                              ")</f>
        <v xml:space="preserve">     Telephone/Data Lines                              </v>
      </c>
      <c r="C91" s="14"/>
      <c r="D91" s="1">
        <f>SUM(OSRRefD22_16x_0)</f>
        <v>248</v>
      </c>
      <c r="E91" s="1"/>
      <c r="F91" s="5">
        <f t="shared" ref="F91:F93" si="52">IF(D$12=0,0,D91/D$12)</f>
        <v>6.4834652030069679E-3</v>
      </c>
      <c r="G91" s="1"/>
      <c r="H91" s="1">
        <f>SUM(OSRRefH22_16x_0)</f>
        <v>725</v>
      </c>
      <c r="I91" s="1"/>
      <c r="J91" s="5">
        <f t="shared" ref="J91:J93" si="53">IF(H$12=0,0,H91/H$12)</f>
        <v>2.7977047244550262E-3</v>
      </c>
      <c r="K91" s="1"/>
      <c r="L91" s="1">
        <f t="shared" ref="L91:L93" si="54">+D91-H91</f>
        <v>-477</v>
      </c>
      <c r="M91" s="1"/>
      <c r="N91" s="5">
        <f t="shared" ref="N91:N93" si="55">IF(H91=0,0,L91/H91)</f>
        <v>-0.65793103448275858</v>
      </c>
      <c r="O91" s="14"/>
      <c r="P91" s="1">
        <f>SUM(OSRRefP22_16x_0)</f>
        <v>4031.32</v>
      </c>
      <c r="Q91" s="1"/>
      <c r="R91" s="5">
        <f t="shared" ref="R91:R93" si="56">IF(P$12=0,0,P91/P$12)</f>
        <v>5.9745297750647313E-3</v>
      </c>
      <c r="S91" s="1"/>
      <c r="T91" s="1">
        <f>SUM(OSRRefT22_16x_0)</f>
        <v>5075</v>
      </c>
      <c r="U91" s="1"/>
      <c r="V91" s="5">
        <f t="shared" ref="V91:V93" si="57">IF(T$12=0,0,T91/T$12)</f>
        <v>2.4307883896924993E-3</v>
      </c>
      <c r="W91" s="1"/>
      <c r="X91" s="1">
        <f t="shared" ref="X91:X93" si="58">+P91-T91</f>
        <v>-1043.6799999999998</v>
      </c>
      <c r="Y91" s="1"/>
      <c r="Z91" s="5">
        <f t="shared" ref="Z91:Z93" si="59">IF(T91=0,0,X91/T91)</f>
        <v>-0.20565123152709355</v>
      </c>
    </row>
    <row r="92" spans="1:26" s="24" customFormat="1" hidden="1" outlineLevel="2" x14ac:dyDescent="0.35">
      <c r="A92" s="29"/>
      <c r="B92" s="11" t="str">
        <f>CONCATENATE("          ", "6303", " - ", "DATA PHONE LINES")</f>
        <v xml:space="preserve">          6303 - DATA PHONE LINES</v>
      </c>
      <c r="C92" s="11"/>
      <c r="D92" s="7"/>
      <c r="E92" s="2"/>
      <c r="F92" s="6">
        <f t="shared" si="52"/>
        <v>0</v>
      </c>
      <c r="G92" s="2"/>
      <c r="H92" s="7">
        <v>500</v>
      </c>
      <c r="I92" s="2"/>
      <c r="J92" s="6">
        <f t="shared" si="53"/>
        <v>1.9294515341069145E-3</v>
      </c>
      <c r="K92" s="2"/>
      <c r="L92" s="7">
        <f t="shared" si="54"/>
        <v>-500</v>
      </c>
      <c r="M92" s="2"/>
      <c r="N92" s="6">
        <f t="shared" si="55"/>
        <v>-1</v>
      </c>
      <c r="O92" s="11"/>
      <c r="P92" s="7"/>
      <c r="Q92" s="2"/>
      <c r="R92" s="6">
        <f t="shared" si="56"/>
        <v>0</v>
      </c>
      <c r="S92" s="2"/>
      <c r="T92" s="7">
        <v>3500</v>
      </c>
      <c r="U92" s="2"/>
      <c r="V92" s="6">
        <f t="shared" si="57"/>
        <v>1.6764057859948271E-3</v>
      </c>
      <c r="W92" s="2"/>
      <c r="X92" s="7">
        <f t="shared" si="58"/>
        <v>-3500</v>
      </c>
      <c r="Y92" s="2"/>
      <c r="Z92" s="6">
        <f t="shared" si="59"/>
        <v>-1</v>
      </c>
    </row>
    <row r="93" spans="1:26" s="24" customFormat="1" hidden="1" outlineLevel="2" x14ac:dyDescent="0.35">
      <c r="A93" s="29"/>
      <c r="B93" s="11" t="str">
        <f>CONCATENATE("          ", "6309", " - ", "TELEPHONE")</f>
        <v xml:space="preserve">          6309 - TELEPHONE</v>
      </c>
      <c r="C93" s="11"/>
      <c r="D93" s="7">
        <v>248</v>
      </c>
      <c r="E93" s="2"/>
      <c r="F93" s="6">
        <f t="shared" si="52"/>
        <v>6.4834652030069679E-3</v>
      </c>
      <c r="G93" s="2"/>
      <c r="H93" s="7">
        <v>225</v>
      </c>
      <c r="I93" s="2"/>
      <c r="J93" s="6">
        <f t="shared" si="53"/>
        <v>8.6825319034811155E-4</v>
      </c>
      <c r="K93" s="2"/>
      <c r="L93" s="7">
        <f t="shared" si="54"/>
        <v>23</v>
      </c>
      <c r="M93" s="2"/>
      <c r="N93" s="6">
        <f t="shared" si="55"/>
        <v>0.10222222222222223</v>
      </c>
      <c r="O93" s="11"/>
      <c r="P93" s="7">
        <v>4031.32</v>
      </c>
      <c r="Q93" s="2"/>
      <c r="R93" s="6">
        <f t="shared" si="56"/>
        <v>5.9745297750647313E-3</v>
      </c>
      <c r="S93" s="2"/>
      <c r="T93" s="7">
        <v>1575</v>
      </c>
      <c r="U93" s="2"/>
      <c r="V93" s="6">
        <f t="shared" si="57"/>
        <v>7.543826036976722E-4</v>
      </c>
      <c r="W93" s="2"/>
      <c r="X93" s="7">
        <f t="shared" si="58"/>
        <v>2456.3200000000002</v>
      </c>
      <c r="Y93" s="2"/>
      <c r="Z93" s="6">
        <f t="shared" si="59"/>
        <v>1.559568253968254</v>
      </c>
    </row>
    <row r="94" spans="1:26" s="28" customFormat="1" outlineLevel="1" collapsed="1" x14ac:dyDescent="0.35">
      <c r="A94" s="27"/>
      <c r="B94" s="14" t="str">
        <f>CONCATENATE("     ","Training                                          ")</f>
        <v xml:space="preserve">     Training                                          </v>
      </c>
      <c r="C94" s="14"/>
      <c r="D94" s="1">
        <f>SUM(OSRRefD22_17x_0)</f>
        <v>0</v>
      </c>
      <c r="E94" s="1"/>
      <c r="F94" s="5">
        <f t="shared" ref="F94:F97" si="60">IF(D$12=0,0,D94/D$12)</f>
        <v>0</v>
      </c>
      <c r="G94" s="1"/>
      <c r="H94" s="1">
        <f>SUM(OSRRefH22_17x_0)</f>
        <v>2250</v>
      </c>
      <c r="I94" s="1"/>
      <c r="J94" s="5">
        <f t="shared" ref="J94:J97" si="61">IF(H$12=0,0,H94/H$12)</f>
        <v>8.6825319034811149E-3</v>
      </c>
      <c r="K94" s="1"/>
      <c r="L94" s="1">
        <f t="shared" ref="L94:L97" si="62">+D94-H94</f>
        <v>-2250</v>
      </c>
      <c r="M94" s="1"/>
      <c r="N94" s="5">
        <f t="shared" ref="N94:N97" si="63">IF(H94=0,0,L94/H94)</f>
        <v>-1</v>
      </c>
      <c r="O94" s="14"/>
      <c r="P94" s="1">
        <f>SUM(OSRRefP22_17x_0)</f>
        <v>735</v>
      </c>
      <c r="Q94" s="1"/>
      <c r="R94" s="5">
        <f t="shared" ref="R94:R97" si="64">IF(P$12=0,0,P94/P$12)</f>
        <v>1.0892906999872441E-3</v>
      </c>
      <c r="S94" s="1"/>
      <c r="T94" s="1">
        <f>SUM(OSRRefT22_17x_0)</f>
        <v>6400</v>
      </c>
      <c r="U94" s="1"/>
      <c r="V94" s="5">
        <f t="shared" ref="V94:V97" si="65">IF(T$12=0,0,T94/T$12)</f>
        <v>3.0654277229619697E-3</v>
      </c>
      <c r="W94" s="1"/>
      <c r="X94" s="1">
        <f t="shared" ref="X94:X97" si="66">+P94-T94</f>
        <v>-5665</v>
      </c>
      <c r="Y94" s="1"/>
      <c r="Z94" s="5">
        <f t="shared" ref="Z94:Z97" si="67">IF(T94=0,0,X94/T94)</f>
        <v>-0.88515624999999998</v>
      </c>
    </row>
    <row r="95" spans="1:26" s="24" customFormat="1" hidden="1" outlineLevel="2" x14ac:dyDescent="0.35">
      <c r="A95" s="29"/>
      <c r="B95" s="11" t="str">
        <f>CONCATENATE("          ", "6376", " - ", "TRAINING")</f>
        <v xml:space="preserve">          6376 - TRAINING</v>
      </c>
      <c r="C95" s="11"/>
      <c r="D95" s="7"/>
      <c r="E95" s="2"/>
      <c r="F95" s="6">
        <f t="shared" si="60"/>
        <v>0</v>
      </c>
      <c r="G95" s="2"/>
      <c r="H95" s="7">
        <v>2250</v>
      </c>
      <c r="I95" s="2"/>
      <c r="J95" s="6">
        <f t="shared" si="61"/>
        <v>8.6825319034811149E-3</v>
      </c>
      <c r="K95" s="2"/>
      <c r="L95" s="7">
        <f t="shared" si="62"/>
        <v>-2250</v>
      </c>
      <c r="M95" s="2"/>
      <c r="N95" s="6">
        <f t="shared" si="63"/>
        <v>-1</v>
      </c>
      <c r="O95" s="11"/>
      <c r="P95" s="7">
        <v>735</v>
      </c>
      <c r="Q95" s="2"/>
      <c r="R95" s="6">
        <f t="shared" si="64"/>
        <v>1.0892906999872441E-3</v>
      </c>
      <c r="S95" s="2"/>
      <c r="T95" s="7">
        <v>6400</v>
      </c>
      <c r="U95" s="2"/>
      <c r="V95" s="6">
        <f t="shared" si="65"/>
        <v>3.0654277229619697E-3</v>
      </c>
      <c r="W95" s="2"/>
      <c r="X95" s="7">
        <f t="shared" si="66"/>
        <v>-5665</v>
      </c>
      <c r="Y95" s="2"/>
      <c r="Z95" s="6">
        <f t="shared" si="67"/>
        <v>-0.88515624999999998</v>
      </c>
    </row>
    <row r="96" spans="1:26" s="28" customFormat="1" outlineLevel="1" collapsed="1" x14ac:dyDescent="0.35">
      <c r="A96" s="27"/>
      <c r="B96" s="14" t="str">
        <f>CONCATENATE("     ","Travel                                            ")</f>
        <v xml:space="preserve">     Travel                                            </v>
      </c>
      <c r="C96" s="14"/>
      <c r="D96" s="1">
        <f>SUM(OSRRefD22_18x_0)</f>
        <v>0</v>
      </c>
      <c r="E96" s="1"/>
      <c r="F96" s="5">
        <f t="shared" si="60"/>
        <v>0</v>
      </c>
      <c r="G96" s="1"/>
      <c r="H96" s="1">
        <f>SUM(OSRRefH22_18x_0)</f>
        <v>300</v>
      </c>
      <c r="I96" s="1"/>
      <c r="J96" s="5">
        <f t="shared" si="61"/>
        <v>1.1576709204641487E-3</v>
      </c>
      <c r="K96" s="1"/>
      <c r="L96" s="1">
        <f t="shared" si="62"/>
        <v>-300</v>
      </c>
      <c r="M96" s="1"/>
      <c r="N96" s="5">
        <f t="shared" si="63"/>
        <v>-1</v>
      </c>
      <c r="O96" s="14"/>
      <c r="P96" s="1">
        <f>SUM(OSRRefP22_18x_0)</f>
        <v>0</v>
      </c>
      <c r="Q96" s="1"/>
      <c r="R96" s="5">
        <f t="shared" si="64"/>
        <v>0</v>
      </c>
      <c r="S96" s="1"/>
      <c r="T96" s="1">
        <f>SUM(OSRRefT22_18x_0)</f>
        <v>2100</v>
      </c>
      <c r="U96" s="1"/>
      <c r="V96" s="5">
        <f t="shared" si="65"/>
        <v>1.0058434715968963E-3</v>
      </c>
      <c r="W96" s="1"/>
      <c r="X96" s="1">
        <f t="shared" si="66"/>
        <v>-2100</v>
      </c>
      <c r="Y96" s="1"/>
      <c r="Z96" s="5">
        <f t="shared" si="67"/>
        <v>-1</v>
      </c>
    </row>
    <row r="97" spans="1:26" s="24" customFormat="1" hidden="1" outlineLevel="2" x14ac:dyDescent="0.35">
      <c r="A97" s="29"/>
      <c r="B97" s="11" t="str">
        <f>CONCATENATE("          ", "6292", " - ", "TRAVEL/CONFERENCE")</f>
        <v xml:space="preserve">          6292 - TRAVEL/CONFERENCE</v>
      </c>
      <c r="C97" s="11"/>
      <c r="D97" s="7"/>
      <c r="E97" s="2"/>
      <c r="F97" s="6">
        <f t="shared" si="60"/>
        <v>0</v>
      </c>
      <c r="G97" s="2"/>
      <c r="H97" s="7">
        <v>300</v>
      </c>
      <c r="I97" s="2"/>
      <c r="J97" s="6">
        <f t="shared" si="61"/>
        <v>1.1576709204641487E-3</v>
      </c>
      <c r="K97" s="2"/>
      <c r="L97" s="7">
        <f t="shared" si="62"/>
        <v>-300</v>
      </c>
      <c r="M97" s="2"/>
      <c r="N97" s="6">
        <f t="shared" si="63"/>
        <v>-1</v>
      </c>
      <c r="O97" s="11"/>
      <c r="P97" s="7"/>
      <c r="Q97" s="2"/>
      <c r="R97" s="6">
        <f t="shared" si="64"/>
        <v>0</v>
      </c>
      <c r="S97" s="2"/>
      <c r="T97" s="7">
        <v>2100</v>
      </c>
      <c r="U97" s="2"/>
      <c r="V97" s="6">
        <f t="shared" si="65"/>
        <v>1.0058434715968963E-3</v>
      </c>
      <c r="W97" s="2"/>
      <c r="X97" s="7">
        <f t="shared" si="66"/>
        <v>-2100</v>
      </c>
      <c r="Y97" s="2"/>
      <c r="Z97" s="6">
        <f t="shared" si="67"/>
        <v>-1</v>
      </c>
    </row>
    <row r="98" spans="1:26" s="55" customFormat="1" x14ac:dyDescent="0.35">
      <c r="A98" s="36"/>
      <c r="B98" s="36"/>
      <c r="C98" s="36"/>
      <c r="D98" s="1"/>
      <c r="E98" s="1"/>
      <c r="F98" s="5"/>
      <c r="G98" s="1"/>
      <c r="H98" s="1"/>
      <c r="I98" s="1"/>
      <c r="J98" s="5"/>
      <c r="K98" s="1"/>
      <c r="L98" s="1"/>
      <c r="M98" s="1"/>
      <c r="N98" s="5"/>
      <c r="O98" s="36"/>
      <c r="P98" s="1"/>
      <c r="Q98" s="1"/>
      <c r="R98" s="5"/>
      <c r="S98" s="1"/>
      <c r="T98" s="1"/>
      <c r="U98" s="1"/>
      <c r="V98" s="5"/>
      <c r="W98" s="1"/>
      <c r="X98" s="1"/>
      <c r="Y98" s="1"/>
      <c r="Z98" s="5"/>
    </row>
    <row r="99" spans="1:26" s="23" customFormat="1" x14ac:dyDescent="0.35">
      <c r="A99" s="10"/>
      <c r="B99" s="25" t="s">
        <v>0</v>
      </c>
      <c r="C99" s="10"/>
      <c r="D99" s="4">
        <f>SUM(0)</f>
        <v>0</v>
      </c>
      <c r="E99" s="4"/>
      <c r="F99" s="12">
        <f>IF(D$12=0,0,D99/D$12)</f>
        <v>0</v>
      </c>
      <c r="G99" s="4"/>
      <c r="H99" s="4">
        <f>SUM(0)</f>
        <v>0</v>
      </c>
      <c r="I99" s="4"/>
      <c r="J99" s="12">
        <f>IF(H$12=0,0,H99/H$12)</f>
        <v>0</v>
      </c>
      <c r="K99" s="4"/>
      <c r="L99" s="4">
        <f>+D99-H99</f>
        <v>0</v>
      </c>
      <c r="M99" s="4"/>
      <c r="N99" s="12">
        <f>IF(H99=0,0,L99/H99)</f>
        <v>0</v>
      </c>
      <c r="O99" s="10"/>
      <c r="P99" s="4">
        <f>SUM(0)</f>
        <v>0</v>
      </c>
      <c r="Q99" s="4"/>
      <c r="R99" s="12">
        <f>IF(P$12=0,0,P99/P$12)</f>
        <v>0</v>
      </c>
      <c r="S99" s="4"/>
      <c r="T99" s="4">
        <f>SUM(0)</f>
        <v>0</v>
      </c>
      <c r="U99" s="4"/>
      <c r="V99" s="12">
        <f>IF(T$12=0,0,T99/T$12)</f>
        <v>0</v>
      </c>
      <c r="W99" s="4"/>
      <c r="X99" s="4">
        <f>+P99-T99</f>
        <v>0</v>
      </c>
      <c r="Y99" s="4"/>
      <c r="Z99" s="12">
        <f>IF(T99=0,0,X99/T99)</f>
        <v>0</v>
      </c>
    </row>
    <row r="100" spans="1:26" x14ac:dyDescent="0.3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35">
      <c r="A101" s="10"/>
      <c r="B101" s="26" t="s">
        <v>3</v>
      </c>
      <c r="C101" s="26"/>
      <c r="D101" s="19">
        <f>+D23-D25+D99</f>
        <v>-175709.97999999998</v>
      </c>
      <c r="E101" s="13"/>
      <c r="F101" s="21">
        <f>IF(D$12=0,0,D101/D$12)</f>
        <v>-4.5935868594800411</v>
      </c>
      <c r="G101" s="13"/>
      <c r="H101" s="19">
        <f>+H23-H25+H99</f>
        <v>-209979.53888115755</v>
      </c>
      <c r="I101" s="13"/>
      <c r="J101" s="21">
        <f>IF(H$12=0,0,H101/H$12)</f>
        <v>-0.81029068685062389</v>
      </c>
      <c r="K101" s="16"/>
      <c r="L101" s="19">
        <f>+D101-H101</f>
        <v>34269.558881157573</v>
      </c>
      <c r="M101" s="16"/>
      <c r="N101" s="21">
        <f>IF(H101=0,0,L101/H101)</f>
        <v>-0.16320427725366693</v>
      </c>
      <c r="O101" s="25"/>
      <c r="P101" s="19">
        <f>+P23-P25+P99</f>
        <v>-1193542.4300000002</v>
      </c>
      <c r="Q101" s="13"/>
      <c r="R101" s="21">
        <f>IF(P$12=0,0,P101/P$12)</f>
        <v>-1.7688634952913966</v>
      </c>
      <c r="S101" s="13"/>
      <c r="T101" s="19">
        <f>+T23-T25+T99</f>
        <v>-983418.03793922719</v>
      </c>
      <c r="U101" s="13"/>
      <c r="V101" s="21">
        <f>IF(T$12=0,0,T101/T$12)</f>
        <v>-0.47103076824371454</v>
      </c>
      <c r="W101" s="16"/>
      <c r="X101" s="19">
        <f>+P101-T101</f>
        <v>-210124.39206077298</v>
      </c>
      <c r="Y101" s="16"/>
      <c r="Z101" s="21">
        <f>IF(T101=0,0,X101/T101)</f>
        <v>0.2136674170641541</v>
      </c>
    </row>
    <row r="102" spans="1:26" x14ac:dyDescent="0.3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35">
      <c r="A103" s="52"/>
      <c r="B103" s="10" t="s">
        <v>14</v>
      </c>
      <c r="C103" s="10"/>
      <c r="D103" s="4">
        <v>4719.22</v>
      </c>
      <c r="E103" s="4"/>
      <c r="F103" s="12">
        <f>IF(D$12=0,0,D103/D$12)</f>
        <v>0.12337459135215542</v>
      </c>
      <c r="G103" s="4"/>
      <c r="H103" s="4">
        <v>15441</v>
      </c>
      <c r="I103" s="4"/>
      <c r="J103" s="12">
        <f>IF(H$12=0,0,H103/H$12)</f>
        <v>5.9585322276289737E-2</v>
      </c>
      <c r="K103" s="4"/>
      <c r="L103" s="4">
        <f>+D103-H103</f>
        <v>-10721.779999999999</v>
      </c>
      <c r="M103" s="4"/>
      <c r="N103" s="12">
        <f>IF(H103=0,0,L103/H103)</f>
        <v>-0.69437083090473406</v>
      </c>
      <c r="O103" s="10"/>
      <c r="P103" s="4">
        <v>122485.15999999999</v>
      </c>
      <c r="Q103" s="4"/>
      <c r="R103" s="12">
        <f>IF(P$12=0,0,P103/P$12)</f>
        <v>0.18152645669993142</v>
      </c>
      <c r="S103" s="4"/>
      <c r="T103" s="4">
        <v>362320</v>
      </c>
      <c r="U103" s="4"/>
      <c r="V103" s="12">
        <f>IF(T$12=0,0,T103/T$12)</f>
        <v>0.1735415269661845</v>
      </c>
      <c r="W103" s="4"/>
      <c r="X103" s="4">
        <f>+P103-T103</f>
        <v>-239834.84000000003</v>
      </c>
      <c r="Y103" s="4"/>
      <c r="Z103" s="12">
        <f>IF(T103=0,0,X103/T103)</f>
        <v>-0.66194204018547143</v>
      </c>
    </row>
    <row r="104" spans="1:26" x14ac:dyDescent="0.3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" thickBot="1" x14ac:dyDescent="0.4">
      <c r="A105" s="10"/>
      <c r="B105" s="26" t="s">
        <v>4</v>
      </c>
      <c r="C105" s="26"/>
      <c r="D105" s="33">
        <f>+D101-D103</f>
        <v>-180429.19999999998</v>
      </c>
      <c r="E105" s="13"/>
      <c r="F105" s="31">
        <f>IF(D$12=0,0,D105/D$12)</f>
        <v>-4.7169614508321969</v>
      </c>
      <c r="G105" s="13"/>
      <c r="H105" s="33">
        <f>+H101-H103</f>
        <v>-225420.53888115755</v>
      </c>
      <c r="I105" s="13"/>
      <c r="J105" s="31">
        <f>IF(H$12=0,0,H105/H$12)</f>
        <v>-0.86987600912691365</v>
      </c>
      <c r="K105" s="16"/>
      <c r="L105" s="33">
        <f>D105-H105</f>
        <v>44991.338881157571</v>
      </c>
      <c r="M105" s="16"/>
      <c r="N105" s="31">
        <f>IF(H105=0,0,L105/H105)</f>
        <v>-0.19958846298773669</v>
      </c>
      <c r="O105" s="25"/>
      <c r="P105" s="33">
        <f>+P101-P103</f>
        <v>-1316027.5900000001</v>
      </c>
      <c r="Q105" s="13"/>
      <c r="R105" s="31">
        <f>IF(P$12=0,0,P105/P$12)</f>
        <v>-1.9503899519913279</v>
      </c>
      <c r="S105" s="13"/>
      <c r="T105" s="33">
        <f>+T101-T103</f>
        <v>-1345738.0379392272</v>
      </c>
      <c r="U105" s="13"/>
      <c r="V105" s="31">
        <f>IF(T$12=0,0,T105/T$12)</f>
        <v>-0.644572295209899</v>
      </c>
      <c r="W105" s="16"/>
      <c r="X105" s="33">
        <f>P105-T105</f>
        <v>29710.447939227102</v>
      </c>
      <c r="Y105" s="16"/>
      <c r="Z105" s="31">
        <f>IF(T105=0,0,X105/T105)</f>
        <v>-2.2077437882876288E-2</v>
      </c>
    </row>
    <row r="106" spans="1:26" ht="15" thickTop="1" x14ac:dyDescent="0.3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3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" thickBot="1" x14ac:dyDescent="0.4">
      <c r="A108" s="10"/>
      <c r="B108" s="26" t="s">
        <v>5</v>
      </c>
      <c r="C108" s="26"/>
      <c r="D108" s="34">
        <f>SUM(D105:D107)</f>
        <v>-180429.19999999998</v>
      </c>
      <c r="E108" s="13"/>
      <c r="F108" s="32">
        <f>IF(D$12=0,0,D108/D$12)</f>
        <v>-4.7169614508321969</v>
      </c>
      <c r="G108" s="13"/>
      <c r="H108" s="34">
        <f>SUM(H105:H107)</f>
        <v>-225420.53888115755</v>
      </c>
      <c r="I108" s="13"/>
      <c r="J108" s="32">
        <f>IF(H$12=0,0,H108/H$12)</f>
        <v>-0.86987600912691365</v>
      </c>
      <c r="K108" s="16"/>
      <c r="L108" s="34">
        <f>+D108-H108</f>
        <v>44991.338881157571</v>
      </c>
      <c r="M108" s="16"/>
      <c r="N108" s="32">
        <f>IF(H108=0,0,L108/H108)</f>
        <v>-0.19958846298773669</v>
      </c>
      <c r="O108" s="25"/>
      <c r="P108" s="34">
        <f>SUM(P105:P107)</f>
        <v>-1316027.5900000001</v>
      </c>
      <c r="Q108" s="13"/>
      <c r="R108" s="32">
        <f>IF(P$12=0,0,P108/P$12)</f>
        <v>-1.9503899519913279</v>
      </c>
      <c r="S108" s="13"/>
      <c r="T108" s="34">
        <f>SUM(T105:T107)</f>
        <v>-1345738.0379392272</v>
      </c>
      <c r="U108" s="13"/>
      <c r="V108" s="32">
        <f>IF(T$12=0,0,T108/T$12)</f>
        <v>-0.644572295209899</v>
      </c>
      <c r="W108" s="16"/>
      <c r="X108" s="34">
        <f>+P108-T108</f>
        <v>29710.447939227102</v>
      </c>
      <c r="Y108" s="16"/>
      <c r="Z108" s="32">
        <f>IF(T108=0,0,X108/T108)</f>
        <v>-2.2077437882876288E-2</v>
      </c>
    </row>
    <row r="109" spans="1:26" ht="15" thickTop="1" x14ac:dyDescent="0.35">
      <c r="A109" s="9"/>
      <c r="C109" s="9"/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35">
      <c r="A110" s="9"/>
      <c r="B110" s="60">
        <v>44238.490211539349</v>
      </c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35">
      <c r="A111" s="9"/>
      <c r="B111" s="59" t="s">
        <v>314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35">
      <c r="A112" s="9"/>
      <c r="B112" s="58"/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4:24" x14ac:dyDescent="0.35"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","430", " - ", "Res Hall Management")</f>
        <v>Department 430 - Res Hall Management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6" t="s">
        <v>6</v>
      </c>
      <c r="C16" s="26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6"/>
      <c r="L16" s="19">
        <f>+D16-H16</f>
        <v>0</v>
      </c>
      <c r="M16" s="16"/>
      <c r="N16" s="21">
        <f>IF(H16=0,0,L16/H16)</f>
        <v>0</v>
      </c>
      <c r="O16" s="25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6"/>
      <c r="X16" s="19">
        <f>+P16-T16</f>
        <v>0</v>
      </c>
      <c r="Y16" s="16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5" t="s">
        <v>9</v>
      </c>
      <c r="C18" s="10"/>
      <c r="D18" s="20">
        <f>SUM(OSRRefD22x_0)</f>
        <v>20118.95</v>
      </c>
      <c r="E18" s="20"/>
      <c r="F18" s="30">
        <f t="shared" ref="F18:F28" si="0">IF(D$12=0,0,D18/D$12)</f>
        <v>0</v>
      </c>
      <c r="G18" s="20"/>
      <c r="H18" s="20">
        <f>SUM(OSRRefH22x_0)</f>
        <v>16506.915925000001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3612.0340749999996</v>
      </c>
      <c r="M18" s="4"/>
      <c r="N18" s="30">
        <f t="shared" ref="N18:N28" si="3">IF(H18=0,0,L18/H18)</f>
        <v>0.21881943855602448</v>
      </c>
      <c r="O18" s="10"/>
      <c r="P18" s="20">
        <f>SUM(OSRRefP22x_0)</f>
        <v>117947.51999999997</v>
      </c>
      <c r="Q18" s="20"/>
      <c r="R18" s="30">
        <f t="shared" ref="R18:R28" si="4">IF(P$12=0,0,P18/P$12)</f>
        <v>0</v>
      </c>
      <c r="S18" s="20"/>
      <c r="T18" s="20">
        <f>SUM(OSRRefT22x_0)</f>
        <v>104726.87873499999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13220.641264999984</v>
      </c>
      <c r="Y18" s="4"/>
      <c r="Z18" s="30">
        <f t="shared" ref="Z18:Z28" si="7">IF(T18=0,0,X18/T18)</f>
        <v>0.12623923700097453</v>
      </c>
    </row>
    <row r="19" spans="1:26" s="28" customFormat="1" outlineLevel="1" collapsed="1" x14ac:dyDescent="0.3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5792.39</v>
      </c>
      <c r="E19" s="1"/>
      <c r="F19" s="5">
        <f t="shared" si="0"/>
        <v>0</v>
      </c>
      <c r="G19" s="1"/>
      <c r="H19" s="1">
        <f>SUM(OSRRefH22_0x_0)</f>
        <v>4869.2909250000002</v>
      </c>
      <c r="I19" s="1"/>
      <c r="J19" s="5">
        <f t="shared" si="1"/>
        <v>0</v>
      </c>
      <c r="K19" s="1"/>
      <c r="L19" s="1">
        <f t="shared" si="2"/>
        <v>923.09907500000008</v>
      </c>
      <c r="M19" s="1"/>
      <c r="N19" s="5">
        <f t="shared" si="3"/>
        <v>0.18957566701562406</v>
      </c>
      <c r="O19" s="14"/>
      <c r="P19" s="1">
        <f>SUM(OSRRefP22_0x_0)</f>
        <v>41470.849999999991</v>
      </c>
      <c r="Q19" s="1"/>
      <c r="R19" s="5">
        <f t="shared" si="4"/>
        <v>0</v>
      </c>
      <c r="S19" s="1"/>
      <c r="T19" s="1">
        <f>SUM(OSRRefT22_0x_0)</f>
        <v>31773.603735000001</v>
      </c>
      <c r="U19" s="1"/>
      <c r="V19" s="5">
        <f t="shared" si="5"/>
        <v>0</v>
      </c>
      <c r="W19" s="1"/>
      <c r="X19" s="1">
        <f t="shared" si="6"/>
        <v>9697.2462649999907</v>
      </c>
      <c r="Y19" s="1"/>
      <c r="Z19" s="5">
        <f t="shared" si="7"/>
        <v>0.30519818733428888</v>
      </c>
    </row>
    <row r="20" spans="1:26" s="24" customFormat="1" hidden="1" outlineLevel="2" x14ac:dyDescent="0.35">
      <c r="A20" s="29"/>
      <c r="B20" s="11" t="str">
        <f>CONCATENATE("          ", "6111", " - ", "F.I.C.A.")</f>
        <v xml:space="preserve">          6111 - F.I.C.A.</v>
      </c>
      <c r="C20" s="11"/>
      <c r="D20" s="7">
        <v>691.15</v>
      </c>
      <c r="E20" s="2"/>
      <c r="F20" s="6">
        <f t="shared" si="0"/>
        <v>0</v>
      </c>
      <c r="G20" s="2"/>
      <c r="H20" s="7">
        <v>856.94467499999996</v>
      </c>
      <c r="I20" s="2"/>
      <c r="J20" s="6">
        <f t="shared" si="1"/>
        <v>0</v>
      </c>
      <c r="K20" s="2"/>
      <c r="L20" s="7">
        <f t="shared" si="2"/>
        <v>-165.79467499999998</v>
      </c>
      <c r="M20" s="2"/>
      <c r="N20" s="6">
        <f t="shared" si="3"/>
        <v>-0.19347185394436345</v>
      </c>
      <c r="O20" s="11"/>
      <c r="P20" s="7">
        <v>5363.65</v>
      </c>
      <c r="Q20" s="2"/>
      <c r="R20" s="6">
        <f t="shared" si="4"/>
        <v>0</v>
      </c>
      <c r="S20" s="2"/>
      <c r="T20" s="7">
        <v>5313.0569850000002</v>
      </c>
      <c r="U20" s="2"/>
      <c r="V20" s="6">
        <f t="shared" si="5"/>
        <v>0</v>
      </c>
      <c r="W20" s="2"/>
      <c r="X20" s="7">
        <f t="shared" si="6"/>
        <v>50.593014999999468</v>
      </c>
      <c r="Y20" s="2"/>
      <c r="Z20" s="6">
        <f t="shared" si="7"/>
        <v>9.5223926908435865E-3</v>
      </c>
    </row>
    <row r="21" spans="1:26" s="24" customFormat="1" hidden="1" outlineLevel="2" x14ac:dyDescent="0.3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82.97</v>
      </c>
      <c r="E21" s="2"/>
      <c r="F21" s="6">
        <f t="shared" si="0"/>
        <v>0</v>
      </c>
      <c r="G21" s="2"/>
      <c r="H21" s="7">
        <v>480.37275</v>
      </c>
      <c r="I21" s="2"/>
      <c r="J21" s="6">
        <f t="shared" si="1"/>
        <v>0</v>
      </c>
      <c r="K21" s="2"/>
      <c r="L21" s="7">
        <f t="shared" si="2"/>
        <v>-397.40274999999997</v>
      </c>
      <c r="M21" s="2"/>
      <c r="N21" s="6">
        <f t="shared" si="3"/>
        <v>-0.82727996123843406</v>
      </c>
      <c r="O21" s="11"/>
      <c r="P21" s="7">
        <v>2998.35</v>
      </c>
      <c r="Q21" s="2"/>
      <c r="R21" s="6">
        <f t="shared" si="4"/>
        <v>0</v>
      </c>
      <c r="S21" s="2"/>
      <c r="T21" s="7">
        <v>2978.3110499999998</v>
      </c>
      <c r="U21" s="2"/>
      <c r="V21" s="6">
        <f t="shared" si="5"/>
        <v>0</v>
      </c>
      <c r="W21" s="2"/>
      <c r="X21" s="7">
        <f t="shared" si="6"/>
        <v>20.038950000000114</v>
      </c>
      <c r="Y21" s="2"/>
      <c r="Z21" s="6">
        <f t="shared" si="7"/>
        <v>6.7282932049693451E-3</v>
      </c>
    </row>
    <row r="22" spans="1:26" s="24" customFormat="1" hidden="1" outlineLevel="2" x14ac:dyDescent="0.35">
      <c r="A22" s="29"/>
      <c r="B22" s="11" t="str">
        <f>CONCATENATE("          ", "6113", " - ", "GROUP INSURANCE")</f>
        <v xml:space="preserve">          6113 - GROUP INSURANCE</v>
      </c>
      <c r="C22" s="11"/>
      <c r="D22" s="7">
        <v>2691.73</v>
      </c>
      <c r="E22" s="2"/>
      <c r="F22" s="6">
        <f t="shared" si="0"/>
        <v>0</v>
      </c>
      <c r="G22" s="2"/>
      <c r="H22" s="7">
        <v>1980</v>
      </c>
      <c r="I22" s="2"/>
      <c r="J22" s="6">
        <f t="shared" si="1"/>
        <v>0</v>
      </c>
      <c r="K22" s="2"/>
      <c r="L22" s="7">
        <f t="shared" si="2"/>
        <v>711.73</v>
      </c>
      <c r="M22" s="2"/>
      <c r="N22" s="6">
        <f t="shared" si="3"/>
        <v>0.35945959595959598</v>
      </c>
      <c r="O22" s="11"/>
      <c r="P22" s="7">
        <v>19119.129999999997</v>
      </c>
      <c r="Q22" s="2"/>
      <c r="R22" s="6">
        <f t="shared" si="4"/>
        <v>0</v>
      </c>
      <c r="S22" s="2"/>
      <c r="T22" s="7">
        <v>13860</v>
      </c>
      <c r="U22" s="2"/>
      <c r="V22" s="6">
        <f t="shared" si="5"/>
        <v>0</v>
      </c>
      <c r="W22" s="2"/>
      <c r="X22" s="7">
        <f t="shared" si="6"/>
        <v>5259.1299999999974</v>
      </c>
      <c r="Y22" s="2"/>
      <c r="Z22" s="6">
        <f t="shared" si="7"/>
        <v>0.37944660894660875</v>
      </c>
    </row>
    <row r="23" spans="1:26" s="24" customFormat="1" hidden="1" outlineLevel="2" x14ac:dyDescent="0.3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46.78</v>
      </c>
      <c r="E23" s="2"/>
      <c r="F23" s="6">
        <f t="shared" si="0"/>
        <v>0</v>
      </c>
      <c r="G23" s="2"/>
      <c r="H23" s="7">
        <v>29.113499999999998</v>
      </c>
      <c r="I23" s="2"/>
      <c r="J23" s="6">
        <f t="shared" si="1"/>
        <v>0</v>
      </c>
      <c r="K23" s="2"/>
      <c r="L23" s="7">
        <f t="shared" si="2"/>
        <v>17.666500000000003</v>
      </c>
      <c r="M23" s="2"/>
      <c r="N23" s="6">
        <f t="shared" si="3"/>
        <v>0.60681470795335513</v>
      </c>
      <c r="O23" s="11"/>
      <c r="P23" s="7">
        <v>181.7</v>
      </c>
      <c r="Q23" s="2"/>
      <c r="R23" s="6">
        <f t="shared" si="4"/>
        <v>0</v>
      </c>
      <c r="S23" s="2"/>
      <c r="T23" s="7">
        <v>180.50370000000001</v>
      </c>
      <c r="U23" s="2"/>
      <c r="V23" s="6">
        <f t="shared" si="5"/>
        <v>0</v>
      </c>
      <c r="W23" s="2"/>
      <c r="X23" s="7">
        <f t="shared" si="6"/>
        <v>1.1962999999999795</v>
      </c>
      <c r="Y23" s="2"/>
      <c r="Z23" s="6">
        <f t="shared" si="7"/>
        <v>6.6275649751222796E-3</v>
      </c>
    </row>
    <row r="24" spans="1:26" s="24" customFormat="1" hidden="1" outlineLevel="2" x14ac:dyDescent="0.35">
      <c r="A24" s="29"/>
      <c r="B24" s="11" t="str">
        <f>CONCATENATE("          ", "6115", " - ", "P.E.R.S.")</f>
        <v xml:space="preserve">          6115 - P.E.R.S.</v>
      </c>
      <c r="C24" s="11"/>
      <c r="D24" s="7">
        <v>1038.8599999999999</v>
      </c>
      <c r="E24" s="2"/>
      <c r="F24" s="6">
        <f t="shared" si="0"/>
        <v>0</v>
      </c>
      <c r="G24" s="2"/>
      <c r="H24" s="7">
        <v>962.98500000000001</v>
      </c>
      <c r="I24" s="2"/>
      <c r="J24" s="6">
        <f t="shared" si="1"/>
        <v>0</v>
      </c>
      <c r="K24" s="2"/>
      <c r="L24" s="7">
        <f t="shared" si="2"/>
        <v>75.874999999999886</v>
      </c>
      <c r="M24" s="2"/>
      <c r="N24" s="6">
        <f t="shared" si="3"/>
        <v>7.87914661183714E-2</v>
      </c>
      <c r="O24" s="11"/>
      <c r="P24" s="7">
        <v>5540.57</v>
      </c>
      <c r="Q24" s="2"/>
      <c r="R24" s="6">
        <f t="shared" si="4"/>
        <v>0</v>
      </c>
      <c r="S24" s="2"/>
      <c r="T24" s="7">
        <v>5970.5069999999996</v>
      </c>
      <c r="U24" s="2"/>
      <c r="V24" s="6">
        <f t="shared" si="5"/>
        <v>0</v>
      </c>
      <c r="W24" s="2"/>
      <c r="X24" s="7">
        <f t="shared" si="6"/>
        <v>-429.9369999999999</v>
      </c>
      <c r="Y24" s="2"/>
      <c r="Z24" s="6">
        <f t="shared" si="7"/>
        <v>-7.2010132472836885E-2</v>
      </c>
    </row>
    <row r="25" spans="1:26" s="24" customFormat="1" hidden="1" outlineLevel="2" x14ac:dyDescent="0.3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35">
      <c r="A26" s="29"/>
      <c r="B26" s="11" t="str">
        <f>CONCATENATE("          ", "6118", " - ", "VACATION")</f>
        <v xml:space="preserve">          6118 - VACATION</v>
      </c>
      <c r="C26" s="11"/>
      <c r="D26" s="7">
        <v>827.64</v>
      </c>
      <c r="E26" s="2"/>
      <c r="F26" s="6">
        <f t="shared" si="0"/>
        <v>0</v>
      </c>
      <c r="G26" s="2"/>
      <c r="H26" s="7">
        <v>335.92500000000001</v>
      </c>
      <c r="I26" s="2"/>
      <c r="J26" s="6">
        <f t="shared" si="1"/>
        <v>0</v>
      </c>
      <c r="K26" s="2"/>
      <c r="L26" s="7">
        <f t="shared" si="2"/>
        <v>491.71499999999997</v>
      </c>
      <c r="M26" s="2"/>
      <c r="N26" s="6">
        <f t="shared" si="3"/>
        <v>1.4637642330877427</v>
      </c>
      <c r="O26" s="11"/>
      <c r="P26" s="7">
        <v>5000</v>
      </c>
      <c r="Q26" s="2"/>
      <c r="R26" s="6">
        <f t="shared" si="4"/>
        <v>0</v>
      </c>
      <c r="S26" s="2"/>
      <c r="T26" s="7">
        <v>2082.7350000000001</v>
      </c>
      <c r="U26" s="2"/>
      <c r="V26" s="6">
        <f t="shared" si="5"/>
        <v>0</v>
      </c>
      <c r="W26" s="2"/>
      <c r="X26" s="7">
        <f t="shared" si="6"/>
        <v>2917.2649999999999</v>
      </c>
      <c r="Y26" s="2"/>
      <c r="Z26" s="6">
        <f t="shared" si="7"/>
        <v>1.4006894780180867</v>
      </c>
    </row>
    <row r="27" spans="1:26" s="24" customFormat="1" hidden="1" outlineLevel="2" x14ac:dyDescent="0.35">
      <c r="A27" s="29"/>
      <c r="B27" s="11" t="str">
        <f>CONCATENATE("          ", "6119", " - ", "SICK LEAVE")</f>
        <v xml:space="preserve">          6119 - SICK LEAVE</v>
      </c>
      <c r="C27" s="11"/>
      <c r="D27" s="7">
        <v>413.26</v>
      </c>
      <c r="E27" s="2"/>
      <c r="F27" s="6">
        <f t="shared" si="0"/>
        <v>0</v>
      </c>
      <c r="G27" s="2"/>
      <c r="H27" s="7">
        <v>223.95</v>
      </c>
      <c r="I27" s="2"/>
      <c r="J27" s="6">
        <f t="shared" si="1"/>
        <v>0</v>
      </c>
      <c r="K27" s="2"/>
      <c r="L27" s="7">
        <f t="shared" si="2"/>
        <v>189.31</v>
      </c>
      <c r="M27" s="2"/>
      <c r="N27" s="6">
        <f t="shared" si="3"/>
        <v>0.84532261665550357</v>
      </c>
      <c r="O27" s="11"/>
      <c r="P27" s="7">
        <v>3099.45</v>
      </c>
      <c r="Q27" s="2"/>
      <c r="R27" s="6">
        <f t="shared" si="4"/>
        <v>0</v>
      </c>
      <c r="S27" s="2"/>
      <c r="T27" s="7">
        <v>1388.49</v>
      </c>
      <c r="U27" s="2"/>
      <c r="V27" s="6">
        <f t="shared" si="5"/>
        <v>0</v>
      </c>
      <c r="W27" s="2"/>
      <c r="X27" s="7">
        <f t="shared" si="6"/>
        <v>1710.9599999999998</v>
      </c>
      <c r="Y27" s="2"/>
      <c r="Z27" s="6">
        <f t="shared" si="7"/>
        <v>1.2322451007929476</v>
      </c>
    </row>
    <row r="28" spans="1:26" s="24" customFormat="1" hidden="1" outlineLevel="2" x14ac:dyDescent="0.35">
      <c r="A28" s="29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168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168</v>
      </c>
      <c r="Y28" s="2"/>
      <c r="Z28" s="6">
        <f t="shared" si="7"/>
        <v>0</v>
      </c>
    </row>
    <row r="29" spans="1:26" s="28" customFormat="1" outlineLevel="1" collapsed="1" x14ac:dyDescent="0.3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10826.56</v>
      </c>
      <c r="E29" s="1"/>
      <c r="F29" s="5">
        <f t="shared" ref="F29:F39" si="8">IF(D$12=0,0,D29/D$12)</f>
        <v>0</v>
      </c>
      <c r="G29" s="1"/>
      <c r="H29" s="1">
        <f>SUM(OSRRefH22_1x_0)</f>
        <v>10637.625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188.93499999999949</v>
      </c>
      <c r="M29" s="1"/>
      <c r="N29" s="5">
        <f t="shared" ref="N29:N39" si="11">IF(H29=0,0,L29/H29)</f>
        <v>1.7761013384096497E-2</v>
      </c>
      <c r="O29" s="14"/>
      <c r="P29" s="1">
        <f>SUM(OSRRefP22_1x_0)</f>
        <v>64135.82</v>
      </c>
      <c r="Q29" s="1"/>
      <c r="R29" s="5">
        <f t="shared" ref="R29:R39" si="12">IF(P$12=0,0,P29/P$12)</f>
        <v>0</v>
      </c>
      <c r="S29" s="1"/>
      <c r="T29" s="1">
        <f>SUM(OSRRefT22_1x_0)</f>
        <v>65953.274999999994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-1817.4549999999945</v>
      </c>
      <c r="Y29" s="1"/>
      <c r="Z29" s="5">
        <f t="shared" ref="Z29:Z39" si="15">IF(T29=0,0,X29/T29)</f>
        <v>-2.7556705864871679E-2</v>
      </c>
    </row>
    <row r="30" spans="1:26" s="24" customFormat="1" hidden="1" outlineLevel="2" x14ac:dyDescent="0.3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>
        <v>10826.56</v>
      </c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10826.56</v>
      </c>
      <c r="M30" s="2"/>
      <c r="N30" s="6">
        <f t="shared" si="11"/>
        <v>0</v>
      </c>
      <c r="O30" s="11"/>
      <c r="P30" s="7">
        <v>64135.82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64135.82</v>
      </c>
      <c r="Y30" s="2"/>
      <c r="Z30" s="6">
        <f t="shared" si="15"/>
        <v>0</v>
      </c>
    </row>
    <row r="31" spans="1:26" s="24" customFormat="1" hidden="1" outlineLevel="2" x14ac:dyDescent="0.35">
      <c r="A31" s="29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10637.625</v>
      </c>
      <c r="I31" s="2"/>
      <c r="J31" s="6">
        <f t="shared" si="9"/>
        <v>0</v>
      </c>
      <c r="K31" s="2"/>
      <c r="L31" s="7">
        <f t="shared" si="10"/>
        <v>-10637.625</v>
      </c>
      <c r="M31" s="2"/>
      <c r="N31" s="6">
        <f t="shared" si="11"/>
        <v>-1</v>
      </c>
      <c r="O31" s="11"/>
      <c r="P31" s="7"/>
      <c r="Q31" s="2"/>
      <c r="R31" s="6">
        <f t="shared" si="12"/>
        <v>0</v>
      </c>
      <c r="S31" s="2"/>
      <c r="T31" s="7">
        <v>65953.274999999994</v>
      </c>
      <c r="U31" s="2"/>
      <c r="V31" s="6">
        <f t="shared" si="13"/>
        <v>0</v>
      </c>
      <c r="W31" s="2"/>
      <c r="X31" s="7">
        <f t="shared" si="14"/>
        <v>-65953.274999999994</v>
      </c>
      <c r="Y31" s="2"/>
      <c r="Z31" s="6">
        <f t="shared" si="15"/>
        <v>-1</v>
      </c>
    </row>
    <row r="32" spans="1:26" s="24" customFormat="1" hidden="1" outlineLevel="2" x14ac:dyDescent="0.35">
      <c r="A32" s="29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35">
      <c r="A33" s="29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3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3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35">
      <c r="A36" s="29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3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35">
      <c r="A38" s="29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35">
      <c r="A39" s="29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35">
      <c r="A40" s="27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0</v>
      </c>
      <c r="E40" s="1"/>
      <c r="F40" s="5">
        <f t="shared" ref="F40:F47" si="16">IF(D$12=0,0,D40/D$12)</f>
        <v>0</v>
      </c>
      <c r="G40" s="1"/>
      <c r="H40" s="1">
        <f>SUM(OSRRefH22_2x_0)</f>
        <v>0</v>
      </c>
      <c r="I40" s="1"/>
      <c r="J40" s="5">
        <f t="shared" ref="J40:J47" si="17">IF(H$12=0,0,H40/H$12)</f>
        <v>0</v>
      </c>
      <c r="K40" s="1"/>
      <c r="L40" s="1">
        <f t="shared" ref="L40:L47" si="18">+D40-H40</f>
        <v>0</v>
      </c>
      <c r="M40" s="1"/>
      <c r="N40" s="5">
        <f t="shared" ref="N40:N47" si="19">IF(H40=0,0,L40/H40)</f>
        <v>0</v>
      </c>
      <c r="O40" s="14"/>
      <c r="P40" s="1">
        <f>SUM(OSRRefP22_2x_0)</f>
        <v>1.65</v>
      </c>
      <c r="Q40" s="1"/>
      <c r="R40" s="5">
        <f t="shared" ref="R40:R47" si="20">IF(P$12=0,0,P40/P$12)</f>
        <v>0</v>
      </c>
      <c r="S40" s="1"/>
      <c r="T40" s="1">
        <f>SUM(OSRRefT22_2x_0)</f>
        <v>0</v>
      </c>
      <c r="U40" s="1"/>
      <c r="V40" s="5">
        <f t="shared" ref="V40:V47" si="21">IF(T$12=0,0,T40/T$12)</f>
        <v>0</v>
      </c>
      <c r="W40" s="1"/>
      <c r="X40" s="1">
        <f t="shared" ref="X40:X47" si="22">+P40-T40</f>
        <v>1.65</v>
      </c>
      <c r="Y40" s="1"/>
      <c r="Z40" s="5">
        <f t="shared" ref="Z40:Z47" si="23">IF(T40=0,0,X40/T40)</f>
        <v>0</v>
      </c>
    </row>
    <row r="41" spans="1:26" s="24" customFormat="1" hidden="1" outlineLevel="2" x14ac:dyDescent="0.35">
      <c r="A41" s="29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1.65</v>
      </c>
      <c r="Q41" s="2"/>
      <c r="R41" s="6">
        <f t="shared" si="20"/>
        <v>0</v>
      </c>
      <c r="S41" s="2"/>
      <c r="T41" s="7"/>
      <c r="U41" s="2"/>
      <c r="V41" s="6">
        <f t="shared" si="21"/>
        <v>0</v>
      </c>
      <c r="W41" s="2"/>
      <c r="X41" s="7">
        <f t="shared" si="22"/>
        <v>1.65</v>
      </c>
      <c r="Y41" s="2"/>
      <c r="Z41" s="6">
        <f t="shared" si="23"/>
        <v>0</v>
      </c>
    </row>
    <row r="42" spans="1:26" s="28" customFormat="1" outlineLevel="1" collapsed="1" x14ac:dyDescent="0.35">
      <c r="A42" s="27"/>
      <c r="B42" s="14" t="str">
        <f>CONCATENATE("     ","Repair and Maintenance                            ")</f>
        <v xml:space="preserve">     Repair and Maintenance                            </v>
      </c>
      <c r="C42" s="14"/>
      <c r="D42" s="1">
        <f>SUM(OSRRefD22_3x_0)</f>
        <v>3500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3500</v>
      </c>
      <c r="M42" s="1"/>
      <c r="N42" s="5">
        <f t="shared" si="19"/>
        <v>0</v>
      </c>
      <c r="O42" s="14"/>
      <c r="P42" s="1">
        <f>SUM(OSRRefP22_3x_0)</f>
        <v>7000</v>
      </c>
      <c r="Q42" s="1"/>
      <c r="R42" s="5">
        <f t="shared" si="20"/>
        <v>0</v>
      </c>
      <c r="S42" s="1"/>
      <c r="T42" s="1">
        <f>SUM(OSRRefT22_3x_0)</f>
        <v>0</v>
      </c>
      <c r="U42" s="1"/>
      <c r="V42" s="5">
        <f t="shared" si="21"/>
        <v>0</v>
      </c>
      <c r="W42" s="1"/>
      <c r="X42" s="1">
        <f t="shared" si="22"/>
        <v>7000</v>
      </c>
      <c r="Y42" s="1"/>
      <c r="Z42" s="5">
        <f t="shared" si="23"/>
        <v>0</v>
      </c>
    </row>
    <row r="43" spans="1:26" s="24" customFormat="1" hidden="1" outlineLevel="2" x14ac:dyDescent="0.35">
      <c r="A43" s="29"/>
      <c r="B43" s="11" t="str">
        <f>CONCATENATE("          ", "6371", " - ", "COMPUTER SOFTWARE MAINTENANCE")</f>
        <v xml:space="preserve">          6371 - COMPUTER SOFTWARE MAINTENANCE</v>
      </c>
      <c r="C43" s="11"/>
      <c r="D43" s="7">
        <v>3500</v>
      </c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3500</v>
      </c>
      <c r="M43" s="2"/>
      <c r="N43" s="6">
        <f t="shared" si="19"/>
        <v>0</v>
      </c>
      <c r="O43" s="11"/>
      <c r="P43" s="7">
        <v>7000</v>
      </c>
      <c r="Q43" s="2"/>
      <c r="R43" s="6">
        <f t="shared" si="20"/>
        <v>0</v>
      </c>
      <c r="S43" s="2"/>
      <c r="T43" s="7"/>
      <c r="U43" s="2"/>
      <c r="V43" s="6">
        <f t="shared" si="21"/>
        <v>0</v>
      </c>
      <c r="W43" s="2"/>
      <c r="X43" s="7">
        <f t="shared" si="22"/>
        <v>7000</v>
      </c>
      <c r="Y43" s="2"/>
      <c r="Z43" s="6">
        <f t="shared" si="23"/>
        <v>0</v>
      </c>
    </row>
    <row r="44" spans="1:26" s="28" customFormat="1" outlineLevel="1" collapsed="1" x14ac:dyDescent="0.35">
      <c r="A44" s="27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400</v>
      </c>
      <c r="I44" s="1"/>
      <c r="J44" s="5">
        <f t="shared" si="17"/>
        <v>0</v>
      </c>
      <c r="K44" s="1"/>
      <c r="L44" s="1">
        <f t="shared" si="18"/>
        <v>-400</v>
      </c>
      <c r="M44" s="1"/>
      <c r="N44" s="5">
        <f t="shared" si="19"/>
        <v>-1</v>
      </c>
      <c r="O44" s="14"/>
      <c r="P44" s="1">
        <f>SUM(OSRRefP22_4x_0)</f>
        <v>4939.2</v>
      </c>
      <c r="Q44" s="1"/>
      <c r="R44" s="5">
        <f t="shared" si="20"/>
        <v>0</v>
      </c>
      <c r="S44" s="1"/>
      <c r="T44" s="1">
        <f>SUM(OSRRefT22_4x_0)</f>
        <v>2800</v>
      </c>
      <c r="U44" s="1"/>
      <c r="V44" s="5">
        <f t="shared" si="21"/>
        <v>0</v>
      </c>
      <c r="W44" s="1"/>
      <c r="X44" s="1">
        <f t="shared" si="22"/>
        <v>2139.1999999999998</v>
      </c>
      <c r="Y44" s="1"/>
      <c r="Z44" s="5">
        <f t="shared" si="23"/>
        <v>0.7639999999999999</v>
      </c>
    </row>
    <row r="45" spans="1:26" s="24" customFormat="1" hidden="1" outlineLevel="2" x14ac:dyDescent="0.35">
      <c r="A45" s="29"/>
      <c r="B45" s="11" t="str">
        <f>CONCATENATE("          ", "6234", " - ", "EXPENDABLE SUPPLIES &amp; EQUIPMEN")</f>
        <v xml:space="preserve">          6234 - EXPENDABLE SUPPLIES &amp; EQUIPMEN</v>
      </c>
      <c r="C45" s="11"/>
      <c r="D45" s="7"/>
      <c r="E45" s="2"/>
      <c r="F45" s="6">
        <f t="shared" si="16"/>
        <v>0</v>
      </c>
      <c r="G45" s="2"/>
      <c r="H45" s="7">
        <v>100</v>
      </c>
      <c r="I45" s="2"/>
      <c r="J45" s="6">
        <f t="shared" si="17"/>
        <v>0</v>
      </c>
      <c r="K45" s="2"/>
      <c r="L45" s="7">
        <f t="shared" si="18"/>
        <v>-100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700</v>
      </c>
      <c r="U45" s="2"/>
      <c r="V45" s="6">
        <f t="shared" si="21"/>
        <v>0</v>
      </c>
      <c r="W45" s="2"/>
      <c r="X45" s="7">
        <f t="shared" si="22"/>
        <v>-700</v>
      </c>
      <c r="Y45" s="2"/>
      <c r="Z45" s="6">
        <f t="shared" si="23"/>
        <v>-1</v>
      </c>
    </row>
    <row r="46" spans="1:26" s="24" customFormat="1" hidden="1" outlineLevel="2" x14ac:dyDescent="0.35">
      <c r="A46" s="29"/>
      <c r="B46" s="11" t="str">
        <f>CONCATENATE("          ", "6235", " - ", "COVID-19 EXPENSES")</f>
        <v xml:space="preserve">          6235 - COVID-19 EXPENSES</v>
      </c>
      <c r="C46" s="11"/>
      <c r="D46" s="7"/>
      <c r="E46" s="2"/>
      <c r="F46" s="6">
        <f t="shared" si="16"/>
        <v>0</v>
      </c>
      <c r="G46" s="2"/>
      <c r="H46" s="7">
        <v>200</v>
      </c>
      <c r="I46" s="2"/>
      <c r="J46" s="6">
        <f t="shared" si="17"/>
        <v>0</v>
      </c>
      <c r="K46" s="2"/>
      <c r="L46" s="7">
        <f t="shared" si="18"/>
        <v>-200</v>
      </c>
      <c r="M46" s="2"/>
      <c r="N46" s="6">
        <f t="shared" si="19"/>
        <v>-1</v>
      </c>
      <c r="O46" s="11"/>
      <c r="P46" s="7">
        <v>4939.2</v>
      </c>
      <c r="Q46" s="2"/>
      <c r="R46" s="6">
        <f t="shared" si="20"/>
        <v>0</v>
      </c>
      <c r="S46" s="2"/>
      <c r="T46" s="7">
        <v>1400</v>
      </c>
      <c r="U46" s="2"/>
      <c r="V46" s="6">
        <f t="shared" si="21"/>
        <v>0</v>
      </c>
      <c r="W46" s="2"/>
      <c r="X46" s="7">
        <f t="shared" si="22"/>
        <v>3539.2</v>
      </c>
      <c r="Y46" s="2"/>
      <c r="Z46" s="6">
        <f t="shared" si="23"/>
        <v>2.528</v>
      </c>
    </row>
    <row r="47" spans="1:26" s="24" customFormat="1" hidden="1" outlineLevel="2" x14ac:dyDescent="0.35">
      <c r="A47" s="29"/>
      <c r="B47" s="11" t="str">
        <f>CONCATENATE("          ", "6241", " - ", "OFFICE EXPENSE")</f>
        <v xml:space="preserve">          6241 - OFFICE EXPENSE</v>
      </c>
      <c r="C47" s="11"/>
      <c r="D47" s="7"/>
      <c r="E47" s="2"/>
      <c r="F47" s="6">
        <f t="shared" si="16"/>
        <v>0</v>
      </c>
      <c r="G47" s="2"/>
      <c r="H47" s="7">
        <v>100</v>
      </c>
      <c r="I47" s="2"/>
      <c r="J47" s="6">
        <f t="shared" si="17"/>
        <v>0</v>
      </c>
      <c r="K47" s="2"/>
      <c r="L47" s="7">
        <f t="shared" si="18"/>
        <v>-100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700</v>
      </c>
      <c r="U47" s="2"/>
      <c r="V47" s="6">
        <f t="shared" si="21"/>
        <v>0</v>
      </c>
      <c r="W47" s="2"/>
      <c r="X47" s="7">
        <f t="shared" si="22"/>
        <v>-700</v>
      </c>
      <c r="Y47" s="2"/>
      <c r="Z47" s="6">
        <f t="shared" si="23"/>
        <v>-1</v>
      </c>
    </row>
    <row r="48" spans="1:26" s="28" customFormat="1" outlineLevel="1" collapsed="1" x14ac:dyDescent="0.35">
      <c r="A48" s="27"/>
      <c r="B48" s="14" t="str">
        <f>CONCATENATE("     ","Telephone/Data Lines                              ")</f>
        <v xml:space="preserve">     Telephone/Data Lines                              </v>
      </c>
      <c r="C48" s="14"/>
      <c r="D48" s="1">
        <f>SUM(OSRRefD22_5x_0)</f>
        <v>0</v>
      </c>
      <c r="E48" s="1"/>
      <c r="F48" s="5">
        <f t="shared" ref="F48:F50" si="24">IF(D$12=0,0,D48/D$12)</f>
        <v>0</v>
      </c>
      <c r="G48" s="1"/>
      <c r="H48" s="1">
        <f>SUM(OSRRefH22_5x_0)</f>
        <v>100</v>
      </c>
      <c r="I48" s="1"/>
      <c r="J48" s="5">
        <f t="shared" ref="J48:J50" si="25">IF(H$12=0,0,H48/H$12)</f>
        <v>0</v>
      </c>
      <c r="K48" s="1"/>
      <c r="L48" s="1">
        <f t="shared" ref="L48:L50" si="26">+D48-H48</f>
        <v>-100</v>
      </c>
      <c r="M48" s="1"/>
      <c r="N48" s="5">
        <f t="shared" ref="N48:N50" si="27">IF(H48=0,0,L48/H48)</f>
        <v>-1</v>
      </c>
      <c r="O48" s="14"/>
      <c r="P48" s="1">
        <f>SUM(OSRRefP22_5x_0)</f>
        <v>400</v>
      </c>
      <c r="Q48" s="1"/>
      <c r="R48" s="5">
        <f t="shared" ref="R48:R50" si="28">IF(P$12=0,0,P48/P$12)</f>
        <v>0</v>
      </c>
      <c r="S48" s="1"/>
      <c r="T48" s="1">
        <f>SUM(OSRRefT22_5x_0)</f>
        <v>700</v>
      </c>
      <c r="U48" s="1"/>
      <c r="V48" s="5">
        <f t="shared" ref="V48:V50" si="29">IF(T$12=0,0,T48/T$12)</f>
        <v>0</v>
      </c>
      <c r="W48" s="1"/>
      <c r="X48" s="1">
        <f t="shared" ref="X48:X50" si="30">+P48-T48</f>
        <v>-300</v>
      </c>
      <c r="Y48" s="1"/>
      <c r="Z48" s="5">
        <f t="shared" ref="Z48:Z50" si="31">IF(T48=0,0,X48/T48)</f>
        <v>-0.42857142857142855</v>
      </c>
    </row>
    <row r="49" spans="1:26" s="24" customFormat="1" hidden="1" outlineLevel="2" x14ac:dyDescent="0.35">
      <c r="A49" s="29"/>
      <c r="B49" s="11" t="str">
        <f>CONCATENATE("          ", "6303", " - ", "DATA PHONE LINES")</f>
        <v xml:space="preserve">          6303 - DATA PHONE LINES</v>
      </c>
      <c r="C49" s="11"/>
      <c r="D49" s="7"/>
      <c r="E49" s="2"/>
      <c r="F49" s="6">
        <f t="shared" si="24"/>
        <v>0</v>
      </c>
      <c r="G49" s="2"/>
      <c r="H49" s="7">
        <v>50</v>
      </c>
      <c r="I49" s="2"/>
      <c r="J49" s="6">
        <f t="shared" si="25"/>
        <v>0</v>
      </c>
      <c r="K49" s="2"/>
      <c r="L49" s="7">
        <f t="shared" si="26"/>
        <v>-50</v>
      </c>
      <c r="M49" s="2"/>
      <c r="N49" s="6">
        <f t="shared" si="27"/>
        <v>-1</v>
      </c>
      <c r="O49" s="11"/>
      <c r="P49" s="7"/>
      <c r="Q49" s="2"/>
      <c r="R49" s="6">
        <f t="shared" si="28"/>
        <v>0</v>
      </c>
      <c r="S49" s="2"/>
      <c r="T49" s="7">
        <v>350</v>
      </c>
      <c r="U49" s="2"/>
      <c r="V49" s="6">
        <f t="shared" si="29"/>
        <v>0</v>
      </c>
      <c r="W49" s="2"/>
      <c r="X49" s="7">
        <f t="shared" si="30"/>
        <v>-350</v>
      </c>
      <c r="Y49" s="2"/>
      <c r="Z49" s="6">
        <f t="shared" si="31"/>
        <v>-1</v>
      </c>
    </row>
    <row r="50" spans="1:26" s="24" customFormat="1" hidden="1" outlineLevel="2" x14ac:dyDescent="0.35">
      <c r="A50" s="29"/>
      <c r="B50" s="11" t="str">
        <f>CONCATENATE("          ", "6309", " - ", "TELEPHONE")</f>
        <v xml:space="preserve">          6309 - TELEPHONE</v>
      </c>
      <c r="C50" s="11"/>
      <c r="D50" s="7"/>
      <c r="E50" s="2"/>
      <c r="F50" s="6">
        <f t="shared" si="24"/>
        <v>0</v>
      </c>
      <c r="G50" s="2"/>
      <c r="H50" s="7">
        <v>50</v>
      </c>
      <c r="I50" s="2"/>
      <c r="J50" s="6">
        <f t="shared" si="25"/>
        <v>0</v>
      </c>
      <c r="K50" s="2"/>
      <c r="L50" s="7">
        <f t="shared" si="26"/>
        <v>-50</v>
      </c>
      <c r="M50" s="2"/>
      <c r="N50" s="6">
        <f t="shared" si="27"/>
        <v>-1</v>
      </c>
      <c r="O50" s="11"/>
      <c r="P50" s="7">
        <v>400</v>
      </c>
      <c r="Q50" s="2"/>
      <c r="R50" s="6">
        <f t="shared" si="28"/>
        <v>0</v>
      </c>
      <c r="S50" s="2"/>
      <c r="T50" s="7">
        <v>350</v>
      </c>
      <c r="U50" s="2"/>
      <c r="V50" s="6">
        <f t="shared" si="29"/>
        <v>0</v>
      </c>
      <c r="W50" s="2"/>
      <c r="X50" s="7">
        <f t="shared" si="30"/>
        <v>50</v>
      </c>
      <c r="Y50" s="2"/>
      <c r="Z50" s="6">
        <f t="shared" si="31"/>
        <v>0.14285714285714285</v>
      </c>
    </row>
    <row r="51" spans="1:26" s="28" customFormat="1" outlineLevel="1" collapsed="1" x14ac:dyDescent="0.35">
      <c r="A51" s="27"/>
      <c r="B51" s="14" t="str">
        <f>CONCATENATE("     ","Training                                          ")</f>
        <v xml:space="preserve">     Training                                          </v>
      </c>
      <c r="C51" s="14"/>
      <c r="D51" s="1">
        <f>SUM(OSRRefD22_6x_0)</f>
        <v>0</v>
      </c>
      <c r="E51" s="1"/>
      <c r="F51" s="5">
        <f t="shared" ref="F51:F54" si="32">IF(D$12=0,0,D51/D$12)</f>
        <v>0</v>
      </c>
      <c r="G51" s="1"/>
      <c r="H51" s="1">
        <f>SUM(OSRRefH22_6x_0)</f>
        <v>200</v>
      </c>
      <c r="I51" s="1"/>
      <c r="J51" s="5">
        <f t="shared" ref="J51:J54" si="33">IF(H$12=0,0,H51/H$12)</f>
        <v>0</v>
      </c>
      <c r="K51" s="1"/>
      <c r="L51" s="1">
        <f t="shared" ref="L51:L54" si="34">+D51-H51</f>
        <v>-200</v>
      </c>
      <c r="M51" s="1"/>
      <c r="N51" s="5">
        <f t="shared" ref="N51:N54" si="35">IF(H51=0,0,L51/H51)</f>
        <v>-1</v>
      </c>
      <c r="O51" s="14"/>
      <c r="P51" s="1">
        <f>SUM(OSRRefP22_6x_0)</f>
        <v>0</v>
      </c>
      <c r="Q51" s="1"/>
      <c r="R51" s="5">
        <f t="shared" ref="R51:R54" si="36">IF(P$12=0,0,P51/P$12)</f>
        <v>0</v>
      </c>
      <c r="S51" s="1"/>
      <c r="T51" s="1">
        <f>SUM(OSRRefT22_6x_0)</f>
        <v>1400</v>
      </c>
      <c r="U51" s="1"/>
      <c r="V51" s="5">
        <f t="shared" ref="V51:V54" si="37">IF(T$12=0,0,T51/T$12)</f>
        <v>0</v>
      </c>
      <c r="W51" s="1"/>
      <c r="X51" s="1">
        <f t="shared" ref="X51:X54" si="38">+P51-T51</f>
        <v>-1400</v>
      </c>
      <c r="Y51" s="1"/>
      <c r="Z51" s="5">
        <f t="shared" ref="Z51:Z54" si="39">IF(T51=0,0,X51/T51)</f>
        <v>-1</v>
      </c>
    </row>
    <row r="52" spans="1:26" s="24" customFormat="1" hidden="1" outlineLevel="2" x14ac:dyDescent="0.35">
      <c r="A52" s="29"/>
      <c r="B52" s="11" t="str">
        <f>CONCATENATE("          ", "6376", " - ", "TRAINING")</f>
        <v xml:space="preserve">          6376 - TRAINING</v>
      </c>
      <c r="C52" s="11"/>
      <c r="D52" s="7"/>
      <c r="E52" s="2"/>
      <c r="F52" s="6">
        <f t="shared" si="32"/>
        <v>0</v>
      </c>
      <c r="G52" s="2"/>
      <c r="H52" s="7">
        <v>200</v>
      </c>
      <c r="I52" s="2"/>
      <c r="J52" s="6">
        <f t="shared" si="33"/>
        <v>0</v>
      </c>
      <c r="K52" s="2"/>
      <c r="L52" s="7">
        <f t="shared" si="34"/>
        <v>-200</v>
      </c>
      <c r="M52" s="2"/>
      <c r="N52" s="6">
        <f t="shared" si="35"/>
        <v>-1</v>
      </c>
      <c r="O52" s="11"/>
      <c r="P52" s="7"/>
      <c r="Q52" s="2"/>
      <c r="R52" s="6">
        <f t="shared" si="36"/>
        <v>0</v>
      </c>
      <c r="S52" s="2"/>
      <c r="T52" s="7">
        <v>1400</v>
      </c>
      <c r="U52" s="2"/>
      <c r="V52" s="6">
        <f t="shared" si="37"/>
        <v>0</v>
      </c>
      <c r="W52" s="2"/>
      <c r="X52" s="7">
        <f t="shared" si="38"/>
        <v>-1400</v>
      </c>
      <c r="Y52" s="2"/>
      <c r="Z52" s="6">
        <f t="shared" si="39"/>
        <v>-1</v>
      </c>
    </row>
    <row r="53" spans="1:26" s="28" customFormat="1" outlineLevel="1" collapsed="1" x14ac:dyDescent="0.35">
      <c r="A53" s="27"/>
      <c r="B53" s="14" t="str">
        <f>CONCATENATE("     ","Travel                                            ")</f>
        <v xml:space="preserve">     Travel                                            </v>
      </c>
      <c r="C53" s="14"/>
      <c r="D53" s="1">
        <f>SUM(OSRRefD22_7x_0)</f>
        <v>0</v>
      </c>
      <c r="E53" s="1"/>
      <c r="F53" s="5">
        <f t="shared" si="32"/>
        <v>0</v>
      </c>
      <c r="G53" s="1"/>
      <c r="H53" s="1">
        <f>SUM(OSRRefH22_7x_0)</f>
        <v>300</v>
      </c>
      <c r="I53" s="1"/>
      <c r="J53" s="5">
        <f t="shared" si="33"/>
        <v>0</v>
      </c>
      <c r="K53" s="1"/>
      <c r="L53" s="1">
        <f t="shared" si="34"/>
        <v>-300</v>
      </c>
      <c r="M53" s="1"/>
      <c r="N53" s="5">
        <f t="shared" si="35"/>
        <v>-1</v>
      </c>
      <c r="O53" s="14"/>
      <c r="P53" s="1">
        <f>SUM(OSRRefP22_7x_0)</f>
        <v>0</v>
      </c>
      <c r="Q53" s="1"/>
      <c r="R53" s="5">
        <f t="shared" si="36"/>
        <v>0</v>
      </c>
      <c r="S53" s="1"/>
      <c r="T53" s="1">
        <f>SUM(OSRRefT22_7x_0)</f>
        <v>2100</v>
      </c>
      <c r="U53" s="1"/>
      <c r="V53" s="5">
        <f t="shared" si="37"/>
        <v>0</v>
      </c>
      <c r="W53" s="1"/>
      <c r="X53" s="1">
        <f t="shared" si="38"/>
        <v>-2100</v>
      </c>
      <c r="Y53" s="1"/>
      <c r="Z53" s="5">
        <f t="shared" si="39"/>
        <v>-1</v>
      </c>
    </row>
    <row r="54" spans="1:26" s="24" customFormat="1" hidden="1" outlineLevel="2" x14ac:dyDescent="0.35">
      <c r="A54" s="29"/>
      <c r="B54" s="11" t="str">
        <f>CONCATENATE("          ", "6292", " - ", "TRAVEL/CONFERENCE")</f>
        <v xml:space="preserve">          6292 - TRAVEL/CONFERENCE</v>
      </c>
      <c r="C54" s="11"/>
      <c r="D54" s="7"/>
      <c r="E54" s="2"/>
      <c r="F54" s="6">
        <f t="shared" si="32"/>
        <v>0</v>
      </c>
      <c r="G54" s="2"/>
      <c r="H54" s="7">
        <v>300</v>
      </c>
      <c r="I54" s="2"/>
      <c r="J54" s="6">
        <f t="shared" si="33"/>
        <v>0</v>
      </c>
      <c r="K54" s="2"/>
      <c r="L54" s="7">
        <f t="shared" si="34"/>
        <v>-300</v>
      </c>
      <c r="M54" s="2"/>
      <c r="N54" s="6">
        <f t="shared" si="35"/>
        <v>-1</v>
      </c>
      <c r="O54" s="11"/>
      <c r="P54" s="7"/>
      <c r="Q54" s="2"/>
      <c r="R54" s="6">
        <f t="shared" si="36"/>
        <v>0</v>
      </c>
      <c r="S54" s="2"/>
      <c r="T54" s="7">
        <v>2100</v>
      </c>
      <c r="U54" s="2"/>
      <c r="V54" s="6">
        <f t="shared" si="37"/>
        <v>0</v>
      </c>
      <c r="W54" s="2"/>
      <c r="X54" s="7">
        <f t="shared" si="38"/>
        <v>-2100</v>
      </c>
      <c r="Y54" s="2"/>
      <c r="Z54" s="6">
        <f t="shared" si="39"/>
        <v>-1</v>
      </c>
    </row>
    <row r="55" spans="1:26" s="55" customFormat="1" x14ac:dyDescent="0.35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35">
      <c r="A56" s="10"/>
      <c r="B56" s="25" t="s">
        <v>0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3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35">
      <c r="A58" s="10"/>
      <c r="B58" s="26" t="s">
        <v>3</v>
      </c>
      <c r="C58" s="26"/>
      <c r="D58" s="19">
        <f>+D16-D18+D56</f>
        <v>-20118.95</v>
      </c>
      <c r="E58" s="13"/>
      <c r="F58" s="21">
        <f>IF(D$12=0,0,D58/D$12)</f>
        <v>0</v>
      </c>
      <c r="G58" s="13"/>
      <c r="H58" s="19">
        <f>+H16-H18+H56</f>
        <v>-16506.915925000001</v>
      </c>
      <c r="I58" s="13"/>
      <c r="J58" s="21">
        <f>IF(H$12=0,0,H58/H$12)</f>
        <v>0</v>
      </c>
      <c r="K58" s="16"/>
      <c r="L58" s="19">
        <f>+D58-H58</f>
        <v>-3612.0340749999996</v>
      </c>
      <c r="M58" s="16"/>
      <c r="N58" s="21">
        <f>IF(H58=0,0,L58/H58)</f>
        <v>0.21881943855602448</v>
      </c>
      <c r="O58" s="25"/>
      <c r="P58" s="19">
        <f>+P16-P18+P56</f>
        <v>-117947.51999999997</v>
      </c>
      <c r="Q58" s="13"/>
      <c r="R58" s="21">
        <f>IF(P$12=0,0,P58/P$12)</f>
        <v>0</v>
      </c>
      <c r="S58" s="13"/>
      <c r="T58" s="19">
        <f>+T16-T18+T56</f>
        <v>-104726.87873499999</v>
      </c>
      <c r="U58" s="13"/>
      <c r="V58" s="21">
        <f>IF(T$12=0,0,T58/T$12)</f>
        <v>0</v>
      </c>
      <c r="W58" s="16"/>
      <c r="X58" s="19">
        <f>+P58-T58</f>
        <v>-13220.641264999984</v>
      </c>
      <c r="Y58" s="16"/>
      <c r="Z58" s="21">
        <f>IF(T58=0,0,X58/T58)</f>
        <v>0.12623923700097453</v>
      </c>
    </row>
    <row r="59" spans="1:26" x14ac:dyDescent="0.3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35">
      <c r="A60" s="52"/>
      <c r="B60" s="10" t="s">
        <v>14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3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" thickBot="1" x14ac:dyDescent="0.4">
      <c r="A62" s="10"/>
      <c r="B62" s="26" t="s">
        <v>4</v>
      </c>
      <c r="C62" s="26"/>
      <c r="D62" s="33">
        <f>+D58-D60</f>
        <v>-20118.95</v>
      </c>
      <c r="E62" s="13"/>
      <c r="F62" s="31">
        <f>IF(D$12=0,0,D62/D$12)</f>
        <v>0</v>
      </c>
      <c r="G62" s="13"/>
      <c r="H62" s="33">
        <f>+H58-H60</f>
        <v>-16506.915925000001</v>
      </c>
      <c r="I62" s="13"/>
      <c r="J62" s="31">
        <f>IF(H$12=0,0,H62/H$12)</f>
        <v>0</v>
      </c>
      <c r="K62" s="16"/>
      <c r="L62" s="33">
        <f>D62-H62</f>
        <v>-3612.0340749999996</v>
      </c>
      <c r="M62" s="16"/>
      <c r="N62" s="31">
        <f>IF(H62=0,0,L62/H62)</f>
        <v>0.21881943855602448</v>
      </c>
      <c r="O62" s="25"/>
      <c r="P62" s="33">
        <f>+P58-P60</f>
        <v>-117947.51999999997</v>
      </c>
      <c r="Q62" s="13"/>
      <c r="R62" s="31">
        <f>IF(P$12=0,0,P62/P$12)</f>
        <v>0</v>
      </c>
      <c r="S62" s="13"/>
      <c r="T62" s="33">
        <f>+T58-T60</f>
        <v>-104726.87873499999</v>
      </c>
      <c r="U62" s="13"/>
      <c r="V62" s="31">
        <f>IF(T$12=0,0,T62/T$12)</f>
        <v>0</v>
      </c>
      <c r="W62" s="16"/>
      <c r="X62" s="33">
        <f>P62-T62</f>
        <v>-13220.641264999984</v>
      </c>
      <c r="Y62" s="16"/>
      <c r="Z62" s="31">
        <f>IF(T62=0,0,X62/T62)</f>
        <v>0.12623923700097453</v>
      </c>
    </row>
    <row r="63" spans="1:26" ht="15" thickTop="1" x14ac:dyDescent="0.3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3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" thickBot="1" x14ac:dyDescent="0.4">
      <c r="A65" s="10"/>
      <c r="B65" s="26" t="s">
        <v>5</v>
      </c>
      <c r="C65" s="26"/>
      <c r="D65" s="34">
        <f>SUM(D62:D64)</f>
        <v>-20118.95</v>
      </c>
      <c r="E65" s="13"/>
      <c r="F65" s="32">
        <f>IF(D$12=0,0,D65/D$12)</f>
        <v>0</v>
      </c>
      <c r="G65" s="13"/>
      <c r="H65" s="34">
        <f>SUM(H62:H64)</f>
        <v>-16506.915925000001</v>
      </c>
      <c r="I65" s="13"/>
      <c r="J65" s="32">
        <f>IF(H$12=0,0,H65/H$12)</f>
        <v>0</v>
      </c>
      <c r="K65" s="16"/>
      <c r="L65" s="34">
        <f>+D65-H65</f>
        <v>-3612.0340749999996</v>
      </c>
      <c r="M65" s="16"/>
      <c r="N65" s="32">
        <f>IF(H65=0,0,L65/H65)</f>
        <v>0.21881943855602448</v>
      </c>
      <c r="O65" s="25"/>
      <c r="P65" s="34">
        <f>SUM(P62:P64)</f>
        <v>-117947.51999999997</v>
      </c>
      <c r="Q65" s="13"/>
      <c r="R65" s="32">
        <f>IF(P$12=0,0,P65/P$12)</f>
        <v>0</v>
      </c>
      <c r="S65" s="13"/>
      <c r="T65" s="34">
        <f>SUM(T62:T64)</f>
        <v>-104726.87873499999</v>
      </c>
      <c r="U65" s="13"/>
      <c r="V65" s="32">
        <f>IF(T$12=0,0,T65/T$12)</f>
        <v>0</v>
      </c>
      <c r="W65" s="16"/>
      <c r="X65" s="34">
        <f>+P65-T65</f>
        <v>-13220.641264999984</v>
      </c>
      <c r="Y65" s="16"/>
      <c r="Z65" s="32">
        <f>IF(T65=0,0,X65/T65)</f>
        <v>0.12623923700097453</v>
      </c>
    </row>
    <row r="66" spans="1:26" ht="15" thickTop="1" x14ac:dyDescent="0.35">
      <c r="A66" s="9"/>
      <c r="C66" s="9"/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6" x14ac:dyDescent="0.35">
      <c r="A67" s="9"/>
      <c r="B67" s="60">
        <v>44238.490833912037</v>
      </c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6" x14ac:dyDescent="0.35">
      <c r="A68" s="9"/>
      <c r="B68" s="59" t="s">
        <v>314</v>
      </c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35">
      <c r="A69" s="9"/>
      <c r="B69" s="58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35"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300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","433", " - ", "Hillside Dining Hall")</f>
        <v>Department 433 - Hillside Dining Hall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-160.19999999999999</v>
      </c>
      <c r="E12" s="4"/>
      <c r="F12" s="12"/>
      <c r="G12" s="4"/>
      <c r="H12" s="4">
        <f>SUM(OSRRefH13x_0)</f>
        <v>110526</v>
      </c>
      <c r="I12" s="4"/>
      <c r="J12" s="12"/>
      <c r="K12" s="4"/>
      <c r="L12" s="4">
        <f t="shared" ref="L12:L16" si="0">+D12-H12</f>
        <v>-110686.2</v>
      </c>
      <c r="M12" s="4"/>
      <c r="N12" s="12">
        <f t="shared" ref="N12:N16" si="1">IF(H12=0,0,L12/H12)</f>
        <v>-1.0014494327126648</v>
      </c>
      <c r="O12" s="10"/>
      <c r="P12" s="4">
        <f>SUM(OSRRefP13x_0)</f>
        <v>23641.919999999998</v>
      </c>
      <c r="Q12" s="4"/>
      <c r="R12" s="12"/>
      <c r="S12" s="4"/>
      <c r="T12" s="4">
        <f>SUM(OSRRefT13x_0)</f>
        <v>878098</v>
      </c>
      <c r="U12" s="4"/>
      <c r="V12" s="12"/>
      <c r="W12" s="4"/>
      <c r="X12" s="4">
        <f t="shared" ref="X12:X16" si="2">+P12-T12</f>
        <v>-854456.08</v>
      </c>
      <c r="Y12" s="4"/>
      <c r="Z12" s="12">
        <f t="shared" ref="Z12:Z16" si="3">IF(T12=0,0,X12/T12)</f>
        <v>-0.97307598924038086</v>
      </c>
    </row>
    <row r="13" spans="1:26" s="24" customFormat="1" hidden="1" outlineLevel="1" x14ac:dyDescent="0.3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5" si="4"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--217.65</f>
        <v>217.65</v>
      </c>
      <c r="Q13" s="2"/>
      <c r="R13" s="22"/>
      <c r="S13" s="2"/>
      <c r="T13" s="2"/>
      <c r="U13" s="2"/>
      <c r="V13" s="22"/>
      <c r="W13" s="2"/>
      <c r="X13" s="2">
        <f t="shared" si="2"/>
        <v>217.65</v>
      </c>
      <c r="Y13" s="2"/>
      <c r="Z13" s="22">
        <f t="shared" si="3"/>
        <v>0</v>
      </c>
    </row>
    <row r="14" spans="1:26" s="24" customFormat="1" hidden="1" outlineLevel="1" x14ac:dyDescent="0.3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110526</v>
      </c>
      <c r="I14" s="2"/>
      <c r="J14" s="22"/>
      <c r="K14" s="2"/>
      <c r="L14" s="2">
        <f t="shared" si="0"/>
        <v>-110526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878098</v>
      </c>
      <c r="U14" s="2"/>
      <c r="V14" s="22"/>
      <c r="W14" s="2"/>
      <c r="X14" s="2">
        <f t="shared" si="2"/>
        <v>-878098</v>
      </c>
      <c r="Y14" s="2"/>
      <c r="Z14" s="22">
        <f t="shared" si="3"/>
        <v>-1</v>
      </c>
    </row>
    <row r="15" spans="1:26" s="24" customFormat="1" hidden="1" outlineLevel="1" x14ac:dyDescent="0.3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22"/>
      <c r="G15" s="2"/>
      <c r="H15" s="2"/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--16096</f>
        <v>16096</v>
      </c>
      <c r="Q15" s="2"/>
      <c r="R15" s="22"/>
      <c r="S15" s="2"/>
      <c r="T15" s="2"/>
      <c r="U15" s="2"/>
      <c r="V15" s="22"/>
      <c r="W15" s="2"/>
      <c r="X15" s="2">
        <f t="shared" si="2"/>
        <v>16096</v>
      </c>
      <c r="Y15" s="2"/>
      <c r="Z15" s="22">
        <f t="shared" si="3"/>
        <v>0</v>
      </c>
    </row>
    <row r="16" spans="1:26" s="24" customFormat="1" hidden="1" outlineLevel="1" x14ac:dyDescent="0.3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>-160.2</f>
        <v>-160.19999999999999</v>
      </c>
      <c r="E16" s="2"/>
      <c r="F16" s="22"/>
      <c r="G16" s="2"/>
      <c r="H16" s="2"/>
      <c r="I16" s="2"/>
      <c r="J16" s="22"/>
      <c r="K16" s="2"/>
      <c r="L16" s="2">
        <f t="shared" si="0"/>
        <v>-160.19999999999999</v>
      </c>
      <c r="M16" s="2"/>
      <c r="N16" s="22">
        <f t="shared" si="1"/>
        <v>0</v>
      </c>
      <c r="O16" s="11"/>
      <c r="P16" s="2">
        <f>--7328.27</f>
        <v>7328.27</v>
      </c>
      <c r="Q16" s="2"/>
      <c r="R16" s="22"/>
      <c r="S16" s="2"/>
      <c r="T16" s="2"/>
      <c r="U16" s="2"/>
      <c r="V16" s="22"/>
      <c r="W16" s="2"/>
      <c r="X16" s="2">
        <f t="shared" si="2"/>
        <v>7328.27</v>
      </c>
      <c r="Y16" s="2"/>
      <c r="Z16" s="22">
        <f t="shared" si="3"/>
        <v>0</v>
      </c>
    </row>
    <row r="17" spans="1:26" x14ac:dyDescent="0.3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5">
      <c r="A18" s="10"/>
      <c r="B18" s="25" t="s">
        <v>8</v>
      </c>
      <c r="C18" s="10"/>
      <c r="D18" s="4">
        <f>SUM(OSRRefD16x_0)</f>
        <v>0</v>
      </c>
      <c r="E18" s="4"/>
      <c r="F18" s="12">
        <f t="shared" ref="F18:F21" si="5">IF(D$12=0,0,D18/D$12)</f>
        <v>0</v>
      </c>
      <c r="G18" s="4"/>
      <c r="H18" s="4">
        <f>SUM(OSRRefH16x_0)</f>
        <v>35368</v>
      </c>
      <c r="I18" s="4"/>
      <c r="J18" s="12">
        <f t="shared" ref="J18:J21" si="6">IF(H$12=0,0,H18/H$12)</f>
        <v>0.31999710475363263</v>
      </c>
      <c r="K18" s="4"/>
      <c r="L18" s="4">
        <f t="shared" ref="L18:L21" si="7">+D18-H18</f>
        <v>-35368</v>
      </c>
      <c r="M18" s="4"/>
      <c r="N18" s="12">
        <f t="shared" ref="N18:N21" si="8">IF(H18=0,0,L18/H18)</f>
        <v>-1</v>
      </c>
      <c r="O18" s="10"/>
      <c r="P18" s="4">
        <f>SUM(OSRRefP16x_0)</f>
        <v>25322.92</v>
      </c>
      <c r="Q18" s="4"/>
      <c r="R18" s="12">
        <f t="shared" ref="R18:R21" si="9">IF(P$12=0,0,P18/P$12)</f>
        <v>1.0711025162084975</v>
      </c>
      <c r="S18" s="4"/>
      <c r="T18" s="4">
        <f>SUM(OSRRefT16x_0)</f>
        <v>244862</v>
      </c>
      <c r="U18" s="4"/>
      <c r="V18" s="12">
        <f t="shared" ref="V18:V21" si="10">IF(T$12=0,0,T18/T$12)</f>
        <v>0.27885497974030232</v>
      </c>
      <c r="W18" s="4"/>
      <c r="X18" s="4">
        <f t="shared" ref="X18:X21" si="11">+P18-T18</f>
        <v>-219539.08000000002</v>
      </c>
      <c r="Y18" s="4"/>
      <c r="Z18" s="12">
        <f t="shared" ref="Z18:Z21" si="12">IF(T18=0,0,X18/T18)</f>
        <v>-0.89658289158791493</v>
      </c>
    </row>
    <row r="19" spans="1:26" s="24" customFormat="1" hidden="1" outlineLevel="1" x14ac:dyDescent="0.3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5"/>
        <v>0</v>
      </c>
      <c r="G19" s="2"/>
      <c r="H19" s="2">
        <v>35368</v>
      </c>
      <c r="I19" s="2"/>
      <c r="J19" s="22">
        <f t="shared" si="6"/>
        <v>0.31999710475363263</v>
      </c>
      <c r="K19" s="2"/>
      <c r="L19" s="2">
        <f t="shared" si="7"/>
        <v>-35368</v>
      </c>
      <c r="M19" s="2"/>
      <c r="N19" s="22">
        <f t="shared" si="8"/>
        <v>-1</v>
      </c>
      <c r="O19" s="11"/>
      <c r="P19" s="2"/>
      <c r="Q19" s="2"/>
      <c r="R19" s="22">
        <f t="shared" si="9"/>
        <v>0</v>
      </c>
      <c r="S19" s="2"/>
      <c r="T19" s="2">
        <v>244862</v>
      </c>
      <c r="U19" s="2"/>
      <c r="V19" s="22">
        <f t="shared" si="10"/>
        <v>0.27885497974030232</v>
      </c>
      <c r="W19" s="2"/>
      <c r="X19" s="2">
        <f t="shared" si="11"/>
        <v>-244862</v>
      </c>
      <c r="Y19" s="2"/>
      <c r="Z19" s="22">
        <f t="shared" si="12"/>
        <v>-1</v>
      </c>
    </row>
    <row r="20" spans="1:26" s="24" customFormat="1" hidden="1" outlineLevel="1" x14ac:dyDescent="0.35">
      <c r="A20" s="51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22">
        <f t="shared" si="5"/>
        <v>0</v>
      </c>
      <c r="G20" s="2"/>
      <c r="H20" s="2"/>
      <c r="I20" s="2"/>
      <c r="J20" s="22">
        <f t="shared" si="6"/>
        <v>0</v>
      </c>
      <c r="K20" s="2"/>
      <c r="L20" s="2">
        <f t="shared" si="7"/>
        <v>0</v>
      </c>
      <c r="M20" s="2"/>
      <c r="N20" s="22">
        <f t="shared" si="8"/>
        <v>0</v>
      </c>
      <c r="O20" s="11"/>
      <c r="P20" s="2">
        <v>14410.92</v>
      </c>
      <c r="Q20" s="2"/>
      <c r="R20" s="22">
        <f t="shared" si="9"/>
        <v>0.60954947821496741</v>
      </c>
      <c r="S20" s="2"/>
      <c r="T20" s="2"/>
      <c r="U20" s="2"/>
      <c r="V20" s="22">
        <f t="shared" si="10"/>
        <v>0</v>
      </c>
      <c r="W20" s="2"/>
      <c r="X20" s="2">
        <f t="shared" si="11"/>
        <v>14410.92</v>
      </c>
      <c r="Y20" s="2"/>
      <c r="Z20" s="22">
        <f t="shared" si="12"/>
        <v>0</v>
      </c>
    </row>
    <row r="21" spans="1:26" s="24" customFormat="1" hidden="1" outlineLevel="1" x14ac:dyDescent="0.35">
      <c r="A21" s="51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22">
        <f t="shared" si="5"/>
        <v>0</v>
      </c>
      <c r="G21" s="2"/>
      <c r="H21" s="2"/>
      <c r="I21" s="2"/>
      <c r="J21" s="22">
        <f t="shared" si="6"/>
        <v>0</v>
      </c>
      <c r="K21" s="2"/>
      <c r="L21" s="2">
        <f t="shared" si="7"/>
        <v>0</v>
      </c>
      <c r="M21" s="2"/>
      <c r="N21" s="22">
        <f t="shared" si="8"/>
        <v>0</v>
      </c>
      <c r="O21" s="11"/>
      <c r="P21" s="2">
        <v>10912</v>
      </c>
      <c r="Q21" s="2"/>
      <c r="R21" s="22">
        <f t="shared" si="9"/>
        <v>0.46155303799353015</v>
      </c>
      <c r="S21" s="2"/>
      <c r="T21" s="2"/>
      <c r="U21" s="2"/>
      <c r="V21" s="22">
        <f t="shared" si="10"/>
        <v>0</v>
      </c>
      <c r="W21" s="2"/>
      <c r="X21" s="2">
        <f t="shared" si="11"/>
        <v>10912</v>
      </c>
      <c r="Y21" s="2"/>
      <c r="Z21" s="22">
        <f t="shared" si="12"/>
        <v>0</v>
      </c>
    </row>
    <row r="22" spans="1:26" x14ac:dyDescent="0.3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5">
      <c r="A23" s="10"/>
      <c r="B23" s="26" t="s">
        <v>6</v>
      </c>
      <c r="C23" s="26"/>
      <c r="D23" s="19">
        <f>D12-D18</f>
        <v>-160.19999999999999</v>
      </c>
      <c r="E23" s="13"/>
      <c r="F23" s="21">
        <f>IF(D$12=0,0,D23/D$12)</f>
        <v>1</v>
      </c>
      <c r="G23" s="13"/>
      <c r="H23" s="19">
        <f>H12-H18</f>
        <v>75158</v>
      </c>
      <c r="I23" s="13"/>
      <c r="J23" s="21">
        <f>IF(H$12=0,0,H23/H$12)</f>
        <v>0.68000289524636737</v>
      </c>
      <c r="K23" s="16"/>
      <c r="L23" s="19">
        <f>+D23-H23</f>
        <v>-75318.2</v>
      </c>
      <c r="M23" s="16"/>
      <c r="N23" s="21">
        <f>IF(H23=0,0,L23/H23)</f>
        <v>-1.0021315096197343</v>
      </c>
      <c r="O23" s="25"/>
      <c r="P23" s="19">
        <f>P12-P18</f>
        <v>-1681</v>
      </c>
      <c r="Q23" s="13"/>
      <c r="R23" s="21">
        <f>IF(P$12=0,0,P23/P$12)</f>
        <v>-7.110251620849746E-2</v>
      </c>
      <c r="S23" s="13"/>
      <c r="T23" s="19">
        <f>T12-T18</f>
        <v>633236</v>
      </c>
      <c r="U23" s="13"/>
      <c r="V23" s="21">
        <f>IF(T$12=0,0,T23/T$12)</f>
        <v>0.72114502025969762</v>
      </c>
      <c r="W23" s="16"/>
      <c r="X23" s="19">
        <f>+P23-T23</f>
        <v>-634917</v>
      </c>
      <c r="Y23" s="16"/>
      <c r="Z23" s="21">
        <f>IF(T23=0,0,X23/T23)</f>
        <v>-1.0026546184992642</v>
      </c>
    </row>
    <row r="24" spans="1:26" x14ac:dyDescent="0.3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5">
      <c r="A25" s="10"/>
      <c r="B25" s="25" t="s">
        <v>9</v>
      </c>
      <c r="C25" s="10"/>
      <c r="D25" s="20">
        <f>SUM(OSRRefD22x_0)</f>
        <v>51225.53</v>
      </c>
      <c r="E25" s="20"/>
      <c r="F25" s="30">
        <f t="shared" ref="F25:F36" si="13">IF(D$12=0,0,D25/D$12)</f>
        <v>-319.75986267166041</v>
      </c>
      <c r="G25" s="20"/>
      <c r="H25" s="20">
        <f>SUM(OSRRefH22x_0)</f>
        <v>138192.5206134615</v>
      </c>
      <c r="I25" s="20"/>
      <c r="J25" s="30">
        <f t="shared" ref="J25:J36" si="14">IF(H$12=0,0,H25/H$12)</f>
        <v>1.2503168540747109</v>
      </c>
      <c r="K25" s="4"/>
      <c r="L25" s="20">
        <f t="shared" ref="L25:L36" si="15">+D25-H25</f>
        <v>-86966.990613461501</v>
      </c>
      <c r="M25" s="4"/>
      <c r="N25" s="30">
        <f t="shared" ref="N25:N36" si="16">IF(H25=0,0,L25/H25)</f>
        <v>-0.62931763765071624</v>
      </c>
      <c r="O25" s="10"/>
      <c r="P25" s="20">
        <f>SUM(OSRRefP22x_0)</f>
        <v>368309.79000000004</v>
      </c>
      <c r="Q25" s="20"/>
      <c r="R25" s="30">
        <f t="shared" ref="R25:R36" si="17">IF(P$12=0,0,P25/P$12)</f>
        <v>15.578675082226827</v>
      </c>
      <c r="S25" s="20"/>
      <c r="T25" s="20">
        <f>SUM(OSRRefT22x_0)</f>
        <v>873642.15748346143</v>
      </c>
      <c r="U25" s="20"/>
      <c r="V25" s="30">
        <f t="shared" ref="V25:V36" si="18">IF(T$12=0,0,T25/T$12)</f>
        <v>0.99492557491699263</v>
      </c>
      <c r="W25" s="4"/>
      <c r="X25" s="20">
        <f t="shared" ref="X25:X36" si="19">+P25-T25</f>
        <v>-505332.36748346139</v>
      </c>
      <c r="Y25" s="4"/>
      <c r="Z25" s="30">
        <f t="shared" ref="Z25:Z36" si="20">IF(T25=0,0,X25/T25)</f>
        <v>-0.57842030991164439</v>
      </c>
    </row>
    <row r="26" spans="1:26" s="28" customFormat="1" outlineLevel="1" collapsed="1" x14ac:dyDescent="0.3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20342.16</v>
      </c>
      <c r="E26" s="1"/>
      <c r="F26" s="5">
        <f t="shared" si="13"/>
        <v>-126.97977528089888</v>
      </c>
      <c r="G26" s="1"/>
      <c r="H26" s="1">
        <f>SUM(OSRRefH22_0x_0)</f>
        <v>35027.29369038462</v>
      </c>
      <c r="I26" s="1"/>
      <c r="J26" s="5">
        <f t="shared" si="14"/>
        <v>0.31691451504971335</v>
      </c>
      <c r="K26" s="1"/>
      <c r="L26" s="1">
        <f t="shared" si="15"/>
        <v>-14685.13369038462</v>
      </c>
      <c r="M26" s="1"/>
      <c r="N26" s="5">
        <f t="shared" si="16"/>
        <v>-0.4192483101946255</v>
      </c>
      <c r="O26" s="14"/>
      <c r="P26" s="1">
        <f>SUM(OSRRefP22_0x_0)</f>
        <v>146610.79</v>
      </c>
      <c r="Q26" s="1"/>
      <c r="R26" s="5">
        <f t="shared" si="17"/>
        <v>6.2013064082781781</v>
      </c>
      <c r="S26" s="1"/>
      <c r="T26" s="1">
        <f>SUM(OSRRefT22_0x_0)</f>
        <v>225709.39056038481</v>
      </c>
      <c r="U26" s="1"/>
      <c r="V26" s="5">
        <f t="shared" si="18"/>
        <v>0.25704350831044465</v>
      </c>
      <c r="W26" s="1"/>
      <c r="X26" s="1">
        <f t="shared" si="19"/>
        <v>-79098.600560384803</v>
      </c>
      <c r="Y26" s="1"/>
      <c r="Z26" s="5">
        <f t="shared" si="20"/>
        <v>-0.35044443815120435</v>
      </c>
    </row>
    <row r="27" spans="1:26" s="24" customFormat="1" hidden="1" outlineLevel="2" x14ac:dyDescent="0.35">
      <c r="A27" s="29"/>
      <c r="B27" s="11" t="str">
        <f>CONCATENATE("          ", "6111", " - ", "F.I.C.A.")</f>
        <v xml:space="preserve">          6111 - F.I.C.A.</v>
      </c>
      <c r="C27" s="11"/>
      <c r="D27" s="7">
        <v>1819.55</v>
      </c>
      <c r="E27" s="2"/>
      <c r="F27" s="6">
        <f t="shared" si="13"/>
        <v>-11.357990012484395</v>
      </c>
      <c r="G27" s="2"/>
      <c r="H27" s="7">
        <v>3899.3359557692302</v>
      </c>
      <c r="I27" s="2"/>
      <c r="J27" s="6">
        <f t="shared" si="14"/>
        <v>3.527980706593227E-2</v>
      </c>
      <c r="K27" s="2"/>
      <c r="L27" s="7">
        <f t="shared" si="15"/>
        <v>-2079.78595576923</v>
      </c>
      <c r="M27" s="2"/>
      <c r="N27" s="6">
        <f t="shared" si="16"/>
        <v>-0.5333692657828315</v>
      </c>
      <c r="O27" s="11"/>
      <c r="P27" s="7">
        <v>14346.37</v>
      </c>
      <c r="Q27" s="2"/>
      <c r="R27" s="6">
        <f t="shared" si="17"/>
        <v>0.60681915851166068</v>
      </c>
      <c r="S27" s="2"/>
      <c r="T27" s="7">
        <v>25437.097325769209</v>
      </c>
      <c r="U27" s="2"/>
      <c r="V27" s="6">
        <f t="shared" si="18"/>
        <v>2.8968403669942546E-2</v>
      </c>
      <c r="W27" s="2"/>
      <c r="X27" s="7">
        <f t="shared" si="19"/>
        <v>-11090.727325769209</v>
      </c>
      <c r="Y27" s="2"/>
      <c r="Z27" s="6">
        <f t="shared" si="20"/>
        <v>-0.43600601058099808</v>
      </c>
    </row>
    <row r="28" spans="1:26" s="24" customFormat="1" hidden="1" outlineLevel="2" x14ac:dyDescent="0.3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357.19</v>
      </c>
      <c r="E28" s="2"/>
      <c r="F28" s="6">
        <f t="shared" si="13"/>
        <v>-2.2296504369538077</v>
      </c>
      <c r="G28" s="2"/>
      <c r="H28" s="7">
        <v>2597.1201299999998</v>
      </c>
      <c r="I28" s="2"/>
      <c r="J28" s="6">
        <f t="shared" si="14"/>
        <v>2.3497820693773409E-2</v>
      </c>
      <c r="K28" s="2"/>
      <c r="L28" s="7">
        <f t="shared" si="15"/>
        <v>-2239.9301299999997</v>
      </c>
      <c r="M28" s="2"/>
      <c r="N28" s="6">
        <f t="shared" si="16"/>
        <v>-0.86246689328152104</v>
      </c>
      <c r="O28" s="11"/>
      <c r="P28" s="7">
        <v>8166.34</v>
      </c>
      <c r="Q28" s="2"/>
      <c r="R28" s="6">
        <f t="shared" si="17"/>
        <v>0.34541780024634211</v>
      </c>
      <c r="S28" s="2"/>
      <c r="T28" s="7">
        <v>16742.49423</v>
      </c>
      <c r="U28" s="2"/>
      <c r="V28" s="6">
        <f t="shared" si="18"/>
        <v>1.90667718523445E-2</v>
      </c>
      <c r="W28" s="2"/>
      <c r="X28" s="7">
        <f t="shared" si="19"/>
        <v>-8576.1542300000001</v>
      </c>
      <c r="Y28" s="2"/>
      <c r="Z28" s="6">
        <f t="shared" si="20"/>
        <v>-0.51223874484799514</v>
      </c>
    </row>
    <row r="29" spans="1:26" s="24" customFormat="1" hidden="1" outlineLevel="2" x14ac:dyDescent="0.35">
      <c r="A29" s="29"/>
      <c r="B29" s="11" t="str">
        <f>CONCATENATE("          ", "6113", " - ", "GROUP INSURANCE")</f>
        <v xml:space="preserve">          6113 - GROUP INSURANCE</v>
      </c>
      <c r="C29" s="11"/>
      <c r="D29" s="7">
        <v>12552.45</v>
      </c>
      <c r="E29" s="2"/>
      <c r="F29" s="6">
        <f t="shared" si="13"/>
        <v>-78.354868913857686</v>
      </c>
      <c r="G29" s="2"/>
      <c r="H29" s="7">
        <v>21932.307692307699</v>
      </c>
      <c r="I29" s="2"/>
      <c r="J29" s="6">
        <f t="shared" si="14"/>
        <v>0.19843573179439858</v>
      </c>
      <c r="K29" s="2"/>
      <c r="L29" s="7">
        <f t="shared" si="15"/>
        <v>-9379.857692307698</v>
      </c>
      <c r="M29" s="2"/>
      <c r="N29" s="6">
        <f t="shared" si="16"/>
        <v>-0.42767308501683515</v>
      </c>
      <c r="O29" s="11"/>
      <c r="P29" s="7">
        <v>85011.58</v>
      </c>
      <c r="Q29" s="2"/>
      <c r="R29" s="6">
        <f t="shared" si="17"/>
        <v>3.5957984799880891</v>
      </c>
      <c r="S29" s="2"/>
      <c r="T29" s="7">
        <v>140732.30769230789</v>
      </c>
      <c r="U29" s="2"/>
      <c r="V29" s="6">
        <f t="shared" si="18"/>
        <v>0.16026947754385945</v>
      </c>
      <c r="W29" s="2"/>
      <c r="X29" s="7">
        <f t="shared" si="19"/>
        <v>-55720.72769230789</v>
      </c>
      <c r="Y29" s="2"/>
      <c r="Z29" s="6">
        <f t="shared" si="20"/>
        <v>-0.39593415759324935</v>
      </c>
    </row>
    <row r="30" spans="1:26" s="24" customFormat="1" hidden="1" outlineLevel="2" x14ac:dyDescent="0.3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125.74</v>
      </c>
      <c r="E30" s="2"/>
      <c r="F30" s="6">
        <f t="shared" si="13"/>
        <v>-0.78489388264669169</v>
      </c>
      <c r="G30" s="2"/>
      <c r="H30" s="7">
        <v>157.40122</v>
      </c>
      <c r="I30" s="2"/>
      <c r="J30" s="6">
        <f t="shared" si="14"/>
        <v>1.4241103450771764E-3</v>
      </c>
      <c r="K30" s="2"/>
      <c r="L30" s="7">
        <f t="shared" si="15"/>
        <v>-31.66122</v>
      </c>
      <c r="M30" s="2"/>
      <c r="N30" s="6">
        <f t="shared" si="16"/>
        <v>-0.20114977507798226</v>
      </c>
      <c r="O30" s="11"/>
      <c r="P30" s="7">
        <v>494.93</v>
      </c>
      <c r="Q30" s="2"/>
      <c r="R30" s="6">
        <f t="shared" si="17"/>
        <v>2.0934424953641669E-2</v>
      </c>
      <c r="S30" s="2"/>
      <c r="T30" s="7">
        <v>1014.6966200000001</v>
      </c>
      <c r="U30" s="2"/>
      <c r="V30" s="6">
        <f t="shared" si="18"/>
        <v>1.1555619304451212E-3</v>
      </c>
      <c r="W30" s="2"/>
      <c r="X30" s="7">
        <f t="shared" si="19"/>
        <v>-519.7666200000001</v>
      </c>
      <c r="Y30" s="2"/>
      <c r="Z30" s="6">
        <f t="shared" si="20"/>
        <v>-0.51223844620670966</v>
      </c>
    </row>
    <row r="31" spans="1:26" s="24" customFormat="1" hidden="1" outlineLevel="2" x14ac:dyDescent="0.35">
      <c r="A31" s="29"/>
      <c r="B31" s="11" t="str">
        <f>CONCATENATE("          ", "6115", " - ", "P.E.R.S.")</f>
        <v xml:space="preserve">          6115 - P.E.R.S.</v>
      </c>
      <c r="C31" s="11"/>
      <c r="D31" s="7">
        <v>1343.57</v>
      </c>
      <c r="E31" s="2"/>
      <c r="F31" s="6">
        <f t="shared" si="13"/>
        <v>-8.3868289637952564</v>
      </c>
      <c r="G31" s="2"/>
      <c r="H31" s="7">
        <v>1557.60884615385</v>
      </c>
      <c r="I31" s="2"/>
      <c r="J31" s="6">
        <f t="shared" si="14"/>
        <v>1.4092691730035014E-2</v>
      </c>
      <c r="K31" s="2"/>
      <c r="L31" s="7">
        <f t="shared" si="15"/>
        <v>-214.03884615385005</v>
      </c>
      <c r="M31" s="2"/>
      <c r="N31" s="6">
        <f t="shared" si="16"/>
        <v>-0.13741501705153306</v>
      </c>
      <c r="O31" s="11"/>
      <c r="P31" s="7">
        <v>7680.75</v>
      </c>
      <c r="Q31" s="2"/>
      <c r="R31" s="6">
        <f t="shared" si="17"/>
        <v>0.32487843626913554</v>
      </c>
      <c r="S31" s="2"/>
      <c r="T31" s="7">
        <v>9657.17484615387</v>
      </c>
      <c r="U31" s="2"/>
      <c r="V31" s="6">
        <f t="shared" si="18"/>
        <v>1.0997832640723324E-2</v>
      </c>
      <c r="W31" s="2"/>
      <c r="X31" s="7">
        <f t="shared" si="19"/>
        <v>-1976.42484615387</v>
      </c>
      <c r="Y31" s="2"/>
      <c r="Z31" s="6">
        <f t="shared" si="20"/>
        <v>-0.20465869963419106</v>
      </c>
    </row>
    <row r="32" spans="1:26" s="24" customFormat="1" hidden="1" outlineLevel="2" x14ac:dyDescent="0.3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35">
      <c r="A33" s="29"/>
      <c r="B33" s="11" t="str">
        <f>CONCATENATE("          ", "6117", " - ", "RETIREMENT STAFF HOURLY")</f>
        <v xml:space="preserve">          6117 - RETIREMENT STAFF HOURLY</v>
      </c>
      <c r="C33" s="11"/>
      <c r="D33" s="7">
        <v>357.29</v>
      </c>
      <c r="E33" s="2"/>
      <c r="F33" s="6">
        <f t="shared" si="13"/>
        <v>-2.2302746566791511</v>
      </c>
      <c r="G33" s="2"/>
      <c r="H33" s="7"/>
      <c r="I33" s="2"/>
      <c r="J33" s="6">
        <f t="shared" si="14"/>
        <v>0</v>
      </c>
      <c r="K33" s="2"/>
      <c r="L33" s="7">
        <f t="shared" si="15"/>
        <v>357.29</v>
      </c>
      <c r="M33" s="2"/>
      <c r="N33" s="6">
        <f t="shared" si="16"/>
        <v>0</v>
      </c>
      <c r="O33" s="11"/>
      <c r="P33" s="7">
        <v>2746.38</v>
      </c>
      <c r="Q33" s="2"/>
      <c r="R33" s="6">
        <f t="shared" si="17"/>
        <v>0.1161656921265278</v>
      </c>
      <c r="S33" s="2"/>
      <c r="T33" s="7"/>
      <c r="U33" s="2"/>
      <c r="V33" s="6">
        <f t="shared" si="18"/>
        <v>0</v>
      </c>
      <c r="W33" s="2"/>
      <c r="X33" s="7">
        <f t="shared" si="19"/>
        <v>2746.38</v>
      </c>
      <c r="Y33" s="2"/>
      <c r="Z33" s="6">
        <f t="shared" si="20"/>
        <v>0</v>
      </c>
    </row>
    <row r="34" spans="1:26" s="24" customFormat="1" hidden="1" outlineLevel="2" x14ac:dyDescent="0.35">
      <c r="A34" s="29"/>
      <c r="B34" s="11" t="str">
        <f>CONCATENATE("          ", "6118", " - ", "VACATION")</f>
        <v xml:space="preserve">          6118 - VACATION</v>
      </c>
      <c r="C34" s="11"/>
      <c r="D34" s="7">
        <v>1863.03</v>
      </c>
      <c r="E34" s="2"/>
      <c r="F34" s="6">
        <f t="shared" si="13"/>
        <v>-11.629400749063672</v>
      </c>
      <c r="G34" s="2"/>
      <c r="H34" s="7">
        <v>1575.35192307692</v>
      </c>
      <c r="I34" s="2"/>
      <c r="J34" s="6">
        <f t="shared" si="14"/>
        <v>1.4253224789433437E-2</v>
      </c>
      <c r="K34" s="2"/>
      <c r="L34" s="7">
        <f t="shared" si="15"/>
        <v>287.67807692307997</v>
      </c>
      <c r="M34" s="2"/>
      <c r="N34" s="6">
        <f t="shared" si="16"/>
        <v>0.18261194385137616</v>
      </c>
      <c r="O34" s="11"/>
      <c r="P34" s="7">
        <v>13715.68</v>
      </c>
      <c r="Q34" s="2"/>
      <c r="R34" s="6">
        <f t="shared" si="17"/>
        <v>0.58014239114251298</v>
      </c>
      <c r="S34" s="2"/>
      <c r="T34" s="7">
        <v>9767.1819230769197</v>
      </c>
      <c r="U34" s="2"/>
      <c r="V34" s="6">
        <f t="shared" si="18"/>
        <v>1.1123111455756556E-2</v>
      </c>
      <c r="W34" s="2"/>
      <c r="X34" s="7">
        <f t="shared" si="19"/>
        <v>3948.4980769230806</v>
      </c>
      <c r="Y34" s="2"/>
      <c r="Z34" s="6">
        <f t="shared" si="20"/>
        <v>0.40426175206115128</v>
      </c>
    </row>
    <row r="35" spans="1:26" s="24" customFormat="1" hidden="1" outlineLevel="2" x14ac:dyDescent="0.35">
      <c r="A35" s="29"/>
      <c r="B35" s="11" t="str">
        <f>CONCATENATE("          ", "6119", " - ", "SICK LEAVE")</f>
        <v xml:space="preserve">          6119 - SICK LEAVE</v>
      </c>
      <c r="C35" s="11"/>
      <c r="D35" s="7">
        <v>1214.78</v>
      </c>
      <c r="E35" s="2"/>
      <c r="F35" s="6">
        <f t="shared" si="13"/>
        <v>-7.582896379525593</v>
      </c>
      <c r="G35" s="2"/>
      <c r="H35" s="7">
        <v>1558.16792307692</v>
      </c>
      <c r="I35" s="2"/>
      <c r="J35" s="6">
        <f t="shared" si="14"/>
        <v>1.4097750059505637E-2</v>
      </c>
      <c r="K35" s="2"/>
      <c r="L35" s="7">
        <f t="shared" si="15"/>
        <v>-343.38792307692006</v>
      </c>
      <c r="M35" s="2"/>
      <c r="N35" s="6">
        <f t="shared" si="16"/>
        <v>-0.22037927876145122</v>
      </c>
      <c r="O35" s="11"/>
      <c r="P35" s="7">
        <v>8974.69</v>
      </c>
      <c r="Q35" s="2"/>
      <c r="R35" s="6">
        <f t="shared" si="17"/>
        <v>0.37960918571757291</v>
      </c>
      <c r="S35" s="2"/>
      <c r="T35" s="7">
        <v>10108.437923076921</v>
      </c>
      <c r="U35" s="2"/>
      <c r="V35" s="6">
        <f t="shared" si="18"/>
        <v>1.1511742337503241E-2</v>
      </c>
      <c r="W35" s="2"/>
      <c r="X35" s="7">
        <f t="shared" si="19"/>
        <v>-1133.7479230769204</v>
      </c>
      <c r="Y35" s="2"/>
      <c r="Z35" s="6">
        <f t="shared" si="20"/>
        <v>-0.11215856808979813</v>
      </c>
    </row>
    <row r="36" spans="1:26" s="24" customFormat="1" hidden="1" outlineLevel="2" x14ac:dyDescent="0.35">
      <c r="A36" s="29"/>
      <c r="B36" s="11" t="str">
        <f>CONCATENATE("          ", "6156", " - ", "EMPLOYEE MEALS")</f>
        <v xml:space="preserve">          6156 - EMPLOYEE MEALS</v>
      </c>
      <c r="C36" s="11"/>
      <c r="D36" s="7">
        <v>708.56</v>
      </c>
      <c r="E36" s="2"/>
      <c r="F36" s="6">
        <f t="shared" si="13"/>
        <v>-4.4229712858926344</v>
      </c>
      <c r="G36" s="2"/>
      <c r="H36" s="7">
        <v>1750</v>
      </c>
      <c r="I36" s="2"/>
      <c r="J36" s="6">
        <f t="shared" si="14"/>
        <v>1.5833378571557824E-2</v>
      </c>
      <c r="K36" s="2"/>
      <c r="L36" s="7">
        <f t="shared" si="15"/>
        <v>-1041.44</v>
      </c>
      <c r="M36" s="2"/>
      <c r="N36" s="6">
        <f t="shared" si="16"/>
        <v>-0.59510857142857143</v>
      </c>
      <c r="O36" s="11"/>
      <c r="P36" s="7">
        <v>5474.07</v>
      </c>
      <c r="Q36" s="2"/>
      <c r="R36" s="6">
        <f t="shared" si="17"/>
        <v>0.23154083932269462</v>
      </c>
      <c r="S36" s="2"/>
      <c r="T36" s="7">
        <v>12250</v>
      </c>
      <c r="U36" s="2"/>
      <c r="V36" s="6">
        <f t="shared" si="18"/>
        <v>1.39506068798699E-2</v>
      </c>
      <c r="W36" s="2"/>
      <c r="X36" s="7">
        <f t="shared" si="19"/>
        <v>-6775.93</v>
      </c>
      <c r="Y36" s="2"/>
      <c r="Z36" s="6">
        <f t="shared" si="20"/>
        <v>-0.55313714285714288</v>
      </c>
    </row>
    <row r="37" spans="1:26" s="28" customFormat="1" outlineLevel="1" collapsed="1" x14ac:dyDescent="0.35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23703.85</v>
      </c>
      <c r="E37" s="1"/>
      <c r="F37" s="5">
        <f t="shared" ref="F37:F47" si="21">IF(D$12=0,0,D37/D$12)</f>
        <v>-147.96410736579276</v>
      </c>
      <c r="G37" s="1"/>
      <c r="H37" s="1">
        <f>SUM(OSRRefH22_1x_0)</f>
        <v>57904.226923076902</v>
      </c>
      <c r="I37" s="1"/>
      <c r="J37" s="5">
        <f t="shared" ref="J37:J47" si="22">IF(H$12=0,0,H37/H$12)</f>
        <v>0.52389688329512429</v>
      </c>
      <c r="K37" s="1"/>
      <c r="L37" s="1">
        <f t="shared" ref="L37:L47" si="23">+D37-H37</f>
        <v>-34200.376923076903</v>
      </c>
      <c r="M37" s="1"/>
      <c r="N37" s="5">
        <f t="shared" ref="N37:N47" si="24">IF(H37=0,0,L37/H37)</f>
        <v>-0.59063696625309459</v>
      </c>
      <c r="O37" s="14"/>
      <c r="P37" s="1">
        <f>SUM(OSRRefP22_1x_0)</f>
        <v>158824.10999999999</v>
      </c>
      <c r="Q37" s="1"/>
      <c r="R37" s="5">
        <f t="shared" ref="R37:R47" si="25">IF(P$12=0,0,P37/P$12)</f>
        <v>6.7179023531083768</v>
      </c>
      <c r="S37" s="1"/>
      <c r="T37" s="1">
        <f>SUM(OSRRefT22_1x_0)</f>
        <v>373932.76692307671</v>
      </c>
      <c r="U37" s="1"/>
      <c r="V37" s="5">
        <f t="shared" ref="V37:V47" si="26">IF(T$12=0,0,T37/T$12)</f>
        <v>0.42584400251802956</v>
      </c>
      <c r="W37" s="1"/>
      <c r="X37" s="1">
        <f t="shared" ref="X37:X47" si="27">+P37-T37</f>
        <v>-215108.65692307672</v>
      </c>
      <c r="Y37" s="1"/>
      <c r="Z37" s="5">
        <f t="shared" ref="Z37:Z47" si="28">IF(T37=0,0,X37/T37)</f>
        <v>-0.57526024983878354</v>
      </c>
    </row>
    <row r="38" spans="1:26" s="24" customFormat="1" hidden="1" outlineLevel="2" x14ac:dyDescent="0.35">
      <c r="A38" s="29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35">
      <c r="A39" s="29"/>
      <c r="B39" s="11" t="str">
        <f>CONCATENATE("          ", "6002", " - ", "STAFF SALARIES")</f>
        <v xml:space="preserve">          6002 - STAFF SALARIES</v>
      </c>
      <c r="C39" s="11"/>
      <c r="D39" s="7">
        <v>9600.02</v>
      </c>
      <c r="E39" s="2"/>
      <c r="F39" s="6">
        <f t="shared" si="21"/>
        <v>-59.925218476903879</v>
      </c>
      <c r="G39" s="2"/>
      <c r="H39" s="7">
        <v>17025.026923076901</v>
      </c>
      <c r="I39" s="2"/>
      <c r="J39" s="6">
        <f t="shared" si="22"/>
        <v>0.1540363979794519</v>
      </c>
      <c r="K39" s="2"/>
      <c r="L39" s="7">
        <f t="shared" si="23"/>
        <v>-7425.0069230769004</v>
      </c>
      <c r="M39" s="2"/>
      <c r="N39" s="6">
        <f t="shared" si="24"/>
        <v>-0.43612306498103282</v>
      </c>
      <c r="O39" s="11"/>
      <c r="P39" s="7">
        <v>64350.749999999993</v>
      </c>
      <c r="Q39" s="2"/>
      <c r="R39" s="6">
        <f t="shared" si="25"/>
        <v>2.7218918768018838</v>
      </c>
      <c r="S39" s="2"/>
      <c r="T39" s="7">
        <v>105555.1669230767</v>
      </c>
      <c r="U39" s="2"/>
      <c r="V39" s="6">
        <f t="shared" si="26"/>
        <v>0.12020886839860323</v>
      </c>
      <c r="W39" s="2"/>
      <c r="X39" s="7">
        <f t="shared" si="27"/>
        <v>-41204.416923076707</v>
      </c>
      <c r="Y39" s="2"/>
      <c r="Z39" s="6">
        <f t="shared" si="28"/>
        <v>-0.39035907122485453</v>
      </c>
    </row>
    <row r="40" spans="1:26" s="24" customFormat="1" hidden="1" outlineLevel="2" x14ac:dyDescent="0.35">
      <c r="A40" s="29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35">
      <c r="A41" s="29"/>
      <c r="B41" s="11" t="str">
        <f>CONCATENATE("          ", "6004", " - ", "STAFF HOURLY")</f>
        <v xml:space="preserve">          6004 - STAFF HOURLY</v>
      </c>
      <c r="C41" s="11"/>
      <c r="D41" s="7">
        <v>11503.83</v>
      </c>
      <c r="E41" s="2"/>
      <c r="F41" s="6">
        <f t="shared" si="21"/>
        <v>-71.809176029962558</v>
      </c>
      <c r="G41" s="2"/>
      <c r="H41" s="7">
        <v>31292</v>
      </c>
      <c r="I41" s="2"/>
      <c r="J41" s="6">
        <f t="shared" si="22"/>
        <v>0.28311890414924995</v>
      </c>
      <c r="K41" s="2"/>
      <c r="L41" s="7">
        <f t="shared" si="23"/>
        <v>-19788.169999999998</v>
      </c>
      <c r="M41" s="2"/>
      <c r="N41" s="6">
        <f t="shared" si="24"/>
        <v>-0.63237153266010482</v>
      </c>
      <c r="O41" s="11"/>
      <c r="P41" s="7">
        <v>91873.36</v>
      </c>
      <c r="Q41" s="2"/>
      <c r="R41" s="6">
        <f t="shared" si="25"/>
        <v>3.8860363286907327</v>
      </c>
      <c r="S41" s="2"/>
      <c r="T41" s="7">
        <v>210490.4</v>
      </c>
      <c r="U41" s="2"/>
      <c r="V41" s="6">
        <f t="shared" si="26"/>
        <v>0.23971174060298509</v>
      </c>
      <c r="W41" s="2"/>
      <c r="X41" s="7">
        <f t="shared" si="27"/>
        <v>-118617.04</v>
      </c>
      <c r="Y41" s="2"/>
      <c r="Z41" s="6">
        <f t="shared" si="28"/>
        <v>-0.56352707771945898</v>
      </c>
    </row>
    <row r="42" spans="1:26" s="24" customFormat="1" hidden="1" outlineLevel="2" x14ac:dyDescent="0.35">
      <c r="A42" s="29"/>
      <c r="B42" s="11" t="str">
        <f>CONCATENATE("          ", "6005", " - ", "TEMPORARY WAGES-HOURLY")</f>
        <v xml:space="preserve">          6005 - TEMPORARY WAGES-HOURLY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/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35">
      <c r="A43" s="29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35">
      <c r="A44" s="29"/>
      <c r="B44" s="11" t="str">
        <f>CONCATENATE("          ", "6007", " - ", "STUDENT HOURLY")</f>
        <v xml:space="preserve">          6007 - STUDENT HOURLY</v>
      </c>
      <c r="C44" s="11"/>
      <c r="D44" s="7">
        <v>2600</v>
      </c>
      <c r="E44" s="2"/>
      <c r="F44" s="6">
        <f t="shared" si="21"/>
        <v>-16.229712858926344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2600</v>
      </c>
      <c r="M44" s="2"/>
      <c r="N44" s="6">
        <f t="shared" si="24"/>
        <v>0</v>
      </c>
      <c r="O44" s="11"/>
      <c r="P44" s="7">
        <v>2600</v>
      </c>
      <c r="Q44" s="2"/>
      <c r="R44" s="6">
        <f t="shared" si="25"/>
        <v>0.10997414761576049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2600</v>
      </c>
      <c r="Y44" s="2"/>
      <c r="Z44" s="6">
        <f t="shared" si="28"/>
        <v>0</v>
      </c>
    </row>
    <row r="45" spans="1:26" s="24" customFormat="1" hidden="1" outlineLevel="2" x14ac:dyDescent="0.35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1"/>
        <v>0</v>
      </c>
      <c r="G45" s="2"/>
      <c r="H45" s="7">
        <v>9587.2000000000007</v>
      </c>
      <c r="I45" s="2"/>
      <c r="J45" s="6">
        <f t="shared" si="22"/>
        <v>8.6741581166422388E-2</v>
      </c>
      <c r="K45" s="2"/>
      <c r="L45" s="7">
        <f t="shared" si="23"/>
        <v>-9587.2000000000007</v>
      </c>
      <c r="M45" s="2"/>
      <c r="N45" s="6">
        <f t="shared" si="24"/>
        <v>-1</v>
      </c>
      <c r="O45" s="11"/>
      <c r="P45" s="7"/>
      <c r="Q45" s="2"/>
      <c r="R45" s="6">
        <f t="shared" si="25"/>
        <v>0</v>
      </c>
      <c r="S45" s="2"/>
      <c r="T45" s="7">
        <v>57887.199999999997</v>
      </c>
      <c r="U45" s="2"/>
      <c r="V45" s="6">
        <f t="shared" si="26"/>
        <v>6.592339351644122E-2</v>
      </c>
      <c r="W45" s="2"/>
      <c r="X45" s="7">
        <f t="shared" si="27"/>
        <v>-57887.199999999997</v>
      </c>
      <c r="Y45" s="2"/>
      <c r="Z45" s="6">
        <f t="shared" si="28"/>
        <v>-1</v>
      </c>
    </row>
    <row r="46" spans="1:26" s="24" customFormat="1" hidden="1" outlineLevel="2" x14ac:dyDescent="0.35">
      <c r="A46" s="29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4" customFormat="1" hidden="1" outlineLevel="2" x14ac:dyDescent="0.35">
      <c r="A47" s="29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1"/>
        <v>0</v>
      </c>
      <c r="G47" s="2"/>
      <c r="H47" s="7">
        <v>0</v>
      </c>
      <c r="I47" s="2"/>
      <c r="J47" s="6">
        <f t="shared" si="22"/>
        <v>0</v>
      </c>
      <c r="K47" s="2"/>
      <c r="L47" s="7">
        <f t="shared" si="23"/>
        <v>0</v>
      </c>
      <c r="M47" s="2"/>
      <c r="N47" s="6">
        <f t="shared" si="24"/>
        <v>0</v>
      </c>
      <c r="O47" s="11"/>
      <c r="P47" s="7"/>
      <c r="Q47" s="2"/>
      <c r="R47" s="6">
        <f t="shared" si="25"/>
        <v>0</v>
      </c>
      <c r="S47" s="2"/>
      <c r="T47" s="7">
        <v>0</v>
      </c>
      <c r="U47" s="2"/>
      <c r="V47" s="6">
        <f t="shared" si="26"/>
        <v>0</v>
      </c>
      <c r="W47" s="2"/>
      <c r="X47" s="7">
        <f t="shared" si="27"/>
        <v>0</v>
      </c>
      <c r="Y47" s="2"/>
      <c r="Z47" s="6">
        <f t="shared" si="28"/>
        <v>0</v>
      </c>
    </row>
    <row r="48" spans="1:26" s="28" customFormat="1" outlineLevel="1" collapsed="1" x14ac:dyDescent="0.3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69" si="29">IF(D$12=0,0,D48/D$12)</f>
        <v>0</v>
      </c>
      <c r="G48" s="1"/>
      <c r="H48" s="1">
        <f>SUM(OSRRefH22_2x_0)</f>
        <v>500</v>
      </c>
      <c r="I48" s="1"/>
      <c r="J48" s="5">
        <f t="shared" ref="J48:J69" si="30">IF(H$12=0,0,H48/H$12)</f>
        <v>4.5238224490165213E-3</v>
      </c>
      <c r="K48" s="1"/>
      <c r="L48" s="1">
        <f t="shared" ref="L48:L69" si="31">+D48-H48</f>
        <v>-500</v>
      </c>
      <c r="M48" s="1"/>
      <c r="N48" s="5">
        <f t="shared" ref="N48:N69" si="32">IF(H48=0,0,L48/H48)</f>
        <v>-1</v>
      </c>
      <c r="O48" s="14"/>
      <c r="P48" s="1">
        <f>SUM(OSRRefP22_2x_0)</f>
        <v>204.75</v>
      </c>
      <c r="Q48" s="1"/>
      <c r="R48" s="5">
        <f t="shared" ref="R48:R69" si="33">IF(P$12=0,0,P48/P$12)</f>
        <v>8.660464124741139E-3</v>
      </c>
      <c r="S48" s="1"/>
      <c r="T48" s="1">
        <f>SUM(OSRRefT22_2x_0)</f>
        <v>3500</v>
      </c>
      <c r="U48" s="1"/>
      <c r="V48" s="5">
        <f t="shared" ref="V48:V69" si="34">IF(T$12=0,0,T48/T$12)</f>
        <v>3.9858876799628287E-3</v>
      </c>
      <c r="W48" s="1"/>
      <c r="X48" s="1">
        <f t="shared" ref="X48:X69" si="35">+P48-T48</f>
        <v>-3295.25</v>
      </c>
      <c r="Y48" s="1"/>
      <c r="Z48" s="5">
        <f t="shared" ref="Z48:Z69" si="36">IF(T48=0,0,X48/T48)</f>
        <v>-0.9415</v>
      </c>
    </row>
    <row r="49" spans="1:26" s="24" customFormat="1" hidden="1" outlineLevel="2" x14ac:dyDescent="0.35">
      <c r="A49" s="29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9"/>
        <v>0</v>
      </c>
      <c r="G49" s="2"/>
      <c r="H49" s="7">
        <v>500</v>
      </c>
      <c r="I49" s="2"/>
      <c r="J49" s="6">
        <f t="shared" si="30"/>
        <v>4.5238224490165213E-3</v>
      </c>
      <c r="K49" s="2"/>
      <c r="L49" s="7">
        <f t="shared" si="31"/>
        <v>-500</v>
      </c>
      <c r="M49" s="2"/>
      <c r="N49" s="6">
        <f t="shared" si="32"/>
        <v>-1</v>
      </c>
      <c r="O49" s="11"/>
      <c r="P49" s="7">
        <v>204.75</v>
      </c>
      <c r="Q49" s="2"/>
      <c r="R49" s="6">
        <f t="shared" si="33"/>
        <v>8.660464124741139E-3</v>
      </c>
      <c r="S49" s="2"/>
      <c r="T49" s="7">
        <v>3500</v>
      </c>
      <c r="U49" s="2"/>
      <c r="V49" s="6">
        <f t="shared" si="34"/>
        <v>3.9858876799628287E-3</v>
      </c>
      <c r="W49" s="2"/>
      <c r="X49" s="7">
        <f t="shared" si="35"/>
        <v>-3295.25</v>
      </c>
      <c r="Y49" s="2"/>
      <c r="Z49" s="6">
        <f t="shared" si="36"/>
        <v>-0.9415</v>
      </c>
    </row>
    <row r="50" spans="1:26" s="28" customFormat="1" outlineLevel="1" collapsed="1" x14ac:dyDescent="0.3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9"/>
        <v>0</v>
      </c>
      <c r="G50" s="1"/>
      <c r="H50" s="1">
        <f>SUM(OSRRefH22_3x_0)</f>
        <v>15</v>
      </c>
      <c r="I50" s="1"/>
      <c r="J50" s="5">
        <f t="shared" si="30"/>
        <v>1.3571467347049562E-4</v>
      </c>
      <c r="K50" s="1"/>
      <c r="L50" s="1">
        <f t="shared" si="31"/>
        <v>-15</v>
      </c>
      <c r="M50" s="1"/>
      <c r="N50" s="5">
        <f t="shared" si="32"/>
        <v>-1</v>
      </c>
      <c r="O50" s="14"/>
      <c r="P50" s="1">
        <f>SUM(OSRRefP22_3x_0)</f>
        <v>0</v>
      </c>
      <c r="Q50" s="1"/>
      <c r="R50" s="5">
        <f t="shared" si="33"/>
        <v>0</v>
      </c>
      <c r="S50" s="1"/>
      <c r="T50" s="1">
        <f>SUM(OSRRefT22_3x_0)</f>
        <v>105</v>
      </c>
      <c r="U50" s="1"/>
      <c r="V50" s="5">
        <f t="shared" si="34"/>
        <v>1.1957663039888486E-4</v>
      </c>
      <c r="W50" s="1"/>
      <c r="X50" s="1">
        <f t="shared" si="35"/>
        <v>-105</v>
      </c>
      <c r="Y50" s="1"/>
      <c r="Z50" s="5">
        <f t="shared" si="36"/>
        <v>-1</v>
      </c>
    </row>
    <row r="51" spans="1:26" s="24" customFormat="1" hidden="1" outlineLevel="2" x14ac:dyDescent="0.35">
      <c r="A51" s="29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9"/>
        <v>0</v>
      </c>
      <c r="G51" s="2"/>
      <c r="H51" s="7">
        <v>15</v>
      </c>
      <c r="I51" s="2"/>
      <c r="J51" s="6">
        <f t="shared" si="30"/>
        <v>1.3571467347049562E-4</v>
      </c>
      <c r="K51" s="2"/>
      <c r="L51" s="7">
        <f t="shared" si="31"/>
        <v>-15</v>
      </c>
      <c r="M51" s="2"/>
      <c r="N51" s="6">
        <f t="shared" si="32"/>
        <v>-1</v>
      </c>
      <c r="O51" s="11"/>
      <c r="P51" s="7"/>
      <c r="Q51" s="2"/>
      <c r="R51" s="6">
        <f t="shared" si="33"/>
        <v>0</v>
      </c>
      <c r="S51" s="2"/>
      <c r="T51" s="7">
        <v>105</v>
      </c>
      <c r="U51" s="2"/>
      <c r="V51" s="6">
        <f t="shared" si="34"/>
        <v>1.1957663039888486E-4</v>
      </c>
      <c r="W51" s="2"/>
      <c r="X51" s="7">
        <f t="shared" si="35"/>
        <v>-105</v>
      </c>
      <c r="Y51" s="2"/>
      <c r="Z51" s="6">
        <f t="shared" si="36"/>
        <v>-1</v>
      </c>
    </row>
    <row r="52" spans="1:26" s="28" customFormat="1" outlineLevel="1" collapsed="1" x14ac:dyDescent="0.3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0</v>
      </c>
      <c r="E52" s="1"/>
      <c r="F52" s="5">
        <f t="shared" si="29"/>
        <v>0</v>
      </c>
      <c r="G52" s="1"/>
      <c r="H52" s="1">
        <f>SUM(OSRRefH22_4x_0)</f>
        <v>250</v>
      </c>
      <c r="I52" s="1"/>
      <c r="J52" s="5">
        <f t="shared" si="30"/>
        <v>2.2619112245082606E-3</v>
      </c>
      <c r="K52" s="1"/>
      <c r="L52" s="1">
        <f t="shared" si="31"/>
        <v>-250</v>
      </c>
      <c r="M52" s="1"/>
      <c r="N52" s="5">
        <f t="shared" si="32"/>
        <v>-1</v>
      </c>
      <c r="O52" s="14"/>
      <c r="P52" s="1">
        <f>SUM(OSRRefP22_4x_0)</f>
        <v>0</v>
      </c>
      <c r="Q52" s="1"/>
      <c r="R52" s="5">
        <f t="shared" si="33"/>
        <v>0</v>
      </c>
      <c r="S52" s="1"/>
      <c r="T52" s="1">
        <f>SUM(OSRRefT22_4x_0)</f>
        <v>1750</v>
      </c>
      <c r="U52" s="1"/>
      <c r="V52" s="5">
        <f t="shared" si="34"/>
        <v>1.9929438399814143E-3</v>
      </c>
      <c r="W52" s="1"/>
      <c r="X52" s="1">
        <f t="shared" si="35"/>
        <v>-1750</v>
      </c>
      <c r="Y52" s="1"/>
      <c r="Z52" s="5">
        <f t="shared" si="36"/>
        <v>-1</v>
      </c>
    </row>
    <row r="53" spans="1:26" s="24" customFormat="1" hidden="1" outlineLevel="2" x14ac:dyDescent="0.35">
      <c r="A53" s="29"/>
      <c r="B53" s="11" t="str">
        <f>CONCATENATE("          ", "6381", " - ", "BANK/CREDIT CARD FEES")</f>
        <v xml:space="preserve">          6381 - BANK/CREDIT CARD FEES</v>
      </c>
      <c r="C53" s="11"/>
      <c r="D53" s="7"/>
      <c r="E53" s="2"/>
      <c r="F53" s="6">
        <f t="shared" si="29"/>
        <v>0</v>
      </c>
      <c r="G53" s="2"/>
      <c r="H53" s="7">
        <v>250</v>
      </c>
      <c r="I53" s="2"/>
      <c r="J53" s="6">
        <f t="shared" si="30"/>
        <v>2.2619112245082606E-3</v>
      </c>
      <c r="K53" s="2"/>
      <c r="L53" s="7">
        <f t="shared" si="31"/>
        <v>-250</v>
      </c>
      <c r="M53" s="2"/>
      <c r="N53" s="6">
        <f t="shared" si="32"/>
        <v>-1</v>
      </c>
      <c r="O53" s="11"/>
      <c r="P53" s="7"/>
      <c r="Q53" s="2"/>
      <c r="R53" s="6">
        <f t="shared" si="33"/>
        <v>0</v>
      </c>
      <c r="S53" s="2"/>
      <c r="T53" s="7">
        <v>1750</v>
      </c>
      <c r="U53" s="2"/>
      <c r="V53" s="6">
        <f t="shared" si="34"/>
        <v>1.9929438399814143E-3</v>
      </c>
      <c r="W53" s="2"/>
      <c r="X53" s="7">
        <f t="shared" si="35"/>
        <v>-1750</v>
      </c>
      <c r="Y53" s="2"/>
      <c r="Z53" s="6">
        <f t="shared" si="36"/>
        <v>-1</v>
      </c>
    </row>
    <row r="54" spans="1:26" s="28" customFormat="1" outlineLevel="1" collapsed="1" x14ac:dyDescent="0.3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272.74</v>
      </c>
      <c r="E54" s="1"/>
      <c r="F54" s="5">
        <f t="shared" si="29"/>
        <v>-1.7024968789013735</v>
      </c>
      <c r="G54" s="1"/>
      <c r="H54" s="1">
        <f>SUM(OSRRefH22_5x_0)</f>
        <v>0</v>
      </c>
      <c r="I54" s="1"/>
      <c r="J54" s="5">
        <f t="shared" si="30"/>
        <v>0</v>
      </c>
      <c r="K54" s="1"/>
      <c r="L54" s="1">
        <f t="shared" si="31"/>
        <v>272.74</v>
      </c>
      <c r="M54" s="1"/>
      <c r="N54" s="5">
        <f t="shared" si="32"/>
        <v>0</v>
      </c>
      <c r="O54" s="14"/>
      <c r="P54" s="1">
        <f>SUM(OSRRefP22_5x_0)</f>
        <v>1644.96</v>
      </c>
      <c r="Q54" s="1"/>
      <c r="R54" s="5">
        <f t="shared" si="33"/>
        <v>6.957810533154668E-2</v>
      </c>
      <c r="S54" s="1"/>
      <c r="T54" s="1">
        <f>SUM(OSRRefT22_5x_0)</f>
        <v>0</v>
      </c>
      <c r="U54" s="1"/>
      <c r="V54" s="5">
        <f t="shared" si="34"/>
        <v>0</v>
      </c>
      <c r="W54" s="1"/>
      <c r="X54" s="1">
        <f t="shared" si="35"/>
        <v>1644.96</v>
      </c>
      <c r="Y54" s="1"/>
      <c r="Z54" s="5">
        <f t="shared" si="36"/>
        <v>0</v>
      </c>
    </row>
    <row r="55" spans="1:26" s="24" customFormat="1" hidden="1" outlineLevel="2" x14ac:dyDescent="0.35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272.74</v>
      </c>
      <c r="E55" s="2"/>
      <c r="F55" s="6">
        <f t="shared" si="29"/>
        <v>-1.7024968789013735</v>
      </c>
      <c r="G55" s="2"/>
      <c r="H55" s="7"/>
      <c r="I55" s="2"/>
      <c r="J55" s="6">
        <f t="shared" si="30"/>
        <v>0</v>
      </c>
      <c r="K55" s="2"/>
      <c r="L55" s="7">
        <f t="shared" si="31"/>
        <v>272.74</v>
      </c>
      <c r="M55" s="2"/>
      <c r="N55" s="6">
        <f t="shared" si="32"/>
        <v>0</v>
      </c>
      <c r="O55" s="11"/>
      <c r="P55" s="7">
        <v>1644.96</v>
      </c>
      <c r="Q55" s="2"/>
      <c r="R55" s="6">
        <f t="shared" si="33"/>
        <v>6.957810533154668E-2</v>
      </c>
      <c r="S55" s="2"/>
      <c r="T55" s="7"/>
      <c r="U55" s="2"/>
      <c r="V55" s="6">
        <f t="shared" si="34"/>
        <v>0</v>
      </c>
      <c r="W55" s="2"/>
      <c r="X55" s="7">
        <f t="shared" si="35"/>
        <v>1644.96</v>
      </c>
      <c r="Y55" s="2"/>
      <c r="Z55" s="6">
        <f t="shared" si="36"/>
        <v>0</v>
      </c>
    </row>
    <row r="56" spans="1:26" s="28" customFormat="1" outlineLevel="1" collapsed="1" x14ac:dyDescent="0.35">
      <c r="A56" s="27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0</v>
      </c>
      <c r="E56" s="1"/>
      <c r="F56" s="5">
        <f t="shared" si="29"/>
        <v>0</v>
      </c>
      <c r="G56" s="1"/>
      <c r="H56" s="1">
        <f>SUM(OSRRefH22_6x_0)</f>
        <v>5000</v>
      </c>
      <c r="I56" s="1"/>
      <c r="J56" s="5">
        <f t="shared" si="30"/>
        <v>4.5238224490165208E-2</v>
      </c>
      <c r="K56" s="1"/>
      <c r="L56" s="1">
        <f t="shared" si="31"/>
        <v>-5000</v>
      </c>
      <c r="M56" s="1"/>
      <c r="N56" s="5">
        <f t="shared" si="32"/>
        <v>-1</v>
      </c>
      <c r="O56" s="14"/>
      <c r="P56" s="1">
        <f>SUM(OSRRefP22_6x_0)</f>
        <v>0</v>
      </c>
      <c r="Q56" s="1"/>
      <c r="R56" s="5">
        <f t="shared" si="33"/>
        <v>0</v>
      </c>
      <c r="S56" s="1"/>
      <c r="T56" s="1">
        <f>SUM(OSRRefT22_6x_0)</f>
        <v>42000</v>
      </c>
      <c r="U56" s="1"/>
      <c r="V56" s="5">
        <f t="shared" si="34"/>
        <v>4.7830652159553948E-2</v>
      </c>
      <c r="W56" s="1"/>
      <c r="X56" s="1">
        <f t="shared" si="35"/>
        <v>-42000</v>
      </c>
      <c r="Y56" s="1"/>
      <c r="Z56" s="5">
        <f t="shared" si="36"/>
        <v>-1</v>
      </c>
    </row>
    <row r="57" spans="1:26" s="24" customFormat="1" hidden="1" outlineLevel="2" x14ac:dyDescent="0.35">
      <c r="A57" s="29"/>
      <c r="B57" s="11" t="str">
        <f>CONCATENATE("          ", "6399", " - ", "DONATION-ON CAMPUS")</f>
        <v xml:space="preserve">          6399 - DONATION-ON CAMPUS</v>
      </c>
      <c r="C57" s="11"/>
      <c r="D57" s="7"/>
      <c r="E57" s="2"/>
      <c r="F57" s="6">
        <f t="shared" si="29"/>
        <v>0</v>
      </c>
      <c r="G57" s="2"/>
      <c r="H57" s="7">
        <v>5000</v>
      </c>
      <c r="I57" s="2"/>
      <c r="J57" s="6">
        <f t="shared" si="30"/>
        <v>4.5238224490165208E-2</v>
      </c>
      <c r="K57" s="2"/>
      <c r="L57" s="7">
        <f t="shared" si="31"/>
        <v>-5000</v>
      </c>
      <c r="M57" s="2"/>
      <c r="N57" s="6">
        <f t="shared" si="32"/>
        <v>-1</v>
      </c>
      <c r="O57" s="11"/>
      <c r="P57" s="7"/>
      <c r="Q57" s="2"/>
      <c r="R57" s="6">
        <f t="shared" si="33"/>
        <v>0</v>
      </c>
      <c r="S57" s="2"/>
      <c r="T57" s="7">
        <v>42000</v>
      </c>
      <c r="U57" s="2"/>
      <c r="V57" s="6">
        <f t="shared" si="34"/>
        <v>4.7830652159553948E-2</v>
      </c>
      <c r="W57" s="2"/>
      <c r="X57" s="7">
        <f t="shared" si="35"/>
        <v>-42000</v>
      </c>
      <c r="Y57" s="2"/>
      <c r="Z57" s="6">
        <f t="shared" si="36"/>
        <v>-1</v>
      </c>
    </row>
    <row r="58" spans="1:26" s="28" customFormat="1" outlineLevel="1" collapsed="1" x14ac:dyDescent="0.35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9"/>
        <v>0</v>
      </c>
      <c r="G58" s="1"/>
      <c r="H58" s="1">
        <f>SUM(OSRRefH22_7x_0)</f>
        <v>100</v>
      </c>
      <c r="I58" s="1"/>
      <c r="J58" s="5">
        <f t="shared" si="30"/>
        <v>9.0476448980330421E-4</v>
      </c>
      <c r="K58" s="1"/>
      <c r="L58" s="1">
        <f t="shared" si="31"/>
        <v>-100</v>
      </c>
      <c r="M58" s="1"/>
      <c r="N58" s="5">
        <f t="shared" si="32"/>
        <v>-1</v>
      </c>
      <c r="O58" s="14"/>
      <c r="P58" s="1">
        <f>SUM(OSRRefP22_7x_0)</f>
        <v>0</v>
      </c>
      <c r="Q58" s="1"/>
      <c r="R58" s="5">
        <f t="shared" si="33"/>
        <v>0</v>
      </c>
      <c r="S58" s="1"/>
      <c r="T58" s="1">
        <f>SUM(OSRRefT22_7x_0)</f>
        <v>700</v>
      </c>
      <c r="U58" s="1"/>
      <c r="V58" s="5">
        <f t="shared" si="34"/>
        <v>7.971775359925658E-4</v>
      </c>
      <c r="W58" s="1"/>
      <c r="X58" s="1">
        <f t="shared" si="35"/>
        <v>-700</v>
      </c>
      <c r="Y58" s="1"/>
      <c r="Z58" s="5">
        <f t="shared" si="36"/>
        <v>-1</v>
      </c>
    </row>
    <row r="59" spans="1:26" s="24" customFormat="1" hidden="1" outlineLevel="2" x14ac:dyDescent="0.35">
      <c r="A59" s="29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9"/>
        <v>0</v>
      </c>
      <c r="G59" s="2"/>
      <c r="H59" s="7">
        <v>100</v>
      </c>
      <c r="I59" s="2"/>
      <c r="J59" s="6">
        <f t="shared" si="30"/>
        <v>9.0476448980330421E-4</v>
      </c>
      <c r="K59" s="2"/>
      <c r="L59" s="7">
        <f t="shared" si="31"/>
        <v>-100</v>
      </c>
      <c r="M59" s="2"/>
      <c r="N59" s="6">
        <f t="shared" si="32"/>
        <v>-1</v>
      </c>
      <c r="O59" s="11"/>
      <c r="P59" s="7"/>
      <c r="Q59" s="2"/>
      <c r="R59" s="6">
        <f t="shared" si="33"/>
        <v>0</v>
      </c>
      <c r="S59" s="2"/>
      <c r="T59" s="7">
        <v>700</v>
      </c>
      <c r="U59" s="2"/>
      <c r="V59" s="6">
        <f t="shared" si="34"/>
        <v>7.971775359925658E-4</v>
      </c>
      <c r="W59" s="2"/>
      <c r="X59" s="7">
        <f t="shared" si="35"/>
        <v>-700</v>
      </c>
      <c r="Y59" s="2"/>
      <c r="Z59" s="6">
        <f t="shared" si="36"/>
        <v>-1</v>
      </c>
    </row>
    <row r="60" spans="1:26" s="28" customFormat="1" outlineLevel="1" collapsed="1" x14ac:dyDescent="0.35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107.89</v>
      </c>
      <c r="E60" s="1"/>
      <c r="F60" s="5">
        <f t="shared" si="29"/>
        <v>-0.67347066167290892</v>
      </c>
      <c r="G60" s="1"/>
      <c r="H60" s="1">
        <f>SUM(OSRRefH22_8x_0)</f>
        <v>400</v>
      </c>
      <c r="I60" s="1"/>
      <c r="J60" s="5">
        <f t="shared" si="30"/>
        <v>3.6190579592132168E-3</v>
      </c>
      <c r="K60" s="1"/>
      <c r="L60" s="1">
        <f t="shared" si="31"/>
        <v>-292.11</v>
      </c>
      <c r="M60" s="1"/>
      <c r="N60" s="5">
        <f t="shared" si="32"/>
        <v>-0.73027500000000001</v>
      </c>
      <c r="O60" s="14"/>
      <c r="P60" s="1">
        <f>SUM(OSRRefP22_8x_0)</f>
        <v>1494.56</v>
      </c>
      <c r="Q60" s="1"/>
      <c r="R60" s="5">
        <f t="shared" si="33"/>
        <v>6.321652386946576E-2</v>
      </c>
      <c r="S60" s="1"/>
      <c r="T60" s="1">
        <f>SUM(OSRRefT22_8x_0)</f>
        <v>2800</v>
      </c>
      <c r="U60" s="1"/>
      <c r="V60" s="5">
        <f t="shared" si="34"/>
        <v>3.1887101439702632E-3</v>
      </c>
      <c r="W60" s="1"/>
      <c r="X60" s="1">
        <f t="shared" si="35"/>
        <v>-1305.44</v>
      </c>
      <c r="Y60" s="1"/>
      <c r="Z60" s="5">
        <f t="shared" si="36"/>
        <v>-0.46622857142857144</v>
      </c>
    </row>
    <row r="61" spans="1:26" s="24" customFormat="1" hidden="1" outlineLevel="2" x14ac:dyDescent="0.35">
      <c r="A61" s="29"/>
      <c r="B61" s="11" t="str">
        <f>CONCATENATE("          ", "6351", " - ", "EQUIPMENT RENTAL")</f>
        <v xml:space="preserve">          6351 - EQUIPMENT RENTAL</v>
      </c>
      <c r="C61" s="11"/>
      <c r="D61" s="7">
        <v>107.89</v>
      </c>
      <c r="E61" s="2"/>
      <c r="F61" s="6">
        <f t="shared" si="29"/>
        <v>-0.67347066167290892</v>
      </c>
      <c r="G61" s="2"/>
      <c r="H61" s="7">
        <v>400</v>
      </c>
      <c r="I61" s="2"/>
      <c r="J61" s="6">
        <f t="shared" si="30"/>
        <v>3.6190579592132168E-3</v>
      </c>
      <c r="K61" s="2"/>
      <c r="L61" s="7">
        <f t="shared" si="31"/>
        <v>-292.11</v>
      </c>
      <c r="M61" s="2"/>
      <c r="N61" s="6">
        <f t="shared" si="32"/>
        <v>-0.73027500000000001</v>
      </c>
      <c r="O61" s="11"/>
      <c r="P61" s="7">
        <v>1494.56</v>
      </c>
      <c r="Q61" s="2"/>
      <c r="R61" s="6">
        <f t="shared" si="33"/>
        <v>6.321652386946576E-2</v>
      </c>
      <c r="S61" s="2"/>
      <c r="T61" s="7">
        <v>2800</v>
      </c>
      <c r="U61" s="2"/>
      <c r="V61" s="6">
        <f t="shared" si="34"/>
        <v>3.1887101439702632E-3</v>
      </c>
      <c r="W61" s="2"/>
      <c r="X61" s="7">
        <f t="shared" si="35"/>
        <v>-1305.44</v>
      </c>
      <c r="Y61" s="2"/>
      <c r="Z61" s="6">
        <f t="shared" si="36"/>
        <v>-0.46622857142857144</v>
      </c>
    </row>
    <row r="62" spans="1:26" s="28" customFormat="1" outlineLevel="1" collapsed="1" x14ac:dyDescent="0.35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0</v>
      </c>
      <c r="E62" s="1"/>
      <c r="F62" s="5">
        <f t="shared" si="29"/>
        <v>0</v>
      </c>
      <c r="G62" s="1"/>
      <c r="H62" s="1">
        <f>SUM(OSRRefH22_9x_0)</f>
        <v>150</v>
      </c>
      <c r="I62" s="1"/>
      <c r="J62" s="5">
        <f t="shared" si="30"/>
        <v>1.3571467347049562E-3</v>
      </c>
      <c r="K62" s="1"/>
      <c r="L62" s="1">
        <f t="shared" si="31"/>
        <v>-150</v>
      </c>
      <c r="M62" s="1"/>
      <c r="N62" s="5">
        <f t="shared" si="32"/>
        <v>-1</v>
      </c>
      <c r="O62" s="14"/>
      <c r="P62" s="1">
        <f>SUM(OSRRefP22_9x_0)</f>
        <v>3828.45</v>
      </c>
      <c r="Q62" s="1"/>
      <c r="R62" s="5">
        <f t="shared" si="33"/>
        <v>0.16193481747675317</v>
      </c>
      <c r="S62" s="1"/>
      <c r="T62" s="1">
        <f>SUM(OSRRefT22_9x_0)</f>
        <v>2400</v>
      </c>
      <c r="U62" s="1"/>
      <c r="V62" s="5">
        <f t="shared" si="34"/>
        <v>2.7331801234030824E-3</v>
      </c>
      <c r="W62" s="1"/>
      <c r="X62" s="1">
        <f t="shared" si="35"/>
        <v>1428.4499999999998</v>
      </c>
      <c r="Y62" s="1"/>
      <c r="Z62" s="5">
        <f t="shared" si="36"/>
        <v>0.59518749999999987</v>
      </c>
    </row>
    <row r="63" spans="1:26" s="24" customFormat="1" hidden="1" outlineLevel="2" x14ac:dyDescent="0.35">
      <c r="A63" s="29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29"/>
        <v>0</v>
      </c>
      <c r="G63" s="2"/>
      <c r="H63" s="7">
        <v>150</v>
      </c>
      <c r="I63" s="2"/>
      <c r="J63" s="6">
        <f t="shared" si="30"/>
        <v>1.3571467347049562E-3</v>
      </c>
      <c r="K63" s="2"/>
      <c r="L63" s="7">
        <f t="shared" si="31"/>
        <v>-150</v>
      </c>
      <c r="M63" s="2"/>
      <c r="N63" s="6">
        <f t="shared" si="32"/>
        <v>-1</v>
      </c>
      <c r="O63" s="11"/>
      <c r="P63" s="7">
        <v>3828.45</v>
      </c>
      <c r="Q63" s="2"/>
      <c r="R63" s="6">
        <f t="shared" si="33"/>
        <v>0.16193481747675317</v>
      </c>
      <c r="S63" s="2"/>
      <c r="T63" s="7">
        <v>2400</v>
      </c>
      <c r="U63" s="2"/>
      <c r="V63" s="6">
        <f t="shared" si="34"/>
        <v>2.7331801234030824E-3</v>
      </c>
      <c r="W63" s="2"/>
      <c r="X63" s="7">
        <f t="shared" si="35"/>
        <v>1428.4499999999998</v>
      </c>
      <c r="Y63" s="2"/>
      <c r="Z63" s="6">
        <f t="shared" si="36"/>
        <v>0.59518749999999987</v>
      </c>
    </row>
    <row r="64" spans="1:26" s="28" customFormat="1" outlineLevel="1" collapsed="1" x14ac:dyDescent="0.35">
      <c r="A64" s="27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-12.82</v>
      </c>
      <c r="E64" s="1"/>
      <c r="F64" s="5">
        <f t="shared" si="29"/>
        <v>8.0024968789013745E-2</v>
      </c>
      <c r="G64" s="1"/>
      <c r="H64" s="1">
        <f>SUM(OSRRefH22_10x_0)</f>
        <v>8842</v>
      </c>
      <c r="I64" s="1"/>
      <c r="J64" s="5">
        <f t="shared" si="30"/>
        <v>7.9999276188408158E-2</v>
      </c>
      <c r="K64" s="1"/>
      <c r="L64" s="1">
        <f t="shared" si="31"/>
        <v>-8854.82</v>
      </c>
      <c r="M64" s="1"/>
      <c r="N64" s="5">
        <f t="shared" si="32"/>
        <v>-1.001449898213074</v>
      </c>
      <c r="O64" s="14"/>
      <c r="P64" s="1">
        <f>SUM(OSRRefP22_10x_0)</f>
        <v>1899.35</v>
      </c>
      <c r="Q64" s="1"/>
      <c r="R64" s="5">
        <f t="shared" si="33"/>
        <v>8.0338229720767179E-2</v>
      </c>
      <c r="S64" s="1"/>
      <c r="T64" s="1">
        <f>SUM(OSRRefT22_10x_0)</f>
        <v>70249</v>
      </c>
      <c r="U64" s="1"/>
      <c r="V64" s="5">
        <f t="shared" si="34"/>
        <v>8.0001321037059647E-2</v>
      </c>
      <c r="W64" s="1"/>
      <c r="X64" s="1">
        <f t="shared" si="35"/>
        <v>-68349.649999999994</v>
      </c>
      <c r="Y64" s="1"/>
      <c r="Z64" s="5">
        <f t="shared" si="36"/>
        <v>-0.97296260444988536</v>
      </c>
    </row>
    <row r="65" spans="1:26" s="24" customFormat="1" hidden="1" outlineLevel="2" x14ac:dyDescent="0.35">
      <c r="A65" s="29"/>
      <c r="B65" s="11" t="str">
        <f>CONCATENATE("          ", "6387", " - ", "COMMISSION DUE HOUSING")</f>
        <v xml:space="preserve">          6387 - COMMISSION DUE HOUSING</v>
      </c>
      <c r="C65" s="11"/>
      <c r="D65" s="7">
        <v>-12.82</v>
      </c>
      <c r="E65" s="2"/>
      <c r="F65" s="6">
        <f t="shared" si="29"/>
        <v>8.0024968789013745E-2</v>
      </c>
      <c r="G65" s="2"/>
      <c r="H65" s="7">
        <v>8842</v>
      </c>
      <c r="I65" s="2"/>
      <c r="J65" s="6">
        <f t="shared" si="30"/>
        <v>7.9999276188408158E-2</v>
      </c>
      <c r="K65" s="2"/>
      <c r="L65" s="7">
        <f t="shared" si="31"/>
        <v>-8854.82</v>
      </c>
      <c r="M65" s="2"/>
      <c r="N65" s="6">
        <f t="shared" si="32"/>
        <v>-1.001449898213074</v>
      </c>
      <c r="O65" s="11"/>
      <c r="P65" s="7">
        <v>1899.35</v>
      </c>
      <c r="Q65" s="2"/>
      <c r="R65" s="6">
        <f t="shared" si="33"/>
        <v>8.0338229720767179E-2</v>
      </c>
      <c r="S65" s="2"/>
      <c r="T65" s="7">
        <v>70249</v>
      </c>
      <c r="U65" s="2"/>
      <c r="V65" s="6">
        <f t="shared" si="34"/>
        <v>8.0001321037059647E-2</v>
      </c>
      <c r="W65" s="2"/>
      <c r="X65" s="7">
        <f t="shared" si="35"/>
        <v>-68349.649999999994</v>
      </c>
      <c r="Y65" s="2"/>
      <c r="Z65" s="6">
        <f t="shared" si="36"/>
        <v>-0.97296260444988536</v>
      </c>
    </row>
    <row r="66" spans="1:26" s="28" customFormat="1" outlineLevel="1" collapsed="1" x14ac:dyDescent="0.35">
      <c r="A66" s="27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19</v>
      </c>
      <c r="E66" s="1"/>
      <c r="F66" s="5">
        <f t="shared" si="29"/>
        <v>-0.11860174781523097</v>
      </c>
      <c r="G66" s="1"/>
      <c r="H66" s="1">
        <f>SUM(OSRRefH22_11x_0)</f>
        <v>8200</v>
      </c>
      <c r="I66" s="1"/>
      <c r="J66" s="5">
        <f t="shared" si="30"/>
        <v>7.4190688163870949E-2</v>
      </c>
      <c r="K66" s="1"/>
      <c r="L66" s="1">
        <f t="shared" si="31"/>
        <v>-8181</v>
      </c>
      <c r="M66" s="1"/>
      <c r="N66" s="5">
        <f t="shared" si="32"/>
        <v>-0.99768292682926829</v>
      </c>
      <c r="O66" s="14"/>
      <c r="P66" s="1">
        <f>SUM(OSRRefP22_11x_0)</f>
        <v>1260.8499999999999</v>
      </c>
      <c r="Q66" s="1"/>
      <c r="R66" s="5">
        <f t="shared" si="33"/>
        <v>5.3331116931281383E-2</v>
      </c>
      <c r="S66" s="1"/>
      <c r="T66" s="1">
        <f>SUM(OSRRefT22_11x_0)</f>
        <v>13000</v>
      </c>
      <c r="U66" s="1"/>
      <c r="V66" s="5">
        <f t="shared" si="34"/>
        <v>1.4804725668433364E-2</v>
      </c>
      <c r="W66" s="1"/>
      <c r="X66" s="1">
        <f t="shared" si="35"/>
        <v>-11739.15</v>
      </c>
      <c r="Y66" s="1"/>
      <c r="Z66" s="5">
        <f t="shared" si="36"/>
        <v>-0.90301153846153848</v>
      </c>
    </row>
    <row r="67" spans="1:26" s="24" customFormat="1" hidden="1" outlineLevel="2" x14ac:dyDescent="0.35">
      <c r="A67" s="29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29"/>
        <v>0</v>
      </c>
      <c r="G67" s="2"/>
      <c r="H67" s="7">
        <v>8000</v>
      </c>
      <c r="I67" s="2"/>
      <c r="J67" s="6">
        <f t="shared" si="30"/>
        <v>7.238115918426434E-2</v>
      </c>
      <c r="K67" s="2"/>
      <c r="L67" s="7">
        <f t="shared" si="31"/>
        <v>-8000</v>
      </c>
      <c r="M67" s="2"/>
      <c r="N67" s="6">
        <f t="shared" si="32"/>
        <v>-1</v>
      </c>
      <c r="O67" s="11"/>
      <c r="P67" s="7"/>
      <c r="Q67" s="2"/>
      <c r="R67" s="6">
        <f t="shared" si="33"/>
        <v>0</v>
      </c>
      <c r="S67" s="2"/>
      <c r="T67" s="7">
        <v>8000</v>
      </c>
      <c r="U67" s="2"/>
      <c r="V67" s="6">
        <f t="shared" si="34"/>
        <v>9.1106004113436084E-3</v>
      </c>
      <c r="W67" s="2"/>
      <c r="X67" s="7">
        <f t="shared" si="35"/>
        <v>-8000</v>
      </c>
      <c r="Y67" s="2"/>
      <c r="Z67" s="6">
        <f t="shared" si="36"/>
        <v>-1</v>
      </c>
    </row>
    <row r="68" spans="1:26" s="24" customFormat="1" hidden="1" outlineLevel="2" x14ac:dyDescent="0.35">
      <c r="A68" s="29"/>
      <c r="B68" s="11" t="str">
        <f>CONCATENATE("          ", "6373", " - ", "MAINTENANCE CONTRACTS")</f>
        <v xml:space="preserve">          6373 - MAINTENANCE CONTRACTS</v>
      </c>
      <c r="C68" s="11"/>
      <c r="D68" s="7"/>
      <c r="E68" s="2"/>
      <c r="F68" s="6">
        <f t="shared" si="29"/>
        <v>0</v>
      </c>
      <c r="G68" s="2"/>
      <c r="H68" s="7"/>
      <c r="I68" s="2"/>
      <c r="J68" s="6">
        <f t="shared" si="30"/>
        <v>0</v>
      </c>
      <c r="K68" s="2"/>
      <c r="L68" s="7">
        <f t="shared" si="31"/>
        <v>0</v>
      </c>
      <c r="M68" s="2"/>
      <c r="N68" s="6">
        <f t="shared" si="32"/>
        <v>0</v>
      </c>
      <c r="O68" s="11"/>
      <c r="P68" s="7">
        <v>1241.8499999999999</v>
      </c>
      <c r="Q68" s="2"/>
      <c r="R68" s="6">
        <f t="shared" si="33"/>
        <v>5.2527459698704676E-2</v>
      </c>
      <c r="S68" s="2"/>
      <c r="T68" s="7">
        <v>3600</v>
      </c>
      <c r="U68" s="2"/>
      <c r="V68" s="6">
        <f t="shared" si="34"/>
        <v>4.0997701851046234E-3</v>
      </c>
      <c r="W68" s="2"/>
      <c r="X68" s="7">
        <f t="shared" si="35"/>
        <v>-2358.15</v>
      </c>
      <c r="Y68" s="2"/>
      <c r="Z68" s="6">
        <f t="shared" si="36"/>
        <v>-0.65504166666666674</v>
      </c>
    </row>
    <row r="69" spans="1:26" s="24" customFormat="1" hidden="1" outlineLevel="2" x14ac:dyDescent="0.35">
      <c r="A69" s="29"/>
      <c r="B69" s="11" t="str">
        <f>CONCATENATE("          ", "6375", " - ", "OUTSIDE REPAIRS &amp; MAINTENANCE")</f>
        <v xml:space="preserve">          6375 - OUTSIDE REPAIRS &amp; MAINTENANCE</v>
      </c>
      <c r="C69" s="11"/>
      <c r="D69" s="7">
        <v>19</v>
      </c>
      <c r="E69" s="2"/>
      <c r="F69" s="6">
        <f t="shared" si="29"/>
        <v>-0.11860174781523097</v>
      </c>
      <c r="G69" s="2"/>
      <c r="H69" s="7">
        <v>200</v>
      </c>
      <c r="I69" s="2"/>
      <c r="J69" s="6">
        <f t="shared" si="30"/>
        <v>1.8095289796066084E-3</v>
      </c>
      <c r="K69" s="2"/>
      <c r="L69" s="7">
        <f t="shared" si="31"/>
        <v>-181</v>
      </c>
      <c r="M69" s="2"/>
      <c r="N69" s="6">
        <f t="shared" si="32"/>
        <v>-0.90500000000000003</v>
      </c>
      <c r="O69" s="11"/>
      <c r="P69" s="7">
        <v>19</v>
      </c>
      <c r="Q69" s="2"/>
      <c r="R69" s="6">
        <f t="shared" si="33"/>
        <v>8.036572325767113E-4</v>
      </c>
      <c r="S69" s="2"/>
      <c r="T69" s="7">
        <v>1400</v>
      </c>
      <c r="U69" s="2"/>
      <c r="V69" s="6">
        <f t="shared" si="34"/>
        <v>1.5943550719851316E-3</v>
      </c>
      <c r="W69" s="2"/>
      <c r="X69" s="7">
        <f t="shared" si="35"/>
        <v>-1381</v>
      </c>
      <c r="Y69" s="2"/>
      <c r="Z69" s="6">
        <f t="shared" si="36"/>
        <v>-0.98642857142857143</v>
      </c>
    </row>
    <row r="70" spans="1:26" s="28" customFormat="1" outlineLevel="1" collapsed="1" x14ac:dyDescent="0.35">
      <c r="A70" s="27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SUM(OSRRefD22_12x_0)</f>
        <v>5900.0599999999995</v>
      </c>
      <c r="E70" s="1"/>
      <c r="F70" s="5">
        <f t="shared" ref="F70:F74" si="37">IF(D$12=0,0,D70/D$12)</f>
        <v>-36.829338327091136</v>
      </c>
      <c r="G70" s="1"/>
      <c r="H70" s="1">
        <f>SUM(OSRRefH22_12x_0)</f>
        <v>6879</v>
      </c>
      <c r="I70" s="1"/>
      <c r="J70" s="5">
        <f t="shared" ref="J70:J74" si="38">IF(H$12=0,0,H70/H$12)</f>
        <v>6.2238749253569293E-2</v>
      </c>
      <c r="K70" s="1"/>
      <c r="L70" s="1">
        <f t="shared" ref="L70:L74" si="39">+D70-H70</f>
        <v>-978.94000000000051</v>
      </c>
      <c r="M70" s="1"/>
      <c r="N70" s="5">
        <f t="shared" ref="N70:N74" si="40">IF(H70=0,0,L70/H70)</f>
        <v>-0.14230847506905081</v>
      </c>
      <c r="O70" s="14"/>
      <c r="P70" s="1">
        <f>SUM(OSRRefP22_12x_0)</f>
        <v>41407.64</v>
      </c>
      <c r="Q70" s="1"/>
      <c r="R70" s="5">
        <f t="shared" ref="R70:R74" si="41">IF(P$12=0,0,P70/P$12)</f>
        <v>1.7514499668385648</v>
      </c>
      <c r="S70" s="1"/>
      <c r="T70" s="1">
        <f>SUM(OSRRefT22_12x_0)</f>
        <v>46521</v>
      </c>
      <c r="U70" s="1"/>
      <c r="V70" s="5">
        <f t="shared" ref="V70:V74" si="42">IF(T$12=0,0,T70/T$12)</f>
        <v>5.29792802170145E-2</v>
      </c>
      <c r="W70" s="1"/>
      <c r="X70" s="1">
        <f t="shared" ref="X70:X74" si="43">+P70-T70</f>
        <v>-5113.3600000000006</v>
      </c>
      <c r="Y70" s="1"/>
      <c r="Z70" s="5">
        <f t="shared" ref="Z70:Z74" si="44">IF(T70=0,0,X70/T70)</f>
        <v>-0.10991509210894006</v>
      </c>
    </row>
    <row r="71" spans="1:26" s="24" customFormat="1" hidden="1" outlineLevel="2" x14ac:dyDescent="0.35">
      <c r="A71" s="29"/>
      <c r="B71" s="11" t="str">
        <f>CONCATENATE("          ", "6282", " - ", "JANITORIAL/EXTERMINATOR EXPENS")</f>
        <v xml:space="preserve">          6282 - JANITORIAL/EXTERMINATOR EXPENS</v>
      </c>
      <c r="C71" s="11"/>
      <c r="D71" s="7">
        <v>1251.96</v>
      </c>
      <c r="E71" s="2"/>
      <c r="F71" s="6">
        <f t="shared" si="37"/>
        <v>-7.8149812734082404</v>
      </c>
      <c r="G71" s="2"/>
      <c r="H71" s="7">
        <v>450</v>
      </c>
      <c r="I71" s="2"/>
      <c r="J71" s="6">
        <f t="shared" si="38"/>
        <v>4.0714402041148691E-3</v>
      </c>
      <c r="K71" s="2"/>
      <c r="L71" s="7">
        <f t="shared" si="39"/>
        <v>801.96</v>
      </c>
      <c r="M71" s="2"/>
      <c r="N71" s="6">
        <f t="shared" si="40"/>
        <v>1.7821333333333333</v>
      </c>
      <c r="O71" s="11"/>
      <c r="P71" s="7">
        <v>3009.62</v>
      </c>
      <c r="Q71" s="2"/>
      <c r="R71" s="6">
        <f t="shared" si="41"/>
        <v>0.12730015159513272</v>
      </c>
      <c r="S71" s="2"/>
      <c r="T71" s="7">
        <v>3150</v>
      </c>
      <c r="U71" s="2"/>
      <c r="V71" s="6">
        <f t="shared" si="42"/>
        <v>3.5872989119665457E-3</v>
      </c>
      <c r="W71" s="2"/>
      <c r="X71" s="7">
        <f t="shared" si="43"/>
        <v>-140.38000000000011</v>
      </c>
      <c r="Y71" s="2"/>
      <c r="Z71" s="6">
        <f t="shared" si="44"/>
        <v>-4.4565079365079398E-2</v>
      </c>
    </row>
    <row r="72" spans="1:26" s="24" customFormat="1" hidden="1" outlineLevel="2" x14ac:dyDescent="0.35">
      <c r="A72" s="29"/>
      <c r="B72" s="11" t="str">
        <f>CONCATENATE("          ", "6284", " - ", "TRASH REMOVAL EXPENSE")</f>
        <v xml:space="preserve">          6284 - TRASH REMOVAL EXPENSE</v>
      </c>
      <c r="C72" s="11"/>
      <c r="D72" s="7"/>
      <c r="E72" s="2"/>
      <c r="F72" s="6">
        <f t="shared" si="37"/>
        <v>0</v>
      </c>
      <c r="G72" s="2"/>
      <c r="H72" s="7">
        <v>500</v>
      </c>
      <c r="I72" s="2"/>
      <c r="J72" s="6">
        <f t="shared" si="38"/>
        <v>4.5238224490165213E-3</v>
      </c>
      <c r="K72" s="2"/>
      <c r="L72" s="7">
        <f t="shared" si="39"/>
        <v>-500</v>
      </c>
      <c r="M72" s="2"/>
      <c r="N72" s="6">
        <f t="shared" si="40"/>
        <v>-1</v>
      </c>
      <c r="O72" s="11"/>
      <c r="P72" s="7"/>
      <c r="Q72" s="2"/>
      <c r="R72" s="6">
        <f t="shared" si="41"/>
        <v>0</v>
      </c>
      <c r="S72" s="2"/>
      <c r="T72" s="7">
        <v>3500</v>
      </c>
      <c r="U72" s="2"/>
      <c r="V72" s="6">
        <f t="shared" si="42"/>
        <v>3.9858876799628287E-3</v>
      </c>
      <c r="W72" s="2"/>
      <c r="X72" s="7">
        <f t="shared" si="43"/>
        <v>-3500</v>
      </c>
      <c r="Y72" s="2"/>
      <c r="Z72" s="6">
        <f t="shared" si="44"/>
        <v>-1</v>
      </c>
    </row>
    <row r="73" spans="1:26" s="24" customFormat="1" hidden="1" outlineLevel="2" x14ac:dyDescent="0.35">
      <c r="A73" s="29"/>
      <c r="B73" s="11" t="str">
        <f>CONCATENATE("          ", "6285", " - ", "JANITORIAL SERVICES")</f>
        <v xml:space="preserve">          6285 - JANITORIAL SERVICES</v>
      </c>
      <c r="C73" s="11"/>
      <c r="D73" s="7">
        <v>4428.8599999999997</v>
      </c>
      <c r="E73" s="2"/>
      <c r="F73" s="6">
        <f t="shared" si="37"/>
        <v>-27.6458177278402</v>
      </c>
      <c r="G73" s="2"/>
      <c r="H73" s="7">
        <v>4429</v>
      </c>
      <c r="I73" s="2"/>
      <c r="J73" s="6">
        <f t="shared" si="38"/>
        <v>4.0072019253388345E-2</v>
      </c>
      <c r="K73" s="2"/>
      <c r="L73" s="7">
        <f t="shared" si="39"/>
        <v>-0.14000000000032742</v>
      </c>
      <c r="M73" s="2"/>
      <c r="N73" s="6">
        <f t="shared" si="40"/>
        <v>-3.16098442086989E-5</v>
      </c>
      <c r="O73" s="11"/>
      <c r="P73" s="7">
        <v>33528.21</v>
      </c>
      <c r="Q73" s="2"/>
      <c r="R73" s="6">
        <f t="shared" si="41"/>
        <v>1.4181678137816218</v>
      </c>
      <c r="S73" s="2"/>
      <c r="T73" s="7">
        <v>29371</v>
      </c>
      <c r="U73" s="2"/>
      <c r="V73" s="6">
        <f t="shared" si="42"/>
        <v>3.3448430585196642E-2</v>
      </c>
      <c r="W73" s="2"/>
      <c r="X73" s="7">
        <f t="shared" si="43"/>
        <v>4157.2099999999991</v>
      </c>
      <c r="Y73" s="2"/>
      <c r="Z73" s="6">
        <f t="shared" si="44"/>
        <v>0.14154131626434235</v>
      </c>
    </row>
    <row r="74" spans="1:26" s="24" customFormat="1" hidden="1" outlineLevel="2" x14ac:dyDescent="0.35">
      <c r="A74" s="29"/>
      <c r="B74" s="11" t="str">
        <f>CONCATENATE("          ", "6286", " - ", "LAUNDRY EXPENSE")</f>
        <v xml:space="preserve">          6286 - LAUNDRY EXPENSE</v>
      </c>
      <c r="C74" s="11"/>
      <c r="D74" s="7">
        <v>219.24</v>
      </c>
      <c r="E74" s="2"/>
      <c r="F74" s="6">
        <f t="shared" si="37"/>
        <v>-1.3685393258426968</v>
      </c>
      <c r="G74" s="2"/>
      <c r="H74" s="7">
        <v>1500</v>
      </c>
      <c r="I74" s="2"/>
      <c r="J74" s="6">
        <f t="shared" si="38"/>
        <v>1.3571467347049563E-2</v>
      </c>
      <c r="K74" s="2"/>
      <c r="L74" s="7">
        <f t="shared" si="39"/>
        <v>-1280.76</v>
      </c>
      <c r="M74" s="2"/>
      <c r="N74" s="6">
        <f t="shared" si="40"/>
        <v>-0.85384000000000004</v>
      </c>
      <c r="O74" s="11"/>
      <c r="P74" s="7">
        <v>4869.8100000000004</v>
      </c>
      <c r="Q74" s="2"/>
      <c r="R74" s="6">
        <f t="shared" si="41"/>
        <v>0.20598200146181023</v>
      </c>
      <c r="S74" s="2"/>
      <c r="T74" s="7">
        <v>10500</v>
      </c>
      <c r="U74" s="2"/>
      <c r="V74" s="6">
        <f t="shared" si="42"/>
        <v>1.1957663039888487E-2</v>
      </c>
      <c r="W74" s="2"/>
      <c r="X74" s="7">
        <f t="shared" si="43"/>
        <v>-5630.19</v>
      </c>
      <c r="Y74" s="2"/>
      <c r="Z74" s="6">
        <f t="shared" si="44"/>
        <v>-0.53620857142857137</v>
      </c>
    </row>
    <row r="75" spans="1:26" s="28" customFormat="1" outlineLevel="1" collapsed="1" x14ac:dyDescent="0.35">
      <c r="A75" s="27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SUM(OSRRefD22_13x_0)</f>
        <v>803.65</v>
      </c>
      <c r="E75" s="1"/>
      <c r="F75" s="5">
        <f t="shared" ref="F75:F83" si="45">IF(D$12=0,0,D75/D$12)</f>
        <v>-5.0165418227215985</v>
      </c>
      <c r="G75" s="1"/>
      <c r="H75" s="1">
        <f>SUM(OSRRefH22_13x_0)</f>
        <v>13250</v>
      </c>
      <c r="I75" s="1"/>
      <c r="J75" s="5">
        <f t="shared" ref="J75:J83" si="46">IF(H$12=0,0,H75/H$12)</f>
        <v>0.11988129489893781</v>
      </c>
      <c r="K75" s="1"/>
      <c r="L75" s="1">
        <f t="shared" ref="L75:L83" si="47">+D75-H75</f>
        <v>-12446.35</v>
      </c>
      <c r="M75" s="1"/>
      <c r="N75" s="5">
        <f t="shared" ref="N75:N83" si="48">IF(H75=0,0,L75/H75)</f>
        <v>-0.93934716981132083</v>
      </c>
      <c r="O75" s="14"/>
      <c r="P75" s="1">
        <f>SUM(OSRRefP22_13x_0)</f>
        <v>10125.33</v>
      </c>
      <c r="Q75" s="1"/>
      <c r="R75" s="5">
        <f t="shared" ref="R75:R83" si="49">IF(P$12=0,0,P75/P$12)</f>
        <v>0.42827866772241852</v>
      </c>
      <c r="S75" s="1"/>
      <c r="T75" s="1">
        <f>SUM(OSRRefT22_13x_0)</f>
        <v>88250</v>
      </c>
      <c r="U75" s="1"/>
      <c r="V75" s="5">
        <f t="shared" ref="V75:V83" si="50">IF(T$12=0,0,T75/T$12)</f>
        <v>0.10050131078763418</v>
      </c>
      <c r="W75" s="1"/>
      <c r="X75" s="1">
        <f t="shared" ref="X75:X83" si="51">+P75-T75</f>
        <v>-78124.67</v>
      </c>
      <c r="Y75" s="1"/>
      <c r="Z75" s="5">
        <f t="shared" ref="Z75:Z83" si="52">IF(T75=0,0,X75/T75)</f>
        <v>-0.88526538243626063</v>
      </c>
    </row>
    <row r="76" spans="1:26" s="24" customFormat="1" hidden="1" outlineLevel="2" x14ac:dyDescent="0.35">
      <c r="A76" s="29"/>
      <c r="B76" s="11" t="str">
        <f>CONCATENATE("          ", "6235", " - ", "COVID-19 EXPENSES")</f>
        <v xml:space="preserve">          6235 - COVID-19 EXPENSES</v>
      </c>
      <c r="C76" s="11"/>
      <c r="D76" s="7"/>
      <c r="E76" s="2"/>
      <c r="F76" s="6">
        <f t="shared" si="45"/>
        <v>0</v>
      </c>
      <c r="G76" s="2"/>
      <c r="H76" s="7">
        <v>5000</v>
      </c>
      <c r="I76" s="2"/>
      <c r="J76" s="6">
        <f t="shared" si="46"/>
        <v>4.5238224490165208E-2</v>
      </c>
      <c r="K76" s="2"/>
      <c r="L76" s="7">
        <f t="shared" si="47"/>
        <v>-5000</v>
      </c>
      <c r="M76" s="2"/>
      <c r="N76" s="6">
        <f t="shared" si="48"/>
        <v>-1</v>
      </c>
      <c r="O76" s="11"/>
      <c r="P76" s="7">
        <v>1375.08</v>
      </c>
      <c r="Q76" s="2"/>
      <c r="R76" s="6">
        <f t="shared" si="49"/>
        <v>5.8162788809030738E-2</v>
      </c>
      <c r="S76" s="2"/>
      <c r="T76" s="7">
        <v>35000</v>
      </c>
      <c r="U76" s="2"/>
      <c r="V76" s="6">
        <f t="shared" si="50"/>
        <v>3.9858876799628289E-2</v>
      </c>
      <c r="W76" s="2"/>
      <c r="X76" s="7">
        <f t="shared" si="51"/>
        <v>-33624.92</v>
      </c>
      <c r="Y76" s="2"/>
      <c r="Z76" s="6">
        <f t="shared" si="52"/>
        <v>-0.9607119999999999</v>
      </c>
    </row>
    <row r="77" spans="1:26" s="24" customFormat="1" hidden="1" outlineLevel="2" x14ac:dyDescent="0.35">
      <c r="A77" s="29"/>
      <c r="B77" s="11" t="str">
        <f>CONCATENATE("          ", "6237", " - ", "JANITORIAL SUPPLIES")</f>
        <v xml:space="preserve">          6237 - JANITORIAL SUPPLIES</v>
      </c>
      <c r="C77" s="11"/>
      <c r="D77" s="7">
        <v>803.65</v>
      </c>
      <c r="E77" s="2"/>
      <c r="F77" s="6">
        <f t="shared" si="45"/>
        <v>-5.0165418227215985</v>
      </c>
      <c r="G77" s="2"/>
      <c r="H77" s="7">
        <v>4000</v>
      </c>
      <c r="I77" s="2"/>
      <c r="J77" s="6">
        <f t="shared" si="46"/>
        <v>3.619057959213217E-2</v>
      </c>
      <c r="K77" s="2"/>
      <c r="L77" s="7">
        <f t="shared" si="47"/>
        <v>-3196.35</v>
      </c>
      <c r="M77" s="2"/>
      <c r="N77" s="6">
        <f t="shared" si="48"/>
        <v>-0.79908749999999995</v>
      </c>
      <c r="O77" s="11"/>
      <c r="P77" s="7">
        <v>4689.93</v>
      </c>
      <c r="Q77" s="2"/>
      <c r="R77" s="6">
        <f t="shared" si="49"/>
        <v>0.19837348235676294</v>
      </c>
      <c r="S77" s="2"/>
      <c r="T77" s="7">
        <v>28000</v>
      </c>
      <c r="U77" s="2"/>
      <c r="V77" s="6">
        <f t="shared" si="50"/>
        <v>3.188710143970263E-2</v>
      </c>
      <c r="W77" s="2"/>
      <c r="X77" s="7">
        <f t="shared" si="51"/>
        <v>-23310.07</v>
      </c>
      <c r="Y77" s="2"/>
      <c r="Z77" s="6">
        <f t="shared" si="52"/>
        <v>-0.83250250000000003</v>
      </c>
    </row>
    <row r="78" spans="1:26" s="24" customFormat="1" hidden="1" outlineLevel="2" x14ac:dyDescent="0.35">
      <c r="A78" s="29"/>
      <c r="B78" s="11" t="str">
        <f>CONCATENATE("          ", "6239", " - ", "KITCHEN SUPPLIES")</f>
        <v xml:space="preserve">          6239 - KITCHEN SUPPLIES</v>
      </c>
      <c r="C78" s="11"/>
      <c r="D78" s="7"/>
      <c r="E78" s="2"/>
      <c r="F78" s="6">
        <f t="shared" si="45"/>
        <v>0</v>
      </c>
      <c r="G78" s="2"/>
      <c r="H78" s="7">
        <v>1500</v>
      </c>
      <c r="I78" s="2"/>
      <c r="J78" s="6">
        <f t="shared" si="46"/>
        <v>1.3571467347049563E-2</v>
      </c>
      <c r="K78" s="2"/>
      <c r="L78" s="7">
        <f t="shared" si="47"/>
        <v>-1500</v>
      </c>
      <c r="M78" s="2"/>
      <c r="N78" s="6">
        <f t="shared" si="48"/>
        <v>-1</v>
      </c>
      <c r="O78" s="11"/>
      <c r="P78" s="7">
        <v>1031.07</v>
      </c>
      <c r="Q78" s="2"/>
      <c r="R78" s="6">
        <f t="shared" si="49"/>
        <v>4.3611940146993135E-2</v>
      </c>
      <c r="S78" s="2"/>
      <c r="T78" s="7">
        <v>10500</v>
      </c>
      <c r="U78" s="2"/>
      <c r="V78" s="6">
        <f t="shared" si="50"/>
        <v>1.1957663039888487E-2</v>
      </c>
      <c r="W78" s="2"/>
      <c r="X78" s="7">
        <f t="shared" si="51"/>
        <v>-9468.93</v>
      </c>
      <c r="Y78" s="2"/>
      <c r="Z78" s="6">
        <f t="shared" si="52"/>
        <v>-0.90180285714285713</v>
      </c>
    </row>
    <row r="79" spans="1:26" s="24" customFormat="1" hidden="1" outlineLevel="2" x14ac:dyDescent="0.35">
      <c r="A79" s="29"/>
      <c r="B79" s="11" t="str">
        <f>CONCATENATE("          ", "6241", " - ", "OFFICE EXPENSE")</f>
        <v xml:space="preserve">          6241 - OFFICE EXPENSE</v>
      </c>
      <c r="C79" s="11"/>
      <c r="D79" s="7"/>
      <c r="E79" s="2"/>
      <c r="F79" s="6">
        <f t="shared" si="45"/>
        <v>0</v>
      </c>
      <c r="G79" s="2"/>
      <c r="H79" s="7">
        <v>500</v>
      </c>
      <c r="I79" s="2"/>
      <c r="J79" s="6">
        <f t="shared" si="46"/>
        <v>4.5238224490165213E-3</v>
      </c>
      <c r="K79" s="2"/>
      <c r="L79" s="7">
        <f t="shared" si="47"/>
        <v>-500</v>
      </c>
      <c r="M79" s="2"/>
      <c r="N79" s="6">
        <f t="shared" si="48"/>
        <v>-1</v>
      </c>
      <c r="O79" s="11"/>
      <c r="P79" s="7">
        <v>19.7</v>
      </c>
      <c r="Q79" s="2"/>
      <c r="R79" s="6">
        <f t="shared" si="49"/>
        <v>8.3326565693480064E-4</v>
      </c>
      <c r="S79" s="2"/>
      <c r="T79" s="7">
        <v>3500</v>
      </c>
      <c r="U79" s="2"/>
      <c r="V79" s="6">
        <f t="shared" si="50"/>
        <v>3.9858876799628287E-3</v>
      </c>
      <c r="W79" s="2"/>
      <c r="X79" s="7">
        <f t="shared" si="51"/>
        <v>-3480.3</v>
      </c>
      <c r="Y79" s="2"/>
      <c r="Z79" s="6">
        <f t="shared" si="52"/>
        <v>-0.99437142857142857</v>
      </c>
    </row>
    <row r="80" spans="1:26" s="24" customFormat="1" hidden="1" outlineLevel="2" x14ac:dyDescent="0.35">
      <c r="A80" s="29"/>
      <c r="B80" s="11" t="str">
        <f>CONCATENATE("          ", "6243", " - ", "PAPER SUPPLIES")</f>
        <v xml:space="preserve">          6243 - PAPER SUPPLIES</v>
      </c>
      <c r="C80" s="11"/>
      <c r="D80" s="7"/>
      <c r="E80" s="2"/>
      <c r="F80" s="6">
        <f t="shared" si="45"/>
        <v>0</v>
      </c>
      <c r="G80" s="2"/>
      <c r="H80" s="7">
        <v>500</v>
      </c>
      <c r="I80" s="2"/>
      <c r="J80" s="6">
        <f t="shared" si="46"/>
        <v>4.5238224490165213E-3</v>
      </c>
      <c r="K80" s="2"/>
      <c r="L80" s="7">
        <f t="shared" si="47"/>
        <v>-500</v>
      </c>
      <c r="M80" s="2"/>
      <c r="N80" s="6">
        <f t="shared" si="48"/>
        <v>-1</v>
      </c>
      <c r="O80" s="11"/>
      <c r="P80" s="7">
        <v>3009.55</v>
      </c>
      <c r="Q80" s="2"/>
      <c r="R80" s="6">
        <f t="shared" si="49"/>
        <v>0.12729719075269691</v>
      </c>
      <c r="S80" s="2"/>
      <c r="T80" s="7">
        <v>3500</v>
      </c>
      <c r="U80" s="2"/>
      <c r="V80" s="6">
        <f t="shared" si="50"/>
        <v>3.9858876799628287E-3</v>
      </c>
      <c r="W80" s="2"/>
      <c r="X80" s="7">
        <f t="shared" si="51"/>
        <v>-490.44999999999982</v>
      </c>
      <c r="Y80" s="2"/>
      <c r="Z80" s="6">
        <f t="shared" si="52"/>
        <v>-0.14012857142857138</v>
      </c>
    </row>
    <row r="81" spans="1:26" s="24" customFormat="1" hidden="1" outlineLevel="2" x14ac:dyDescent="0.35">
      <c r="A81" s="29"/>
      <c r="B81" s="11" t="str">
        <f>CONCATENATE("          ", "6244", " - ", "SAFETY SUPPLY EXPENSE")</f>
        <v xml:space="preserve">          6244 - SAFETY SUPPLY EXPENSE</v>
      </c>
      <c r="C81" s="11"/>
      <c r="D81" s="7"/>
      <c r="E81" s="2"/>
      <c r="F81" s="6">
        <f t="shared" si="45"/>
        <v>0</v>
      </c>
      <c r="G81" s="2"/>
      <c r="H81" s="7">
        <v>100</v>
      </c>
      <c r="I81" s="2"/>
      <c r="J81" s="6">
        <f t="shared" si="46"/>
        <v>9.0476448980330421E-4</v>
      </c>
      <c r="K81" s="2"/>
      <c r="L81" s="7">
        <f t="shared" si="47"/>
        <v>-100</v>
      </c>
      <c r="M81" s="2"/>
      <c r="N81" s="6">
        <f t="shared" si="48"/>
        <v>-1</v>
      </c>
      <c r="O81" s="11"/>
      <c r="P81" s="7"/>
      <c r="Q81" s="2"/>
      <c r="R81" s="6">
        <f t="shared" si="49"/>
        <v>0</v>
      </c>
      <c r="S81" s="2"/>
      <c r="T81" s="7">
        <v>700</v>
      </c>
      <c r="U81" s="2"/>
      <c r="V81" s="6">
        <f t="shared" si="50"/>
        <v>7.971775359925658E-4</v>
      </c>
      <c r="W81" s="2"/>
      <c r="X81" s="7">
        <f t="shared" si="51"/>
        <v>-700</v>
      </c>
      <c r="Y81" s="2"/>
      <c r="Z81" s="6">
        <f t="shared" si="52"/>
        <v>-1</v>
      </c>
    </row>
    <row r="82" spans="1:26" s="24" customFormat="1" hidden="1" outlineLevel="2" x14ac:dyDescent="0.35">
      <c r="A82" s="29"/>
      <c r="B82" s="11" t="str">
        <f>CONCATENATE("          ", "6245", " - ", "PRINTING")</f>
        <v xml:space="preserve">          6245 - PRINTING</v>
      </c>
      <c r="C82" s="11"/>
      <c r="D82" s="7"/>
      <c r="E82" s="2"/>
      <c r="F82" s="6">
        <f t="shared" si="45"/>
        <v>0</v>
      </c>
      <c r="G82" s="2"/>
      <c r="H82" s="7">
        <v>150</v>
      </c>
      <c r="I82" s="2"/>
      <c r="J82" s="6">
        <f t="shared" si="46"/>
        <v>1.3571467347049562E-3</v>
      </c>
      <c r="K82" s="2"/>
      <c r="L82" s="7">
        <f t="shared" si="47"/>
        <v>-150</v>
      </c>
      <c r="M82" s="2"/>
      <c r="N82" s="6">
        <f t="shared" si="48"/>
        <v>-1</v>
      </c>
      <c r="O82" s="11"/>
      <c r="P82" s="7"/>
      <c r="Q82" s="2"/>
      <c r="R82" s="6">
        <f t="shared" si="49"/>
        <v>0</v>
      </c>
      <c r="S82" s="2"/>
      <c r="T82" s="7">
        <v>1050</v>
      </c>
      <c r="U82" s="2"/>
      <c r="V82" s="6">
        <f t="shared" si="50"/>
        <v>1.1957663039888486E-3</v>
      </c>
      <c r="W82" s="2"/>
      <c r="X82" s="7">
        <f t="shared" si="51"/>
        <v>-1050</v>
      </c>
      <c r="Y82" s="2"/>
      <c r="Z82" s="6">
        <f t="shared" si="52"/>
        <v>-1</v>
      </c>
    </row>
    <row r="83" spans="1:26" s="24" customFormat="1" hidden="1" outlineLevel="2" x14ac:dyDescent="0.35">
      <c r="A83" s="29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45"/>
        <v>0</v>
      </c>
      <c r="G83" s="2"/>
      <c r="H83" s="7">
        <v>1500</v>
      </c>
      <c r="I83" s="2"/>
      <c r="J83" s="6">
        <f t="shared" si="46"/>
        <v>1.3571467347049563E-2</v>
      </c>
      <c r="K83" s="2"/>
      <c r="L83" s="7">
        <f t="shared" si="47"/>
        <v>-1500</v>
      </c>
      <c r="M83" s="2"/>
      <c r="N83" s="6">
        <f t="shared" si="48"/>
        <v>-1</v>
      </c>
      <c r="O83" s="11"/>
      <c r="P83" s="7"/>
      <c r="Q83" s="2"/>
      <c r="R83" s="6">
        <f t="shared" si="49"/>
        <v>0</v>
      </c>
      <c r="S83" s="2"/>
      <c r="T83" s="7">
        <v>6000</v>
      </c>
      <c r="U83" s="2"/>
      <c r="V83" s="6">
        <f t="shared" si="50"/>
        <v>6.8329503085077063E-3</v>
      </c>
      <c r="W83" s="2"/>
      <c r="X83" s="7">
        <f t="shared" si="51"/>
        <v>-6000</v>
      </c>
      <c r="Y83" s="2"/>
      <c r="Z83" s="6">
        <f t="shared" si="52"/>
        <v>-1</v>
      </c>
    </row>
    <row r="84" spans="1:26" s="28" customFormat="1" outlineLevel="1" collapsed="1" x14ac:dyDescent="0.35">
      <c r="A84" s="27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SUM(OSRRefD22_14x_0)</f>
        <v>89</v>
      </c>
      <c r="E84" s="1"/>
      <c r="F84" s="5">
        <f t="shared" ref="F84:F87" si="53">IF(D$12=0,0,D84/D$12)</f>
        <v>-0.55555555555555558</v>
      </c>
      <c r="G84" s="1"/>
      <c r="H84" s="1">
        <f>SUM(OSRRefH22_14x_0)</f>
        <v>175</v>
      </c>
      <c r="I84" s="1"/>
      <c r="J84" s="5">
        <f t="shared" ref="J84:J87" si="54">IF(H$12=0,0,H84/H$12)</f>
        <v>1.5833378571557823E-3</v>
      </c>
      <c r="K84" s="1"/>
      <c r="L84" s="1">
        <f t="shared" ref="L84:L87" si="55">+D84-H84</f>
        <v>-86</v>
      </c>
      <c r="M84" s="1"/>
      <c r="N84" s="5">
        <f t="shared" ref="N84:N87" si="56">IF(H84=0,0,L84/H84)</f>
        <v>-0.49142857142857144</v>
      </c>
      <c r="O84" s="14"/>
      <c r="P84" s="1">
        <f>SUM(OSRRefP22_14x_0)</f>
        <v>1009</v>
      </c>
      <c r="Q84" s="1"/>
      <c r="R84" s="5">
        <f t="shared" ref="R84:R87" si="57">IF(P$12=0,0,P84/P$12)</f>
        <v>4.2678428824731669E-2</v>
      </c>
      <c r="S84" s="1"/>
      <c r="T84" s="1">
        <f>SUM(OSRRefT22_14x_0)</f>
        <v>1225</v>
      </c>
      <c r="U84" s="1"/>
      <c r="V84" s="5">
        <f t="shared" ref="V84:V87" si="58">IF(T$12=0,0,T84/T$12)</f>
        <v>1.3950606879869901E-3</v>
      </c>
      <c r="W84" s="1"/>
      <c r="X84" s="1">
        <f t="shared" ref="X84:X87" si="59">+P84-T84</f>
        <v>-216</v>
      </c>
      <c r="Y84" s="1"/>
      <c r="Z84" s="5">
        <f t="shared" ref="Z84:Z87" si="60">IF(T84=0,0,X84/T84)</f>
        <v>-0.1763265306122449</v>
      </c>
    </row>
    <row r="85" spans="1:26" s="24" customFormat="1" hidden="1" outlineLevel="2" x14ac:dyDescent="0.35">
      <c r="A85" s="29"/>
      <c r="B85" s="11" t="str">
        <f>CONCATENATE("          ", "6309", " - ", "TELEPHONE")</f>
        <v xml:space="preserve">          6309 - TELEPHONE</v>
      </c>
      <c r="C85" s="11"/>
      <c r="D85" s="7">
        <v>89</v>
      </c>
      <c r="E85" s="2"/>
      <c r="F85" s="6">
        <f t="shared" si="53"/>
        <v>-0.55555555555555558</v>
      </c>
      <c r="G85" s="2"/>
      <c r="H85" s="7">
        <v>175</v>
      </c>
      <c r="I85" s="2"/>
      <c r="J85" s="6">
        <f t="shared" si="54"/>
        <v>1.5833378571557823E-3</v>
      </c>
      <c r="K85" s="2"/>
      <c r="L85" s="7">
        <f t="shared" si="55"/>
        <v>-86</v>
      </c>
      <c r="M85" s="2"/>
      <c r="N85" s="6">
        <f t="shared" si="56"/>
        <v>-0.49142857142857144</v>
      </c>
      <c r="O85" s="11"/>
      <c r="P85" s="7">
        <v>1009</v>
      </c>
      <c r="Q85" s="2"/>
      <c r="R85" s="6">
        <f t="shared" si="57"/>
        <v>4.2678428824731669E-2</v>
      </c>
      <c r="S85" s="2"/>
      <c r="T85" s="7">
        <v>1225</v>
      </c>
      <c r="U85" s="2"/>
      <c r="V85" s="6">
        <f t="shared" si="58"/>
        <v>1.3950606879869901E-3</v>
      </c>
      <c r="W85" s="2"/>
      <c r="X85" s="7">
        <f t="shared" si="59"/>
        <v>-216</v>
      </c>
      <c r="Y85" s="2"/>
      <c r="Z85" s="6">
        <f t="shared" si="60"/>
        <v>-0.1763265306122449</v>
      </c>
    </row>
    <row r="86" spans="1:26" s="28" customFormat="1" outlineLevel="1" collapsed="1" x14ac:dyDescent="0.35">
      <c r="A86" s="27"/>
      <c r="B86" s="14" t="str">
        <f>CONCATENATE("     ","Training                                          ")</f>
        <v xml:space="preserve">     Training                                          </v>
      </c>
      <c r="C86" s="14"/>
      <c r="D86" s="1">
        <f>SUM(OSRRefD22_15x_0)</f>
        <v>0</v>
      </c>
      <c r="E86" s="1"/>
      <c r="F86" s="5">
        <f t="shared" si="53"/>
        <v>0</v>
      </c>
      <c r="G86" s="1"/>
      <c r="H86" s="1">
        <f>SUM(OSRRefH22_15x_0)</f>
        <v>1500</v>
      </c>
      <c r="I86" s="1"/>
      <c r="J86" s="5">
        <f t="shared" si="54"/>
        <v>1.3571467347049563E-2</v>
      </c>
      <c r="K86" s="1"/>
      <c r="L86" s="1">
        <f t="shared" si="55"/>
        <v>-1500</v>
      </c>
      <c r="M86" s="1"/>
      <c r="N86" s="5">
        <f t="shared" si="56"/>
        <v>-1</v>
      </c>
      <c r="O86" s="14"/>
      <c r="P86" s="1">
        <f>SUM(OSRRefP22_15x_0)</f>
        <v>0</v>
      </c>
      <c r="Q86" s="1"/>
      <c r="R86" s="5">
        <f t="shared" si="57"/>
        <v>0</v>
      </c>
      <c r="S86" s="1"/>
      <c r="T86" s="1">
        <f>SUM(OSRRefT22_15x_0)</f>
        <v>1500</v>
      </c>
      <c r="U86" s="1"/>
      <c r="V86" s="5">
        <f t="shared" si="58"/>
        <v>1.7082375771269266E-3</v>
      </c>
      <c r="W86" s="1"/>
      <c r="X86" s="1">
        <f t="shared" si="59"/>
        <v>-1500</v>
      </c>
      <c r="Y86" s="1"/>
      <c r="Z86" s="5">
        <f t="shared" si="60"/>
        <v>-1</v>
      </c>
    </row>
    <row r="87" spans="1:26" s="24" customFormat="1" hidden="1" outlineLevel="2" x14ac:dyDescent="0.35">
      <c r="A87" s="29"/>
      <c r="B87" s="11" t="str">
        <f>CONCATENATE("          ", "6376", " - ", "TRAINING")</f>
        <v xml:space="preserve">          6376 - TRAINING</v>
      </c>
      <c r="C87" s="11"/>
      <c r="D87" s="7"/>
      <c r="E87" s="2"/>
      <c r="F87" s="6">
        <f t="shared" si="53"/>
        <v>0</v>
      </c>
      <c r="G87" s="2"/>
      <c r="H87" s="7">
        <v>1500</v>
      </c>
      <c r="I87" s="2"/>
      <c r="J87" s="6">
        <f t="shared" si="54"/>
        <v>1.3571467347049563E-2</v>
      </c>
      <c r="K87" s="2"/>
      <c r="L87" s="7">
        <f t="shared" si="55"/>
        <v>-1500</v>
      </c>
      <c r="M87" s="2"/>
      <c r="N87" s="6">
        <f t="shared" si="56"/>
        <v>-1</v>
      </c>
      <c r="O87" s="11"/>
      <c r="P87" s="7"/>
      <c r="Q87" s="2"/>
      <c r="R87" s="6">
        <f t="shared" si="57"/>
        <v>0</v>
      </c>
      <c r="S87" s="2"/>
      <c r="T87" s="7">
        <v>1500</v>
      </c>
      <c r="U87" s="2"/>
      <c r="V87" s="6">
        <f t="shared" si="58"/>
        <v>1.7082375771269266E-3</v>
      </c>
      <c r="W87" s="2"/>
      <c r="X87" s="7">
        <f t="shared" si="59"/>
        <v>-1500</v>
      </c>
      <c r="Y87" s="2"/>
      <c r="Z87" s="6">
        <f t="shared" si="60"/>
        <v>-1</v>
      </c>
    </row>
    <row r="88" spans="1:26" s="55" customFormat="1" x14ac:dyDescent="0.3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35">
      <c r="A89" s="10"/>
      <c r="B89" s="25" t="s">
        <v>0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3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35">
      <c r="A91" s="10"/>
      <c r="B91" s="26" t="s">
        <v>3</v>
      </c>
      <c r="C91" s="26"/>
      <c r="D91" s="19">
        <f>+D23-D25+D89</f>
        <v>-51385.729999999996</v>
      </c>
      <c r="E91" s="13"/>
      <c r="F91" s="21">
        <f>IF(D$12=0,0,D91/D$12)</f>
        <v>320.75986267166041</v>
      </c>
      <c r="G91" s="13"/>
      <c r="H91" s="19">
        <f>+H23-H25+H89</f>
        <v>-63034.5206134615</v>
      </c>
      <c r="I91" s="13"/>
      <c r="J91" s="21">
        <f>IF(H$12=0,0,H91/H$12)</f>
        <v>-0.57031395882834357</v>
      </c>
      <c r="K91" s="16"/>
      <c r="L91" s="19">
        <f>+D91-H91</f>
        <v>11648.790613461504</v>
      </c>
      <c r="M91" s="16"/>
      <c r="N91" s="21">
        <f>IF(H91=0,0,L91/H91)</f>
        <v>-0.18480017774536411</v>
      </c>
      <c r="O91" s="25"/>
      <c r="P91" s="19">
        <f>+P23-P25+P89</f>
        <v>-369990.79000000004</v>
      </c>
      <c r="Q91" s="13"/>
      <c r="R91" s="21">
        <f>IF(P$12=0,0,P91/P$12)</f>
        <v>-15.649777598435325</v>
      </c>
      <c r="S91" s="13"/>
      <c r="T91" s="19">
        <f>+T23-T25+T89</f>
        <v>-240406.15748346143</v>
      </c>
      <c r="U91" s="13"/>
      <c r="V91" s="21">
        <f>IF(T$12=0,0,T91/T$12)</f>
        <v>-0.27378055465729501</v>
      </c>
      <c r="W91" s="16"/>
      <c r="X91" s="19">
        <f>+P91-T91</f>
        <v>-129584.63251653861</v>
      </c>
      <c r="Y91" s="16"/>
      <c r="Z91" s="21">
        <f>IF(T91=0,0,X91/T91)</f>
        <v>0.53902376658323858</v>
      </c>
    </row>
    <row r="92" spans="1:26" x14ac:dyDescent="0.3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35">
      <c r="A93" s="52"/>
      <c r="B93" s="10" t="s">
        <v>14</v>
      </c>
      <c r="C93" s="10"/>
      <c r="D93" s="4">
        <v>-112.27</v>
      </c>
      <c r="E93" s="4"/>
      <c r="F93" s="12">
        <f>IF(D$12=0,0,D93/D$12)</f>
        <v>0.70081148564294637</v>
      </c>
      <c r="G93" s="4"/>
      <c r="H93" s="4">
        <v>6785</v>
      </c>
      <c r="I93" s="4"/>
      <c r="J93" s="12">
        <f>IF(H$12=0,0,H93/H$12)</f>
        <v>6.1388270633154191E-2</v>
      </c>
      <c r="K93" s="4"/>
      <c r="L93" s="4">
        <f>+D93-H93</f>
        <v>-6897.27</v>
      </c>
      <c r="M93" s="4"/>
      <c r="N93" s="12">
        <f>IF(H93=0,0,L93/H93)</f>
        <v>-1.0165467943994104</v>
      </c>
      <c r="O93" s="10"/>
      <c r="P93" s="4">
        <v>4291.63</v>
      </c>
      <c r="Q93" s="4"/>
      <c r="R93" s="12">
        <f>IF(P$12=0,0,P93/P$12)</f>
        <v>0.18152628889701009</v>
      </c>
      <c r="S93" s="4"/>
      <c r="T93" s="4">
        <v>152386</v>
      </c>
      <c r="U93" s="4"/>
      <c r="V93" s="12">
        <f>IF(T$12=0,0,T93/T$12)</f>
        <v>0.17354099428537589</v>
      </c>
      <c r="W93" s="4"/>
      <c r="X93" s="4">
        <f>+P93-T93</f>
        <v>-148094.37</v>
      </c>
      <c r="Y93" s="4"/>
      <c r="Z93" s="12">
        <f>IF(T93=0,0,X93/T93)</f>
        <v>-0.97183711102069736</v>
      </c>
    </row>
    <row r="94" spans="1:26" x14ac:dyDescent="0.3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" thickBot="1" x14ac:dyDescent="0.4">
      <c r="A95" s="10"/>
      <c r="B95" s="26" t="s">
        <v>4</v>
      </c>
      <c r="C95" s="26"/>
      <c r="D95" s="33">
        <f>+D91-D93</f>
        <v>-51273.46</v>
      </c>
      <c r="E95" s="13"/>
      <c r="F95" s="31">
        <f>IF(D$12=0,0,D95/D$12)</f>
        <v>320.05905118601748</v>
      </c>
      <c r="G95" s="13"/>
      <c r="H95" s="33">
        <f>+H91-H93</f>
        <v>-69819.5206134615</v>
      </c>
      <c r="I95" s="13"/>
      <c r="J95" s="31">
        <f>IF(H$12=0,0,H95/H$12)</f>
        <v>-0.63170222946149779</v>
      </c>
      <c r="K95" s="16"/>
      <c r="L95" s="33">
        <f>D95-H95</f>
        <v>18546.060613461501</v>
      </c>
      <c r="M95" s="16"/>
      <c r="N95" s="31">
        <f>IF(H95=0,0,L95/H95)</f>
        <v>-0.26562858711301063</v>
      </c>
      <c r="O95" s="25"/>
      <c r="P95" s="33">
        <f>+P91-P93</f>
        <v>-374282.42000000004</v>
      </c>
      <c r="Q95" s="13"/>
      <c r="R95" s="31">
        <f>IF(P$12=0,0,P95/P$12)</f>
        <v>-15.831303887332334</v>
      </c>
      <c r="S95" s="13"/>
      <c r="T95" s="33">
        <f>+T91-T93</f>
        <v>-392792.15748346143</v>
      </c>
      <c r="U95" s="13"/>
      <c r="V95" s="31">
        <f>IF(T$12=0,0,T95/T$12)</f>
        <v>-0.4473215489426709</v>
      </c>
      <c r="W95" s="16"/>
      <c r="X95" s="33">
        <f>P95-T95</f>
        <v>18509.737483461387</v>
      </c>
      <c r="Y95" s="16"/>
      <c r="Z95" s="31">
        <f>IF(T95=0,0,X95/T95)</f>
        <v>-4.7123490453703225E-2</v>
      </c>
    </row>
    <row r="96" spans="1:26" ht="15" thickTop="1" x14ac:dyDescent="0.3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3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" thickBot="1" x14ac:dyDescent="0.4">
      <c r="A98" s="10"/>
      <c r="B98" s="26" t="s">
        <v>5</v>
      </c>
      <c r="C98" s="26"/>
      <c r="D98" s="34">
        <f>SUM(D95:D97)</f>
        <v>-51273.46</v>
      </c>
      <c r="E98" s="13"/>
      <c r="F98" s="32">
        <f>IF(D$12=0,0,D98/D$12)</f>
        <v>320.05905118601748</v>
      </c>
      <c r="G98" s="13"/>
      <c r="H98" s="34">
        <f>SUM(H95:H97)</f>
        <v>-69819.5206134615</v>
      </c>
      <c r="I98" s="13"/>
      <c r="J98" s="32">
        <f>IF(H$12=0,0,H98/H$12)</f>
        <v>-0.63170222946149779</v>
      </c>
      <c r="K98" s="16"/>
      <c r="L98" s="34">
        <f>+D98-H98</f>
        <v>18546.060613461501</v>
      </c>
      <c r="M98" s="16"/>
      <c r="N98" s="32">
        <f>IF(H98=0,0,L98/H98)</f>
        <v>-0.26562858711301063</v>
      </c>
      <c r="O98" s="25"/>
      <c r="P98" s="34">
        <f>SUM(P95:P97)</f>
        <v>-374282.42000000004</v>
      </c>
      <c r="Q98" s="13"/>
      <c r="R98" s="32">
        <f>IF(P$12=0,0,P98/P$12)</f>
        <v>-15.831303887332334</v>
      </c>
      <c r="S98" s="13"/>
      <c r="T98" s="34">
        <f>SUM(T95:T97)</f>
        <v>-392792.15748346143</v>
      </c>
      <c r="U98" s="13"/>
      <c r="V98" s="32">
        <f>IF(T$12=0,0,T98/T$12)</f>
        <v>-0.4473215489426709</v>
      </c>
      <c r="W98" s="16"/>
      <c r="X98" s="34">
        <f>+P98-T98</f>
        <v>18509.737483461387</v>
      </c>
      <c r="Y98" s="16"/>
      <c r="Z98" s="32">
        <f>IF(T98=0,0,X98/T98)</f>
        <v>-4.7123490453703225E-2</v>
      </c>
    </row>
    <row r="99" spans="1:26" ht="15" thickTop="1" x14ac:dyDescent="0.35">
      <c r="A99" s="9"/>
      <c r="C99" s="9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35">
      <c r="A100" s="9"/>
      <c r="B100" s="60">
        <v>44238.490846064815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35">
      <c r="A101" s="9"/>
      <c r="B101" s="59" t="s">
        <v>314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35">
      <c r="A102" s="9"/>
      <c r="B102" s="58"/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35"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","435", " - ", "Ground Floor Coffee House")</f>
        <v>Department 435 - Ground Floor Coffee House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3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5">
      <c r="A16" s="10"/>
      <c r="B16" s="26" t="s">
        <v>6</v>
      </c>
      <c r="C16" s="26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6"/>
      <c r="L16" s="19">
        <f>+D16-H16</f>
        <v>0</v>
      </c>
      <c r="M16" s="16"/>
      <c r="N16" s="21">
        <f>IF(H16=0,0,L16/H16)</f>
        <v>0</v>
      </c>
      <c r="O16" s="25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6"/>
      <c r="X16" s="19">
        <f>+P16-T16</f>
        <v>0</v>
      </c>
      <c r="Y16" s="16"/>
      <c r="Z16" s="21">
        <f>IF(T16=0,0,X16/T16)</f>
        <v>0</v>
      </c>
    </row>
    <row r="17" spans="1:26" x14ac:dyDescent="0.3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5">
      <c r="A18" s="10"/>
      <c r="B18" s="25" t="s">
        <v>9</v>
      </c>
      <c r="C18" s="10"/>
      <c r="D18" s="20">
        <f>SUM(OSRRefD22x_0)</f>
        <v>0</v>
      </c>
      <c r="E18" s="20"/>
      <c r="F18" s="30">
        <f t="shared" ref="F18:F20" si="0">IF(D$12=0,0,D18/D$12)</f>
        <v>0</v>
      </c>
      <c r="G18" s="20"/>
      <c r="H18" s="20">
        <f>SUM(OSRRefH22x_0)</f>
        <v>0</v>
      </c>
      <c r="I18" s="20"/>
      <c r="J18" s="30">
        <f t="shared" ref="J18:J20" si="1">IF(H$12=0,0,H18/H$12)</f>
        <v>0</v>
      </c>
      <c r="K18" s="4"/>
      <c r="L18" s="20">
        <f t="shared" ref="L18:L20" si="2">+D18-H18</f>
        <v>0</v>
      </c>
      <c r="M18" s="4"/>
      <c r="N18" s="30">
        <f t="shared" ref="N18:N20" si="3">IF(H18=0,0,L18/H18)</f>
        <v>0</v>
      </c>
      <c r="O18" s="10"/>
      <c r="P18" s="20">
        <f>SUM(OSRRefP22x_0)</f>
        <v>178.69</v>
      </c>
      <c r="Q18" s="20"/>
      <c r="R18" s="30">
        <f t="shared" ref="R18:R20" si="4">IF(P$12=0,0,P18/P$12)</f>
        <v>0</v>
      </c>
      <c r="S18" s="20"/>
      <c r="T18" s="20">
        <f>SUM(OSRRefT22x_0)</f>
        <v>0</v>
      </c>
      <c r="U18" s="20"/>
      <c r="V18" s="30">
        <f t="shared" ref="V18:V20" si="5">IF(T$12=0,0,T18/T$12)</f>
        <v>0</v>
      </c>
      <c r="W18" s="4"/>
      <c r="X18" s="20">
        <f t="shared" ref="X18:X20" si="6">+P18-T18</f>
        <v>178.69</v>
      </c>
      <c r="Y18" s="4"/>
      <c r="Z18" s="30">
        <f t="shared" ref="Z18:Z20" si="7">IF(T18=0,0,X18/T18)</f>
        <v>0</v>
      </c>
    </row>
    <row r="19" spans="1:26" s="28" customFormat="1" outlineLevel="1" collapsed="1" x14ac:dyDescent="0.35">
      <c r="A19" s="27"/>
      <c r="B19" s="14" t="str">
        <f>CONCATENATE("     ","Telephone/Data Lines                              ")</f>
        <v xml:space="preserve">     Telephone/Data Lines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178.69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178.69</v>
      </c>
      <c r="Y19" s="1"/>
      <c r="Z19" s="5">
        <f t="shared" si="7"/>
        <v>0</v>
      </c>
    </row>
    <row r="20" spans="1:26" s="24" customFormat="1" hidden="1" outlineLevel="2" x14ac:dyDescent="0.35">
      <c r="A20" s="29"/>
      <c r="B20" s="11" t="str">
        <f>CONCATENATE("          ", "6309", " - ", "TELEPHONE")</f>
        <v xml:space="preserve">          6309 - TELEPHONE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178.69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178.69</v>
      </c>
      <c r="Y20" s="2"/>
      <c r="Z20" s="6">
        <f t="shared" si="7"/>
        <v>0</v>
      </c>
    </row>
    <row r="21" spans="1:26" s="55" customFormat="1" x14ac:dyDescent="0.35">
      <c r="A21" s="36"/>
      <c r="B21" s="36"/>
      <c r="C21" s="36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5">
      <c r="A22" s="10"/>
      <c r="B22" s="25" t="s">
        <v>0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3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5">
      <c r="A24" s="10"/>
      <c r="B24" s="26" t="s">
        <v>3</v>
      </c>
      <c r="C24" s="26"/>
      <c r="D24" s="19">
        <f>+D16-D18+D22</f>
        <v>0</v>
      </c>
      <c r="E24" s="13"/>
      <c r="F24" s="21">
        <f>IF(D$12=0,0,D24/D$12)</f>
        <v>0</v>
      </c>
      <c r="G24" s="13"/>
      <c r="H24" s="19">
        <f>+H16-H18+H22</f>
        <v>0</v>
      </c>
      <c r="I24" s="13"/>
      <c r="J24" s="21">
        <f>IF(H$12=0,0,H24/H$12)</f>
        <v>0</v>
      </c>
      <c r="K24" s="16"/>
      <c r="L24" s="19">
        <f>+D24-H24</f>
        <v>0</v>
      </c>
      <c r="M24" s="16"/>
      <c r="N24" s="21">
        <f>IF(H24=0,0,L24/H24)</f>
        <v>0</v>
      </c>
      <c r="O24" s="25"/>
      <c r="P24" s="19">
        <f>+P16-P18+P22</f>
        <v>-178.69</v>
      </c>
      <c r="Q24" s="13"/>
      <c r="R24" s="21">
        <f>IF(P$12=0,0,P24/P$12)</f>
        <v>0</v>
      </c>
      <c r="S24" s="13"/>
      <c r="T24" s="19">
        <f>+T16-T18+T22</f>
        <v>0</v>
      </c>
      <c r="U24" s="13"/>
      <c r="V24" s="21">
        <f>IF(T$12=0,0,T24/T$12)</f>
        <v>0</v>
      </c>
      <c r="W24" s="16"/>
      <c r="X24" s="19">
        <f>+P24-T24</f>
        <v>-178.69</v>
      </c>
      <c r="Y24" s="16"/>
      <c r="Z24" s="21">
        <f>IF(T24=0,0,X24/T24)</f>
        <v>0</v>
      </c>
    </row>
    <row r="25" spans="1:26" x14ac:dyDescent="0.3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35">
      <c r="A26" s="52"/>
      <c r="B26" s="10" t="s">
        <v>14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" thickBot="1" x14ac:dyDescent="0.4">
      <c r="A28" s="10"/>
      <c r="B28" s="26" t="s">
        <v>4</v>
      </c>
      <c r="C28" s="26"/>
      <c r="D28" s="33">
        <f>+D24-D26</f>
        <v>0</v>
      </c>
      <c r="E28" s="13"/>
      <c r="F28" s="31">
        <f>IF(D$12=0,0,D28/D$12)</f>
        <v>0</v>
      </c>
      <c r="G28" s="13"/>
      <c r="H28" s="33">
        <f>+H24-H26</f>
        <v>0</v>
      </c>
      <c r="I28" s="13"/>
      <c r="J28" s="31">
        <f>IF(H$12=0,0,H28/H$12)</f>
        <v>0</v>
      </c>
      <c r="K28" s="16"/>
      <c r="L28" s="33">
        <f>D28-H28</f>
        <v>0</v>
      </c>
      <c r="M28" s="16"/>
      <c r="N28" s="31">
        <f>IF(H28=0,0,L28/H28)</f>
        <v>0</v>
      </c>
      <c r="O28" s="25"/>
      <c r="P28" s="33">
        <f>+P24-P26</f>
        <v>-178.69</v>
      </c>
      <c r="Q28" s="13"/>
      <c r="R28" s="31">
        <f>IF(P$12=0,0,P28/P$12)</f>
        <v>0</v>
      </c>
      <c r="S28" s="13"/>
      <c r="T28" s="33">
        <f>+T24-T26</f>
        <v>0</v>
      </c>
      <c r="U28" s="13"/>
      <c r="V28" s="31">
        <f>IF(T$12=0,0,T28/T$12)</f>
        <v>0</v>
      </c>
      <c r="W28" s="16"/>
      <c r="X28" s="33">
        <f>P28-T28</f>
        <v>-178.69</v>
      </c>
      <c r="Y28" s="16"/>
      <c r="Z28" s="31">
        <f>IF(T28=0,0,X28/T28)</f>
        <v>0</v>
      </c>
    </row>
    <row r="29" spans="1:26" ht="15" thickTop="1" x14ac:dyDescent="0.3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3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5</v>
      </c>
      <c r="C31" s="26"/>
      <c r="D31" s="34">
        <f>SUM(D28:D30)</f>
        <v>0</v>
      </c>
      <c r="E31" s="13"/>
      <c r="F31" s="32">
        <f>IF(D$12=0,0,D31/D$12)</f>
        <v>0</v>
      </c>
      <c r="G31" s="13"/>
      <c r="H31" s="34">
        <f>SUM(H28:H30)</f>
        <v>0</v>
      </c>
      <c r="I31" s="13"/>
      <c r="J31" s="32">
        <f>IF(H$12=0,0,H31/H$12)</f>
        <v>0</v>
      </c>
      <c r="K31" s="16"/>
      <c r="L31" s="34">
        <f>+D31-H31</f>
        <v>0</v>
      </c>
      <c r="M31" s="16"/>
      <c r="N31" s="32">
        <f>IF(H31=0,0,L31/H31)</f>
        <v>0</v>
      </c>
      <c r="O31" s="25"/>
      <c r="P31" s="34">
        <f>SUM(P28:P30)</f>
        <v>-178.69</v>
      </c>
      <c r="Q31" s="13"/>
      <c r="R31" s="32">
        <f>IF(P$12=0,0,P31/P$12)</f>
        <v>0</v>
      </c>
      <c r="S31" s="13"/>
      <c r="T31" s="34">
        <f>SUM(T28:T30)</f>
        <v>0</v>
      </c>
      <c r="U31" s="13"/>
      <c r="V31" s="32">
        <f>IF(T$12=0,0,T31/T$12)</f>
        <v>0</v>
      </c>
      <c r="W31" s="16"/>
      <c r="X31" s="34">
        <f>+P31-T31</f>
        <v>-178.69</v>
      </c>
      <c r="Y31" s="16"/>
      <c r="Z31" s="32">
        <f>IF(T31=0,0,X31/T31)</f>
        <v>0</v>
      </c>
    </row>
    <row r="32" spans="1:26" ht="15" thickTop="1" x14ac:dyDescent="0.3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35">
      <c r="A33" s="9"/>
      <c r="B33" s="60">
        <v>44238.490858217592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35">
      <c r="A34" s="9"/>
      <c r="B34" s="59" t="s">
        <v>314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35">
      <c r="A35" s="9"/>
      <c r="B35" s="58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3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","444", " - ", "Parkside Dining Hall")</f>
        <v>Department 444 - Parkside Dining Hall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38411.35</v>
      </c>
      <c r="E12" s="4"/>
      <c r="F12" s="12"/>
      <c r="G12" s="4"/>
      <c r="H12" s="4">
        <f>SUM(OSRRefH13x_0)</f>
        <v>108775</v>
      </c>
      <c r="I12" s="4"/>
      <c r="J12" s="12"/>
      <c r="K12" s="4"/>
      <c r="L12" s="4">
        <f t="shared" ref="L12:L16" si="0">+D12-H12</f>
        <v>-70363.649999999994</v>
      </c>
      <c r="M12" s="4"/>
      <c r="N12" s="12">
        <f t="shared" ref="N12:N16" si="1">IF(H12=0,0,L12/H12)</f>
        <v>-0.64687336244541482</v>
      </c>
      <c r="O12" s="10"/>
      <c r="P12" s="4">
        <f>SUM(OSRRefP13x_0)</f>
        <v>651109.09</v>
      </c>
      <c r="Q12" s="4"/>
      <c r="R12" s="12"/>
      <c r="S12" s="4"/>
      <c r="T12" s="4">
        <f>SUM(OSRRefT13x_0)</f>
        <v>903769</v>
      </c>
      <c r="U12" s="4"/>
      <c r="V12" s="12"/>
      <c r="W12" s="4"/>
      <c r="X12" s="4">
        <f t="shared" ref="X12:X16" si="2">+P12-T12</f>
        <v>-252659.91000000003</v>
      </c>
      <c r="Y12" s="4"/>
      <c r="Z12" s="12">
        <f t="shared" ref="Z12:Z16" si="3">IF(T12=0,0,X12/T12)</f>
        <v>-0.27956248775959347</v>
      </c>
    </row>
    <row r="13" spans="1:26" s="24" customFormat="1" hidden="1" outlineLevel="1" x14ac:dyDescent="0.3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>--46.44</f>
        <v>46.44</v>
      </c>
      <c r="E13" s="2"/>
      <c r="F13" s="22"/>
      <c r="G13" s="2"/>
      <c r="H13" s="2"/>
      <c r="I13" s="2"/>
      <c r="J13" s="22"/>
      <c r="K13" s="2"/>
      <c r="L13" s="2">
        <f t="shared" si="0"/>
        <v>46.44</v>
      </c>
      <c r="M13" s="2"/>
      <c r="N13" s="22">
        <f t="shared" si="1"/>
        <v>0</v>
      </c>
      <c r="O13" s="11"/>
      <c r="P13" s="2">
        <f>--361.87</f>
        <v>361.87</v>
      </c>
      <c r="Q13" s="2"/>
      <c r="R13" s="22"/>
      <c r="S13" s="2"/>
      <c r="T13" s="2"/>
      <c r="U13" s="2"/>
      <c r="V13" s="22"/>
      <c r="W13" s="2"/>
      <c r="X13" s="2">
        <f t="shared" si="2"/>
        <v>361.87</v>
      </c>
      <c r="Y13" s="2"/>
      <c r="Z13" s="22">
        <f t="shared" si="3"/>
        <v>0</v>
      </c>
    </row>
    <row r="14" spans="1:26" s="24" customFormat="1" hidden="1" outlineLevel="1" x14ac:dyDescent="0.3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2"/>
      <c r="G14" s="2"/>
      <c r="H14" s="2">
        <v>108775</v>
      </c>
      <c r="I14" s="2"/>
      <c r="J14" s="22"/>
      <c r="K14" s="2"/>
      <c r="L14" s="2">
        <f t="shared" si="0"/>
        <v>-108775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903769</v>
      </c>
      <c r="U14" s="2"/>
      <c r="V14" s="22"/>
      <c r="W14" s="2"/>
      <c r="X14" s="2">
        <f t="shared" si="2"/>
        <v>-903769</v>
      </c>
      <c r="Y14" s="2"/>
      <c r="Z14" s="22">
        <f t="shared" si="3"/>
        <v>-1</v>
      </c>
    </row>
    <row r="15" spans="1:26" s="24" customFormat="1" hidden="1" outlineLevel="1" x14ac:dyDescent="0.3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--35996.95</f>
        <v>35996.949999999997</v>
      </c>
      <c r="E15" s="2"/>
      <c r="F15" s="22"/>
      <c r="G15" s="2"/>
      <c r="H15" s="2"/>
      <c r="I15" s="2"/>
      <c r="J15" s="22"/>
      <c r="K15" s="2"/>
      <c r="L15" s="2">
        <f t="shared" si="0"/>
        <v>35996.949999999997</v>
      </c>
      <c r="M15" s="2"/>
      <c r="N15" s="22">
        <f t="shared" si="1"/>
        <v>0</v>
      </c>
      <c r="O15" s="11"/>
      <c r="P15" s="2">
        <f>--626106.33</f>
        <v>626106.32999999996</v>
      </c>
      <c r="Q15" s="2"/>
      <c r="R15" s="22"/>
      <c r="S15" s="2"/>
      <c r="T15" s="2"/>
      <c r="U15" s="2"/>
      <c r="V15" s="22"/>
      <c r="W15" s="2"/>
      <c r="X15" s="2">
        <f t="shared" si="2"/>
        <v>626106.32999999996</v>
      </c>
      <c r="Y15" s="2"/>
      <c r="Z15" s="22">
        <f t="shared" si="3"/>
        <v>0</v>
      </c>
    </row>
    <row r="16" spans="1:26" s="24" customFormat="1" hidden="1" outlineLevel="1" x14ac:dyDescent="0.3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>--2367.96</f>
        <v>2367.96</v>
      </c>
      <c r="E16" s="2"/>
      <c r="F16" s="22"/>
      <c r="G16" s="2"/>
      <c r="H16" s="2"/>
      <c r="I16" s="2"/>
      <c r="J16" s="22"/>
      <c r="K16" s="2"/>
      <c r="L16" s="2">
        <f t="shared" si="0"/>
        <v>2367.96</v>
      </c>
      <c r="M16" s="2"/>
      <c r="N16" s="22">
        <f t="shared" si="1"/>
        <v>0</v>
      </c>
      <c r="O16" s="11"/>
      <c r="P16" s="2">
        <f>--24640.89</f>
        <v>24640.89</v>
      </c>
      <c r="Q16" s="2"/>
      <c r="R16" s="22"/>
      <c r="S16" s="2"/>
      <c r="T16" s="2"/>
      <c r="U16" s="2"/>
      <c r="V16" s="22"/>
      <c r="W16" s="2"/>
      <c r="X16" s="2">
        <f t="shared" si="2"/>
        <v>24640.89</v>
      </c>
      <c r="Y16" s="2"/>
      <c r="Z16" s="22">
        <f t="shared" si="3"/>
        <v>0</v>
      </c>
    </row>
    <row r="17" spans="1:26" x14ac:dyDescent="0.3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5">
      <c r="A18" s="10"/>
      <c r="B18" s="25" t="s">
        <v>8</v>
      </c>
      <c r="C18" s="10"/>
      <c r="D18" s="4">
        <f>SUM(OSRRefD16x_0)</f>
        <v>31982.57</v>
      </c>
      <c r="E18" s="4"/>
      <c r="F18" s="12">
        <f t="shared" ref="F18:F21" si="4">IF(D$12=0,0,D18/D$12)</f>
        <v>0.83263332322347439</v>
      </c>
      <c r="G18" s="4"/>
      <c r="H18" s="4">
        <f>SUM(OSRRefH16x_0)</f>
        <v>29369</v>
      </c>
      <c r="I18" s="4"/>
      <c r="J18" s="12">
        <f t="shared" ref="J18:J21" si="5">IF(H$12=0,0,H18/H$12)</f>
        <v>0.2699977016777752</v>
      </c>
      <c r="K18" s="4"/>
      <c r="L18" s="4">
        <f t="shared" ref="L18:L21" si="6">+D18-H18</f>
        <v>2613.5699999999997</v>
      </c>
      <c r="M18" s="4"/>
      <c r="N18" s="12">
        <f t="shared" ref="N18:N21" si="7">IF(H18=0,0,L18/H18)</f>
        <v>8.8990772583336167E-2</v>
      </c>
      <c r="O18" s="10"/>
      <c r="P18" s="4">
        <f>SUM(OSRRefP16x_0)</f>
        <v>257524.45999999996</v>
      </c>
      <c r="Q18" s="4"/>
      <c r="R18" s="12">
        <f t="shared" ref="R18:R21" si="8">IF(P$12=0,0,P18/P$12)</f>
        <v>0.39551660997391386</v>
      </c>
      <c r="S18" s="4"/>
      <c r="T18" s="4">
        <f>SUM(OSRRefT16x_0)</f>
        <v>243974</v>
      </c>
      <c r="U18" s="4"/>
      <c r="V18" s="12">
        <f t="shared" ref="V18:V21" si="9">IF(T$12=0,0,T18/T$12)</f>
        <v>0.26995172438975001</v>
      </c>
      <c r="W18" s="4"/>
      <c r="X18" s="4">
        <f t="shared" ref="X18:X21" si="10">+P18-T18</f>
        <v>13550.459999999963</v>
      </c>
      <c r="Y18" s="4"/>
      <c r="Z18" s="12">
        <f t="shared" ref="Z18:Z21" si="11">IF(T18=0,0,X18/T18)</f>
        <v>5.5540590390779195E-2</v>
      </c>
    </row>
    <row r="19" spans="1:26" s="24" customFormat="1" hidden="1" outlineLevel="1" x14ac:dyDescent="0.3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29369</v>
      </c>
      <c r="I19" s="2"/>
      <c r="J19" s="22">
        <f t="shared" si="5"/>
        <v>0.2699977016777752</v>
      </c>
      <c r="K19" s="2"/>
      <c r="L19" s="2">
        <f t="shared" si="6"/>
        <v>-29369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243974</v>
      </c>
      <c r="U19" s="2"/>
      <c r="V19" s="22">
        <f t="shared" si="9"/>
        <v>0.26995172438975001</v>
      </c>
      <c r="W19" s="2"/>
      <c r="X19" s="2">
        <f t="shared" si="10"/>
        <v>-243974</v>
      </c>
      <c r="Y19" s="2"/>
      <c r="Z19" s="22">
        <f t="shared" si="11"/>
        <v>-1</v>
      </c>
    </row>
    <row r="20" spans="1:26" s="24" customFormat="1" hidden="1" outlineLevel="1" x14ac:dyDescent="0.3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29350.59</v>
      </c>
      <c r="E20" s="2"/>
      <c r="F20" s="22">
        <f t="shared" si="4"/>
        <v>0.76411243031031195</v>
      </c>
      <c r="G20" s="2"/>
      <c r="H20" s="2"/>
      <c r="I20" s="2"/>
      <c r="J20" s="22">
        <f t="shared" si="5"/>
        <v>0</v>
      </c>
      <c r="K20" s="2"/>
      <c r="L20" s="2">
        <f t="shared" si="6"/>
        <v>29350.59</v>
      </c>
      <c r="M20" s="2"/>
      <c r="N20" s="22">
        <f t="shared" si="7"/>
        <v>0</v>
      </c>
      <c r="O20" s="11"/>
      <c r="P20" s="2">
        <v>271268.15999999997</v>
      </c>
      <c r="Q20" s="2"/>
      <c r="R20" s="22">
        <f t="shared" si="8"/>
        <v>0.41662474716794384</v>
      </c>
      <c r="S20" s="2"/>
      <c r="T20" s="2"/>
      <c r="U20" s="2"/>
      <c r="V20" s="22">
        <f t="shared" si="9"/>
        <v>0</v>
      </c>
      <c r="W20" s="2"/>
      <c r="X20" s="2">
        <f t="shared" si="10"/>
        <v>271268.15999999997</v>
      </c>
      <c r="Y20" s="2"/>
      <c r="Z20" s="22">
        <f t="shared" si="11"/>
        <v>0</v>
      </c>
    </row>
    <row r="21" spans="1:26" s="24" customFormat="1" hidden="1" outlineLevel="1" x14ac:dyDescent="0.3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2631.98</v>
      </c>
      <c r="E21" s="2"/>
      <c r="F21" s="22">
        <f t="shared" si="4"/>
        <v>6.8520892913162393E-2</v>
      </c>
      <c r="G21" s="2"/>
      <c r="H21" s="2"/>
      <c r="I21" s="2"/>
      <c r="J21" s="22">
        <f t="shared" si="5"/>
        <v>0</v>
      </c>
      <c r="K21" s="2"/>
      <c r="L21" s="2">
        <f t="shared" si="6"/>
        <v>2631.98</v>
      </c>
      <c r="M21" s="2"/>
      <c r="N21" s="22">
        <f t="shared" si="7"/>
        <v>0</v>
      </c>
      <c r="O21" s="11"/>
      <c r="P21" s="2">
        <v>-13743.7</v>
      </c>
      <c r="Q21" s="2"/>
      <c r="R21" s="22">
        <f t="shared" si="8"/>
        <v>-2.1108137194029961E-2</v>
      </c>
      <c r="S21" s="2"/>
      <c r="T21" s="2"/>
      <c r="U21" s="2"/>
      <c r="V21" s="22">
        <f t="shared" si="9"/>
        <v>0</v>
      </c>
      <c r="W21" s="2"/>
      <c r="X21" s="2">
        <f t="shared" si="10"/>
        <v>-13743.7</v>
      </c>
      <c r="Y21" s="2"/>
      <c r="Z21" s="22">
        <f t="shared" si="11"/>
        <v>0</v>
      </c>
    </row>
    <row r="22" spans="1:26" x14ac:dyDescent="0.3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5">
      <c r="A23" s="10"/>
      <c r="B23" s="26" t="s">
        <v>6</v>
      </c>
      <c r="C23" s="26"/>
      <c r="D23" s="19">
        <f>D12-D18</f>
        <v>6428.7799999999988</v>
      </c>
      <c r="E23" s="13"/>
      <c r="F23" s="21">
        <f>IF(D$12=0,0,D23/D$12)</f>
        <v>0.16736667677652567</v>
      </c>
      <c r="G23" s="13"/>
      <c r="H23" s="19">
        <f>H12-H18</f>
        <v>79406</v>
      </c>
      <c r="I23" s="13"/>
      <c r="J23" s="21">
        <f>IF(H$12=0,0,H23/H$12)</f>
        <v>0.73000229832222474</v>
      </c>
      <c r="K23" s="16"/>
      <c r="L23" s="19">
        <f>+D23-H23</f>
        <v>-72977.22</v>
      </c>
      <c r="M23" s="16"/>
      <c r="N23" s="21">
        <f>IF(H23=0,0,L23/H23)</f>
        <v>-0.91903911543208328</v>
      </c>
      <c r="O23" s="25"/>
      <c r="P23" s="19">
        <f>P12-P18</f>
        <v>393584.63</v>
      </c>
      <c r="Q23" s="13"/>
      <c r="R23" s="21">
        <f>IF(P$12=0,0,P23/P$12)</f>
        <v>0.60448339002608609</v>
      </c>
      <c r="S23" s="13"/>
      <c r="T23" s="19">
        <f>T12-T18</f>
        <v>659795</v>
      </c>
      <c r="U23" s="13"/>
      <c r="V23" s="21">
        <f>IF(T$12=0,0,T23/T$12)</f>
        <v>0.73004827561024999</v>
      </c>
      <c r="W23" s="16"/>
      <c r="X23" s="19">
        <f>+P23-T23</f>
        <v>-266210.37</v>
      </c>
      <c r="Y23" s="16"/>
      <c r="Z23" s="21">
        <f>IF(T23=0,0,X23/T23)</f>
        <v>-0.40347436703824674</v>
      </c>
    </row>
    <row r="24" spans="1:26" x14ac:dyDescent="0.3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5">
      <c r="A25" s="10"/>
      <c r="B25" s="25" t="s">
        <v>9</v>
      </c>
      <c r="C25" s="10"/>
      <c r="D25" s="20">
        <f>SUM(OSRRefD22x_0)</f>
        <v>69417.709999999992</v>
      </c>
      <c r="E25" s="20"/>
      <c r="F25" s="30">
        <f t="shared" ref="F25:F36" si="12">IF(D$12=0,0,D25/D$12)</f>
        <v>1.8072186996812138</v>
      </c>
      <c r="G25" s="20"/>
      <c r="H25" s="20">
        <f>SUM(OSRRefH22x_0)</f>
        <v>135586.08650446153</v>
      </c>
      <c r="I25" s="20"/>
      <c r="J25" s="30">
        <f t="shared" ref="J25:J36" si="13">IF(H$12=0,0,H25/H$12)</f>
        <v>1.2464820639343741</v>
      </c>
      <c r="K25" s="4"/>
      <c r="L25" s="20">
        <f t="shared" ref="L25:L36" si="14">+D25-H25</f>
        <v>-66168.376504461543</v>
      </c>
      <c r="M25" s="4"/>
      <c r="N25" s="30">
        <f t="shared" ref="N25:N36" si="15">IF(H25=0,0,L25/H25)</f>
        <v>-0.48801745230904819</v>
      </c>
      <c r="O25" s="10"/>
      <c r="P25" s="20">
        <f>SUM(OSRRefP22x_0)</f>
        <v>808923.05999999971</v>
      </c>
      <c r="Q25" s="20"/>
      <c r="R25" s="30">
        <f t="shared" ref="R25:R36" si="16">IF(P$12=0,0,P25/P$12)</f>
        <v>1.2423771567987167</v>
      </c>
      <c r="S25" s="20"/>
      <c r="T25" s="20">
        <f>SUM(OSRRefT22x_0)</f>
        <v>877953.06333621172</v>
      </c>
      <c r="U25" s="20"/>
      <c r="V25" s="30">
        <f t="shared" ref="V25:V36" si="17">IF(T$12=0,0,T25/T$12)</f>
        <v>0.97143524875959641</v>
      </c>
      <c r="W25" s="4"/>
      <c r="X25" s="20">
        <f t="shared" ref="X25:X36" si="18">+P25-T25</f>
        <v>-69030.003336212016</v>
      </c>
      <c r="Y25" s="4"/>
      <c r="Z25" s="30">
        <f t="shared" ref="Z25:Z36" si="19">IF(T25=0,0,X25/T25)</f>
        <v>-7.8626074922386838E-2</v>
      </c>
    </row>
    <row r="26" spans="1:26" s="28" customFormat="1" outlineLevel="1" collapsed="1" x14ac:dyDescent="0.3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28877.140000000003</v>
      </c>
      <c r="E26" s="1"/>
      <c r="F26" s="5">
        <f t="shared" si="12"/>
        <v>0.7517866463948808</v>
      </c>
      <c r="G26" s="1"/>
      <c r="H26" s="1">
        <f>SUM(OSRRefH22_0x_0)</f>
        <v>41391.030437538437</v>
      </c>
      <c r="I26" s="1"/>
      <c r="J26" s="5">
        <f t="shared" si="13"/>
        <v>0.38051970064388357</v>
      </c>
      <c r="K26" s="1"/>
      <c r="L26" s="1">
        <f t="shared" si="14"/>
        <v>-12513.890437538434</v>
      </c>
      <c r="M26" s="1"/>
      <c r="N26" s="5">
        <f t="shared" si="15"/>
        <v>-0.30233338733672382</v>
      </c>
      <c r="O26" s="14"/>
      <c r="P26" s="1">
        <f>SUM(OSRRefP22_0x_0)</f>
        <v>215241.72999999998</v>
      </c>
      <c r="Q26" s="1"/>
      <c r="R26" s="5">
        <f t="shared" si="16"/>
        <v>0.3305770619789688</v>
      </c>
      <c r="S26" s="1"/>
      <c r="T26" s="1">
        <f>SUM(OSRRefT22_0x_0)</f>
        <v>264056.42206428846</v>
      </c>
      <c r="U26" s="1"/>
      <c r="V26" s="5">
        <f t="shared" si="17"/>
        <v>0.29217247113398276</v>
      </c>
      <c r="W26" s="1"/>
      <c r="X26" s="1">
        <f t="shared" si="18"/>
        <v>-48814.69206428848</v>
      </c>
      <c r="Y26" s="1"/>
      <c r="Z26" s="5">
        <f t="shared" si="19"/>
        <v>-0.18486462734999801</v>
      </c>
    </row>
    <row r="27" spans="1:26" s="24" customFormat="1" hidden="1" outlineLevel="2" x14ac:dyDescent="0.35">
      <c r="A27" s="29"/>
      <c r="B27" s="11" t="str">
        <f>CONCATENATE("          ", "6111", " - ", "F.I.C.A.")</f>
        <v xml:space="preserve">          6111 - F.I.C.A.</v>
      </c>
      <c r="C27" s="11"/>
      <c r="D27" s="7">
        <v>3152.67</v>
      </c>
      <c r="E27" s="2"/>
      <c r="F27" s="6">
        <f t="shared" si="12"/>
        <v>8.2076521653105139E-2</v>
      </c>
      <c r="G27" s="2"/>
      <c r="H27" s="7">
        <v>3964.7352559615401</v>
      </c>
      <c r="I27" s="2"/>
      <c r="J27" s="6">
        <f t="shared" si="13"/>
        <v>3.6448956616516114E-2</v>
      </c>
      <c r="K27" s="2"/>
      <c r="L27" s="7">
        <f t="shared" si="14"/>
        <v>-812.06525596154006</v>
      </c>
      <c r="M27" s="2"/>
      <c r="N27" s="6">
        <f t="shared" si="15"/>
        <v>-0.20482206340019427</v>
      </c>
      <c r="O27" s="11"/>
      <c r="P27" s="7">
        <v>24804.76</v>
      </c>
      <c r="Q27" s="2"/>
      <c r="R27" s="6">
        <f t="shared" si="16"/>
        <v>3.8096166035709929E-2</v>
      </c>
      <c r="S27" s="2"/>
      <c r="T27" s="7">
        <v>25311.37825696154</v>
      </c>
      <c r="U27" s="2"/>
      <c r="V27" s="6">
        <f t="shared" si="17"/>
        <v>2.8006468751375118E-2</v>
      </c>
      <c r="W27" s="2"/>
      <c r="X27" s="7">
        <f t="shared" si="18"/>
        <v>-506.61825696154119</v>
      </c>
      <c r="Y27" s="2"/>
      <c r="Z27" s="6">
        <f t="shared" si="19"/>
        <v>-2.0015435422691887E-2</v>
      </c>
    </row>
    <row r="28" spans="1:26" s="24" customFormat="1" hidden="1" outlineLevel="2" x14ac:dyDescent="0.3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75.34</v>
      </c>
      <c r="E28" s="2"/>
      <c r="F28" s="6">
        <f t="shared" si="12"/>
        <v>1.9613994301163592E-3</v>
      </c>
      <c r="G28" s="2"/>
      <c r="H28" s="7">
        <v>3128.8259343000004</v>
      </c>
      <c r="I28" s="2"/>
      <c r="J28" s="6">
        <f t="shared" si="13"/>
        <v>2.8764200729027814E-2</v>
      </c>
      <c r="K28" s="2"/>
      <c r="L28" s="7">
        <f t="shared" si="14"/>
        <v>-3053.4859343000003</v>
      </c>
      <c r="M28" s="2"/>
      <c r="N28" s="6">
        <f t="shared" si="15"/>
        <v>-0.97592068028646806</v>
      </c>
      <c r="O28" s="11"/>
      <c r="P28" s="7">
        <v>17266.09</v>
      </c>
      <c r="Q28" s="2"/>
      <c r="R28" s="6">
        <f t="shared" si="16"/>
        <v>2.6517967979835761E-2</v>
      </c>
      <c r="S28" s="2"/>
      <c r="T28" s="7">
        <v>19002.11664615</v>
      </c>
      <c r="U28" s="2"/>
      <c r="V28" s="6">
        <f t="shared" si="17"/>
        <v>2.1025413182074182E-2</v>
      </c>
      <c r="W28" s="2"/>
      <c r="X28" s="7">
        <f t="shared" si="18"/>
        <v>-1736.0266461499996</v>
      </c>
      <c r="Y28" s="2"/>
      <c r="Z28" s="6">
        <f t="shared" si="19"/>
        <v>-9.1359645795129577E-2</v>
      </c>
    </row>
    <row r="29" spans="1:26" s="24" customFormat="1" hidden="1" outlineLevel="2" x14ac:dyDescent="0.35">
      <c r="A29" s="29"/>
      <c r="B29" s="11" t="str">
        <f>CONCATENATE("          ", "6113", " - ", "GROUP INSURANCE")</f>
        <v xml:space="preserve">          6113 - GROUP INSURANCE</v>
      </c>
      <c r="C29" s="11"/>
      <c r="D29" s="7">
        <v>17691.580000000002</v>
      </c>
      <c r="E29" s="2"/>
      <c r="F29" s="6">
        <f t="shared" si="12"/>
        <v>0.46058209357390467</v>
      </c>
      <c r="G29" s="2"/>
      <c r="H29" s="7">
        <v>22630.769230769198</v>
      </c>
      <c r="I29" s="2"/>
      <c r="J29" s="6">
        <f t="shared" si="13"/>
        <v>0.208051199547407</v>
      </c>
      <c r="K29" s="2"/>
      <c r="L29" s="7">
        <f t="shared" si="14"/>
        <v>-4939.189230769196</v>
      </c>
      <c r="M29" s="2"/>
      <c r="N29" s="6">
        <f t="shared" si="15"/>
        <v>-0.2182510537049614</v>
      </c>
      <c r="O29" s="11"/>
      <c r="P29" s="7">
        <v>120695.37999999999</v>
      </c>
      <c r="Q29" s="2"/>
      <c r="R29" s="6">
        <f t="shared" si="16"/>
        <v>0.18536890646082055</v>
      </c>
      <c r="S29" s="2"/>
      <c r="T29" s="7">
        <v>146170.76923076922</v>
      </c>
      <c r="U29" s="2"/>
      <c r="V29" s="6">
        <f t="shared" si="17"/>
        <v>0.16173465700944514</v>
      </c>
      <c r="W29" s="2"/>
      <c r="X29" s="7">
        <f t="shared" si="18"/>
        <v>-25475.389230769229</v>
      </c>
      <c r="Y29" s="2"/>
      <c r="Z29" s="6">
        <f t="shared" si="19"/>
        <v>-0.17428511435517993</v>
      </c>
    </row>
    <row r="30" spans="1:26" s="24" customFormat="1" hidden="1" outlineLevel="2" x14ac:dyDescent="0.3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>
        <v>274.18</v>
      </c>
      <c r="E30" s="2"/>
      <c r="F30" s="6">
        <f t="shared" si="12"/>
        <v>7.1379943688519151E-3</v>
      </c>
      <c r="G30" s="2"/>
      <c r="H30" s="7">
        <v>189.62581420000001</v>
      </c>
      <c r="I30" s="2"/>
      <c r="J30" s="6">
        <f t="shared" si="13"/>
        <v>1.7432848926683521E-3</v>
      </c>
      <c r="K30" s="2"/>
      <c r="L30" s="7">
        <f t="shared" si="14"/>
        <v>84.554185799999999</v>
      </c>
      <c r="M30" s="2"/>
      <c r="N30" s="6">
        <f t="shared" si="15"/>
        <v>0.44590018588302516</v>
      </c>
      <c r="O30" s="11"/>
      <c r="P30" s="7">
        <v>1118.55</v>
      </c>
      <c r="Q30" s="2"/>
      <c r="R30" s="6">
        <f t="shared" si="16"/>
        <v>1.7179148888859777E-3</v>
      </c>
      <c r="S30" s="2"/>
      <c r="T30" s="7">
        <v>1151.6434331</v>
      </c>
      <c r="U30" s="2"/>
      <c r="V30" s="6">
        <f t="shared" si="17"/>
        <v>1.2742674655802533E-3</v>
      </c>
      <c r="W30" s="2"/>
      <c r="X30" s="7">
        <f t="shared" si="18"/>
        <v>-33.093433100000084</v>
      </c>
      <c r="Y30" s="2"/>
      <c r="Z30" s="6">
        <f t="shared" si="19"/>
        <v>-2.8735832766326814E-2</v>
      </c>
    </row>
    <row r="31" spans="1:26" s="24" customFormat="1" hidden="1" outlineLevel="2" x14ac:dyDescent="0.35">
      <c r="A31" s="29"/>
      <c r="B31" s="11" t="str">
        <f>CONCATENATE("          ", "6115", " - ", "P.E.R.S.")</f>
        <v xml:space="preserve">          6115 - P.E.R.S.</v>
      </c>
      <c r="C31" s="11"/>
      <c r="D31" s="7">
        <v>2186.25</v>
      </c>
      <c r="E31" s="2"/>
      <c r="F31" s="6">
        <f t="shared" si="12"/>
        <v>5.6916770694078703E-2</v>
      </c>
      <c r="G31" s="2"/>
      <c r="H31" s="7">
        <v>2223.1248076923102</v>
      </c>
      <c r="I31" s="2"/>
      <c r="J31" s="6">
        <f t="shared" si="13"/>
        <v>2.0437828615879661E-2</v>
      </c>
      <c r="K31" s="2"/>
      <c r="L31" s="7">
        <f t="shared" si="14"/>
        <v>-36.874807692310242</v>
      </c>
      <c r="M31" s="2"/>
      <c r="N31" s="6">
        <f t="shared" si="15"/>
        <v>-1.6586926458073095E-2</v>
      </c>
      <c r="O31" s="11"/>
      <c r="P31" s="7">
        <v>11726.56</v>
      </c>
      <c r="Q31" s="2"/>
      <c r="R31" s="6">
        <f t="shared" si="16"/>
        <v>1.8010130990491931E-2</v>
      </c>
      <c r="S31" s="2"/>
      <c r="T31" s="7">
        <v>13783.373807692329</v>
      </c>
      <c r="U31" s="2"/>
      <c r="V31" s="6">
        <f t="shared" si="17"/>
        <v>1.5250992020850824E-2</v>
      </c>
      <c r="W31" s="2"/>
      <c r="X31" s="7">
        <f t="shared" si="18"/>
        <v>-2056.8138076923296</v>
      </c>
      <c r="Y31" s="2"/>
      <c r="Z31" s="6">
        <f t="shared" si="19"/>
        <v>-0.14922426369547109</v>
      </c>
    </row>
    <row r="32" spans="1:26" s="24" customFormat="1" hidden="1" outlineLevel="2" x14ac:dyDescent="0.3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35">
      <c r="A33" s="29"/>
      <c r="B33" s="11" t="str">
        <f>CONCATENATE("          ", "6117", " - ", "RETIREMENT STAFF HOURLY")</f>
        <v xml:space="preserve">          6117 - RETIREMENT STAFF HOURLY</v>
      </c>
      <c r="C33" s="11"/>
      <c r="D33" s="7">
        <v>531.84</v>
      </c>
      <c r="E33" s="2"/>
      <c r="F33" s="6">
        <f t="shared" si="12"/>
        <v>1.384590752472902E-2</v>
      </c>
      <c r="G33" s="2"/>
      <c r="H33" s="7"/>
      <c r="I33" s="2"/>
      <c r="J33" s="6">
        <f t="shared" si="13"/>
        <v>0</v>
      </c>
      <c r="K33" s="2"/>
      <c r="L33" s="7">
        <f t="shared" si="14"/>
        <v>531.84</v>
      </c>
      <c r="M33" s="2"/>
      <c r="N33" s="6">
        <f t="shared" si="15"/>
        <v>0</v>
      </c>
      <c r="O33" s="11"/>
      <c r="P33" s="7">
        <v>3727.06</v>
      </c>
      <c r="Q33" s="2"/>
      <c r="R33" s="6">
        <f t="shared" si="16"/>
        <v>5.7241713519926444E-3</v>
      </c>
      <c r="S33" s="2"/>
      <c r="T33" s="7"/>
      <c r="U33" s="2"/>
      <c r="V33" s="6">
        <f t="shared" si="17"/>
        <v>0</v>
      </c>
      <c r="W33" s="2"/>
      <c r="X33" s="7">
        <f t="shared" si="18"/>
        <v>3727.06</v>
      </c>
      <c r="Y33" s="2"/>
      <c r="Z33" s="6">
        <f t="shared" si="19"/>
        <v>0</v>
      </c>
    </row>
    <row r="34" spans="1:26" s="24" customFormat="1" hidden="1" outlineLevel="2" x14ac:dyDescent="0.35">
      <c r="A34" s="29"/>
      <c r="B34" s="11" t="str">
        <f>CONCATENATE("          ", "6118", " - ", "VACATION")</f>
        <v xml:space="preserve">          6118 - VACATION</v>
      </c>
      <c r="C34" s="11"/>
      <c r="D34" s="7">
        <v>2606.96</v>
      </c>
      <c r="E34" s="2"/>
      <c r="F34" s="6">
        <f t="shared" si="12"/>
        <v>6.7869522940485039E-2</v>
      </c>
      <c r="G34" s="2"/>
      <c r="H34" s="7">
        <v>4104.8334615384592</v>
      </c>
      <c r="I34" s="2"/>
      <c r="J34" s="6">
        <f t="shared" si="13"/>
        <v>3.7736919894630745E-2</v>
      </c>
      <c r="K34" s="2"/>
      <c r="L34" s="7">
        <f t="shared" si="14"/>
        <v>-1497.8734615384592</v>
      </c>
      <c r="M34" s="2"/>
      <c r="N34" s="6">
        <f t="shared" si="15"/>
        <v>-0.36490480687542143</v>
      </c>
      <c r="O34" s="11"/>
      <c r="P34" s="7">
        <v>18639.900000000001</v>
      </c>
      <c r="Q34" s="2"/>
      <c r="R34" s="6">
        <f t="shared" si="16"/>
        <v>2.8627921628309631E-2</v>
      </c>
      <c r="S34" s="2"/>
      <c r="T34" s="7">
        <v>25449.967461538461</v>
      </c>
      <c r="U34" s="2"/>
      <c r="V34" s="6">
        <f t="shared" si="17"/>
        <v>2.8159814578214634E-2</v>
      </c>
      <c r="W34" s="2"/>
      <c r="X34" s="7">
        <f t="shared" si="18"/>
        <v>-6810.0674615384596</v>
      </c>
      <c r="Y34" s="2"/>
      <c r="Z34" s="6">
        <f t="shared" si="19"/>
        <v>-0.26758648991713829</v>
      </c>
    </row>
    <row r="35" spans="1:26" s="24" customFormat="1" hidden="1" outlineLevel="2" x14ac:dyDescent="0.35">
      <c r="A35" s="29"/>
      <c r="B35" s="11" t="str">
        <f>CONCATENATE("          ", "6119", " - ", "SICK LEAVE")</f>
        <v xml:space="preserve">          6119 - SICK LEAVE</v>
      </c>
      <c r="C35" s="11"/>
      <c r="D35" s="7">
        <v>1633.22</v>
      </c>
      <c r="E35" s="2"/>
      <c r="F35" s="6">
        <f t="shared" si="12"/>
        <v>4.2519203308397133E-2</v>
      </c>
      <c r="G35" s="2"/>
      <c r="H35" s="7">
        <v>3224.1159330769201</v>
      </c>
      <c r="I35" s="2"/>
      <c r="J35" s="6">
        <f t="shared" si="13"/>
        <v>2.9640229216979268E-2</v>
      </c>
      <c r="K35" s="2"/>
      <c r="L35" s="7">
        <f t="shared" si="14"/>
        <v>-1590.8959330769201</v>
      </c>
      <c r="M35" s="2"/>
      <c r="N35" s="6">
        <f t="shared" si="15"/>
        <v>-0.49343632986505415</v>
      </c>
      <c r="O35" s="11"/>
      <c r="P35" s="7">
        <v>11698.98</v>
      </c>
      <c r="Q35" s="2"/>
      <c r="R35" s="6">
        <f t="shared" si="16"/>
        <v>1.7967772497232377E-2</v>
      </c>
      <c r="S35" s="2"/>
      <c r="T35" s="7">
        <v>19712.173228076917</v>
      </c>
      <c r="U35" s="2"/>
      <c r="V35" s="6">
        <f t="shared" si="17"/>
        <v>2.1811074763658542E-2</v>
      </c>
      <c r="W35" s="2"/>
      <c r="X35" s="7">
        <f t="shared" si="18"/>
        <v>-8013.1932280769179</v>
      </c>
      <c r="Y35" s="2"/>
      <c r="Z35" s="6">
        <f t="shared" si="19"/>
        <v>-0.40650988276946415</v>
      </c>
    </row>
    <row r="36" spans="1:26" s="24" customFormat="1" hidden="1" outlineLevel="2" x14ac:dyDescent="0.35">
      <c r="A36" s="29"/>
      <c r="B36" s="11" t="str">
        <f>CONCATENATE("          ", "6156", " - ", "EMPLOYEE MEALS")</f>
        <v xml:space="preserve">          6156 - EMPLOYEE MEALS</v>
      </c>
      <c r="C36" s="11"/>
      <c r="D36" s="7">
        <v>725.1</v>
      </c>
      <c r="E36" s="2"/>
      <c r="F36" s="6">
        <f t="shared" si="12"/>
        <v>1.8877232901212793E-2</v>
      </c>
      <c r="G36" s="2"/>
      <c r="H36" s="7">
        <v>1925</v>
      </c>
      <c r="I36" s="2"/>
      <c r="J36" s="6">
        <f t="shared" si="13"/>
        <v>1.7697081130774533E-2</v>
      </c>
      <c r="K36" s="2"/>
      <c r="L36" s="7">
        <f t="shared" si="14"/>
        <v>-1199.9000000000001</v>
      </c>
      <c r="M36" s="2"/>
      <c r="N36" s="6">
        <f t="shared" si="15"/>
        <v>-0.62332467532467539</v>
      </c>
      <c r="O36" s="11"/>
      <c r="P36" s="7">
        <v>5564.45</v>
      </c>
      <c r="Q36" s="2"/>
      <c r="R36" s="6">
        <f t="shared" si="16"/>
        <v>8.5461101456900251E-3</v>
      </c>
      <c r="S36" s="2"/>
      <c r="T36" s="7">
        <v>13475</v>
      </c>
      <c r="U36" s="2"/>
      <c r="V36" s="6">
        <f t="shared" si="17"/>
        <v>1.4909783362784075E-2</v>
      </c>
      <c r="W36" s="2"/>
      <c r="X36" s="7">
        <f t="shared" si="18"/>
        <v>-7910.55</v>
      </c>
      <c r="Y36" s="2"/>
      <c r="Z36" s="6">
        <f t="shared" si="19"/>
        <v>-0.58705380333951762</v>
      </c>
    </row>
    <row r="37" spans="1:26" s="28" customFormat="1" outlineLevel="1" collapsed="1" x14ac:dyDescent="0.35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51997.840000000004</v>
      </c>
      <c r="E37" s="1"/>
      <c r="F37" s="5">
        <f t="shared" ref="F37:F47" si="20">IF(D$12=0,0,D37/D$12)</f>
        <v>1.3537102965659891</v>
      </c>
      <c r="G37" s="1"/>
      <c r="H37" s="1">
        <f>SUM(OSRRefH22_1x_0)</f>
        <v>65604.056066923105</v>
      </c>
      <c r="I37" s="1"/>
      <c r="J37" s="5">
        <f t="shared" ref="J37:J47" si="21">IF(H$12=0,0,H37/H$12)</f>
        <v>0.60311704037621794</v>
      </c>
      <c r="K37" s="1"/>
      <c r="L37" s="1">
        <f t="shared" ref="L37:L47" si="22">+D37-H37</f>
        <v>-13606.216066923102</v>
      </c>
      <c r="M37" s="1"/>
      <c r="N37" s="5">
        <f t="shared" ref="N37:N47" si="23">IF(H37=0,0,L37/H37)</f>
        <v>-0.20739900674804795</v>
      </c>
      <c r="O37" s="14"/>
      <c r="P37" s="1">
        <f>SUM(OSRRefP22_1x_0)</f>
        <v>379944.87</v>
      </c>
      <c r="Q37" s="1"/>
      <c r="R37" s="5">
        <f t="shared" ref="R37:R47" si="24">IF(P$12=0,0,P37/P$12)</f>
        <v>0.58353488813986609</v>
      </c>
      <c r="S37" s="1"/>
      <c r="T37" s="1">
        <f>SUM(OSRRefT22_1x_0)</f>
        <v>397777.64127192332</v>
      </c>
      <c r="U37" s="1"/>
      <c r="V37" s="5">
        <f t="shared" ref="V37:V47" si="25">IF(T$12=0,0,T37/T$12)</f>
        <v>0.44013198203514758</v>
      </c>
      <c r="W37" s="1"/>
      <c r="X37" s="1">
        <f t="shared" ref="X37:X47" si="26">+P37-T37</f>
        <v>-17832.771271923324</v>
      </c>
      <c r="Y37" s="1"/>
      <c r="Z37" s="5">
        <f t="shared" ref="Z37:Z47" si="27">IF(T37=0,0,X37/T37)</f>
        <v>-4.4831004615799232E-2</v>
      </c>
    </row>
    <row r="38" spans="1:26" s="24" customFormat="1" hidden="1" outlineLevel="2" x14ac:dyDescent="0.35">
      <c r="A38" s="29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35">
      <c r="A39" s="29"/>
      <c r="B39" s="11" t="str">
        <f>CONCATENATE("          ", "6002", " - ", "STAFF SALARIES")</f>
        <v xml:space="preserve">          6002 - STAFF SALARIES</v>
      </c>
      <c r="C39" s="11"/>
      <c r="D39" s="7">
        <v>18971.47</v>
      </c>
      <c r="E39" s="2"/>
      <c r="F39" s="6">
        <f t="shared" si="20"/>
        <v>0.49390271365104327</v>
      </c>
      <c r="G39" s="2"/>
      <c r="H39" s="7">
        <v>22269.8605769231</v>
      </c>
      <c r="I39" s="2"/>
      <c r="J39" s="6">
        <f t="shared" si="21"/>
        <v>0.20473326202641323</v>
      </c>
      <c r="K39" s="2"/>
      <c r="L39" s="7">
        <f t="shared" si="22"/>
        <v>-3298.3905769230987</v>
      </c>
      <c r="M39" s="2"/>
      <c r="N39" s="6">
        <f t="shared" si="23"/>
        <v>-0.14811006856239683</v>
      </c>
      <c r="O39" s="11"/>
      <c r="P39" s="7">
        <v>107466.7</v>
      </c>
      <c r="Q39" s="2"/>
      <c r="R39" s="6">
        <f t="shared" si="24"/>
        <v>0.16505175807021832</v>
      </c>
      <c r="S39" s="2"/>
      <c r="T39" s="7">
        <v>138073.13557692329</v>
      </c>
      <c r="U39" s="2"/>
      <c r="V39" s="6">
        <f t="shared" si="25"/>
        <v>0.15277480813894179</v>
      </c>
      <c r="W39" s="2"/>
      <c r="X39" s="7">
        <f t="shared" si="26"/>
        <v>-30606.435576923293</v>
      </c>
      <c r="Y39" s="2"/>
      <c r="Z39" s="6">
        <f t="shared" si="27"/>
        <v>-0.22166828796230126</v>
      </c>
    </row>
    <row r="40" spans="1:26" s="24" customFormat="1" hidden="1" outlineLevel="2" x14ac:dyDescent="0.35">
      <c r="A40" s="29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35">
      <c r="A41" s="29"/>
      <c r="B41" s="11" t="str">
        <f>CONCATENATE("          ", "6004", " - ", "STAFF HOURLY")</f>
        <v xml:space="preserve">          6004 - STAFF HOURLY</v>
      </c>
      <c r="C41" s="11"/>
      <c r="D41" s="7">
        <v>12416.84</v>
      </c>
      <c r="E41" s="2"/>
      <c r="F41" s="6">
        <f t="shared" si="20"/>
        <v>0.32325966153233354</v>
      </c>
      <c r="G41" s="2"/>
      <c r="H41" s="7">
        <v>22841.279999999999</v>
      </c>
      <c r="I41" s="2"/>
      <c r="J41" s="6">
        <f t="shared" si="21"/>
        <v>0.20998648586531832</v>
      </c>
      <c r="K41" s="2"/>
      <c r="L41" s="7">
        <f t="shared" si="22"/>
        <v>-10424.439999999999</v>
      </c>
      <c r="M41" s="2"/>
      <c r="N41" s="6">
        <f t="shared" si="23"/>
        <v>-0.45638598187141871</v>
      </c>
      <c r="O41" s="11"/>
      <c r="P41" s="7">
        <v>109936.6</v>
      </c>
      <c r="Q41" s="2"/>
      <c r="R41" s="6">
        <f t="shared" si="24"/>
        <v>0.16884513161995637</v>
      </c>
      <c r="S41" s="2"/>
      <c r="T41" s="7">
        <v>141615.93599999999</v>
      </c>
      <c r="U41" s="2"/>
      <c r="V41" s="6">
        <f t="shared" si="25"/>
        <v>0.15669483684437061</v>
      </c>
      <c r="W41" s="2"/>
      <c r="X41" s="7">
        <f t="shared" si="26"/>
        <v>-31679.335999999981</v>
      </c>
      <c r="Y41" s="2"/>
      <c r="Z41" s="6">
        <f t="shared" si="27"/>
        <v>-0.22369894868328932</v>
      </c>
    </row>
    <row r="42" spans="1:26" s="24" customFormat="1" hidden="1" outlineLevel="2" x14ac:dyDescent="0.35">
      <c r="A42" s="29"/>
      <c r="B42" s="11" t="str">
        <f>CONCATENATE("          ", "6005", " - ", "TEMPORARY WAGES-HOURLY")</f>
        <v xml:space="preserve">          6005 - TEMPORARY WAGES-HOURLY</v>
      </c>
      <c r="C42" s="11"/>
      <c r="D42" s="7">
        <v>8579.9500000000007</v>
      </c>
      <c r="E42" s="2"/>
      <c r="F42" s="6">
        <f t="shared" si="20"/>
        <v>0.22337017574232618</v>
      </c>
      <c r="G42" s="2"/>
      <c r="H42" s="7">
        <v>6897.68649</v>
      </c>
      <c r="I42" s="2"/>
      <c r="J42" s="6">
        <f t="shared" si="21"/>
        <v>6.3412424638014248E-2</v>
      </c>
      <c r="K42" s="2"/>
      <c r="L42" s="7">
        <f t="shared" si="22"/>
        <v>1682.2635100000007</v>
      </c>
      <c r="M42" s="2"/>
      <c r="N42" s="6">
        <f t="shared" si="23"/>
        <v>0.24388807934934148</v>
      </c>
      <c r="O42" s="11"/>
      <c r="P42" s="7">
        <v>70743.679999999993</v>
      </c>
      <c r="Q42" s="2"/>
      <c r="R42" s="6">
        <f t="shared" si="24"/>
        <v>0.10865104033488458</v>
      </c>
      <c r="S42" s="2"/>
      <c r="T42" s="7">
        <v>35989.030695000001</v>
      </c>
      <c r="U42" s="2"/>
      <c r="V42" s="6">
        <f t="shared" si="25"/>
        <v>3.9821050174325523E-2</v>
      </c>
      <c r="W42" s="2"/>
      <c r="X42" s="7">
        <f t="shared" si="26"/>
        <v>34754.649304999992</v>
      </c>
      <c r="Y42" s="2"/>
      <c r="Z42" s="6">
        <f t="shared" si="27"/>
        <v>0.96570117710418069</v>
      </c>
    </row>
    <row r="43" spans="1:26" s="24" customFormat="1" hidden="1" outlineLevel="2" x14ac:dyDescent="0.35">
      <c r="A43" s="29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35">
      <c r="A44" s="29"/>
      <c r="B44" s="11" t="str">
        <f>CONCATENATE("          ", "6007", " - ", "STUDENT HOURLY")</f>
        <v xml:space="preserve">          6007 - STUDENT HOURLY</v>
      </c>
      <c r="C44" s="11"/>
      <c r="D44" s="7">
        <v>12029.58</v>
      </c>
      <c r="E44" s="2"/>
      <c r="F44" s="6">
        <f t="shared" si="20"/>
        <v>0.313177745640286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12029.58</v>
      </c>
      <c r="M44" s="2"/>
      <c r="N44" s="6">
        <f t="shared" si="23"/>
        <v>0</v>
      </c>
      <c r="O44" s="11"/>
      <c r="P44" s="7">
        <v>81167.010000000009</v>
      </c>
      <c r="Q44" s="2"/>
      <c r="R44" s="6">
        <f t="shared" si="24"/>
        <v>0.1246596173307917</v>
      </c>
      <c r="S44" s="2"/>
      <c r="T44" s="7">
        <v>9252.83</v>
      </c>
      <c r="U44" s="2"/>
      <c r="V44" s="6">
        <f t="shared" si="25"/>
        <v>1.0238047554186966E-2</v>
      </c>
      <c r="W44" s="2"/>
      <c r="X44" s="7">
        <f t="shared" si="26"/>
        <v>71914.180000000008</v>
      </c>
      <c r="Y44" s="2"/>
      <c r="Z44" s="6">
        <f t="shared" si="27"/>
        <v>7.7721280948639508</v>
      </c>
    </row>
    <row r="45" spans="1:26" s="24" customFormat="1" hidden="1" outlineLevel="2" x14ac:dyDescent="0.35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0"/>
        <v>0</v>
      </c>
      <c r="G45" s="2"/>
      <c r="H45" s="7">
        <v>13595.228999999999</v>
      </c>
      <c r="I45" s="2"/>
      <c r="J45" s="6">
        <f t="shared" si="21"/>
        <v>0.12498486784647207</v>
      </c>
      <c r="K45" s="2"/>
      <c r="L45" s="7">
        <f t="shared" si="22"/>
        <v>-13595.228999999999</v>
      </c>
      <c r="M45" s="2"/>
      <c r="N45" s="6">
        <f t="shared" si="23"/>
        <v>-1</v>
      </c>
      <c r="O45" s="11"/>
      <c r="P45" s="7">
        <v>10630.88</v>
      </c>
      <c r="Q45" s="2"/>
      <c r="R45" s="6">
        <f t="shared" si="24"/>
        <v>1.6327340784015165E-2</v>
      </c>
      <c r="S45" s="2"/>
      <c r="T45" s="7">
        <v>72846.709000000003</v>
      </c>
      <c r="U45" s="2"/>
      <c r="V45" s="6">
        <f t="shared" si="25"/>
        <v>8.0603239323322667E-2</v>
      </c>
      <c r="W45" s="2"/>
      <c r="X45" s="7">
        <f t="shared" si="26"/>
        <v>-62215.829000000005</v>
      </c>
      <c r="Y45" s="2"/>
      <c r="Z45" s="6">
        <f t="shared" si="27"/>
        <v>-0.85406506147038164</v>
      </c>
    </row>
    <row r="46" spans="1:26" s="24" customFormat="1" hidden="1" outlineLevel="2" x14ac:dyDescent="0.35">
      <c r="A46" s="29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35">
      <c r="A47" s="29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8" customFormat="1" outlineLevel="1" collapsed="1" x14ac:dyDescent="0.3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16.170000000000002</v>
      </c>
      <c r="E48" s="1"/>
      <c r="F48" s="5">
        <f t="shared" ref="F48:F70" si="28">IF(D$12=0,0,D48/D$12)</f>
        <v>4.2096932286941235E-4</v>
      </c>
      <c r="G48" s="1"/>
      <c r="H48" s="1">
        <f>SUM(OSRRefH22_2x_0)</f>
        <v>369</v>
      </c>
      <c r="I48" s="1"/>
      <c r="J48" s="5">
        <f t="shared" ref="J48:J70" si="29">IF(H$12=0,0,H48/H$12)</f>
        <v>3.3923236037692486E-3</v>
      </c>
      <c r="K48" s="1"/>
      <c r="L48" s="1">
        <f t="shared" ref="L48:L70" si="30">+D48-H48</f>
        <v>-352.83</v>
      </c>
      <c r="M48" s="1"/>
      <c r="N48" s="5">
        <f t="shared" ref="N48:N70" si="31">IF(H48=0,0,L48/H48)</f>
        <v>-0.95617886178861788</v>
      </c>
      <c r="O48" s="14"/>
      <c r="P48" s="1">
        <f>SUM(OSRRefP22_2x_0)</f>
        <v>1240.42</v>
      </c>
      <c r="Q48" s="1"/>
      <c r="R48" s="5">
        <f t="shared" ref="R48:R70" si="32">IF(P$12=0,0,P48/P$12)</f>
        <v>1.9050878248374633E-3</v>
      </c>
      <c r="S48" s="1"/>
      <c r="T48" s="1">
        <f>SUM(OSRRefT22_2x_0)</f>
        <v>2583</v>
      </c>
      <c r="U48" s="1"/>
      <c r="V48" s="5">
        <f t="shared" ref="V48:V70" si="33">IF(T$12=0,0,T48/T$12)</f>
        <v>2.8580312004505577E-3</v>
      </c>
      <c r="W48" s="1"/>
      <c r="X48" s="1">
        <f t="shared" ref="X48:X70" si="34">+P48-T48</f>
        <v>-1342.58</v>
      </c>
      <c r="Y48" s="1"/>
      <c r="Z48" s="5">
        <f t="shared" ref="Z48:Z70" si="35">IF(T48=0,0,X48/T48)</f>
        <v>-0.51977545489740606</v>
      </c>
    </row>
    <row r="49" spans="1:26" s="24" customFormat="1" hidden="1" outlineLevel="2" x14ac:dyDescent="0.35">
      <c r="A49" s="29"/>
      <c r="B49" s="11" t="str">
        <f>CONCATENATE("          ", "6362", " - ", "ADVERTISING EXPENSE")</f>
        <v xml:space="preserve">          6362 - ADVERTISING EXPENSE</v>
      </c>
      <c r="C49" s="11"/>
      <c r="D49" s="7">
        <v>16.170000000000002</v>
      </c>
      <c r="E49" s="2"/>
      <c r="F49" s="6">
        <f t="shared" si="28"/>
        <v>4.2096932286941235E-4</v>
      </c>
      <c r="G49" s="2"/>
      <c r="H49" s="7">
        <v>369</v>
      </c>
      <c r="I49" s="2"/>
      <c r="J49" s="6">
        <f t="shared" si="29"/>
        <v>3.3923236037692486E-3</v>
      </c>
      <c r="K49" s="2"/>
      <c r="L49" s="7">
        <f t="shared" si="30"/>
        <v>-352.83</v>
      </c>
      <c r="M49" s="2"/>
      <c r="N49" s="6">
        <f t="shared" si="31"/>
        <v>-0.95617886178861788</v>
      </c>
      <c r="O49" s="11"/>
      <c r="P49" s="7">
        <v>1240.42</v>
      </c>
      <c r="Q49" s="2"/>
      <c r="R49" s="6">
        <f t="shared" si="32"/>
        <v>1.9050878248374633E-3</v>
      </c>
      <c r="S49" s="2"/>
      <c r="T49" s="7">
        <v>2583</v>
      </c>
      <c r="U49" s="2"/>
      <c r="V49" s="6">
        <f t="shared" si="33"/>
        <v>2.8580312004505577E-3</v>
      </c>
      <c r="W49" s="2"/>
      <c r="X49" s="7">
        <f t="shared" si="34"/>
        <v>-1342.58</v>
      </c>
      <c r="Y49" s="2"/>
      <c r="Z49" s="6">
        <f t="shared" si="35"/>
        <v>-0.51977545489740606</v>
      </c>
    </row>
    <row r="50" spans="1:26" s="28" customFormat="1" outlineLevel="1" collapsed="1" x14ac:dyDescent="0.3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8</v>
      </c>
      <c r="I50" s="1"/>
      <c r="J50" s="5">
        <f t="shared" si="29"/>
        <v>7.354631119282924E-5</v>
      </c>
      <c r="K50" s="1"/>
      <c r="L50" s="1">
        <f t="shared" si="30"/>
        <v>-8</v>
      </c>
      <c r="M50" s="1"/>
      <c r="N50" s="5">
        <f t="shared" si="31"/>
        <v>-1</v>
      </c>
      <c r="O50" s="14"/>
      <c r="P50" s="1">
        <f>SUM(OSRRefP22_3x_0)</f>
        <v>40</v>
      </c>
      <c r="Q50" s="1"/>
      <c r="R50" s="5">
        <f t="shared" si="32"/>
        <v>6.1433637794858613E-5</v>
      </c>
      <c r="S50" s="1"/>
      <c r="T50" s="1">
        <f>SUM(OSRRefT22_3x_0)</f>
        <v>48</v>
      </c>
      <c r="U50" s="1"/>
      <c r="V50" s="5">
        <f t="shared" si="33"/>
        <v>5.3110916616967391E-5</v>
      </c>
      <c r="W50" s="1"/>
      <c r="X50" s="1">
        <f t="shared" si="34"/>
        <v>-8</v>
      </c>
      <c r="Y50" s="1"/>
      <c r="Z50" s="5">
        <f t="shared" si="35"/>
        <v>-0.16666666666666666</v>
      </c>
    </row>
    <row r="51" spans="1:26" s="24" customFormat="1" hidden="1" outlineLevel="2" x14ac:dyDescent="0.35">
      <c r="A51" s="29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8"/>
        <v>0</v>
      </c>
      <c r="G51" s="2"/>
      <c r="H51" s="7">
        <v>8</v>
      </c>
      <c r="I51" s="2"/>
      <c r="J51" s="6">
        <f t="shared" si="29"/>
        <v>7.354631119282924E-5</v>
      </c>
      <c r="K51" s="2"/>
      <c r="L51" s="7">
        <f t="shared" si="30"/>
        <v>-8</v>
      </c>
      <c r="M51" s="2"/>
      <c r="N51" s="6">
        <f t="shared" si="31"/>
        <v>-1</v>
      </c>
      <c r="O51" s="11"/>
      <c r="P51" s="7">
        <v>40</v>
      </c>
      <c r="Q51" s="2"/>
      <c r="R51" s="6">
        <f t="shared" si="32"/>
        <v>6.1433637794858613E-5</v>
      </c>
      <c r="S51" s="2"/>
      <c r="T51" s="7">
        <v>48</v>
      </c>
      <c r="U51" s="2"/>
      <c r="V51" s="6">
        <f t="shared" si="33"/>
        <v>5.3110916616967391E-5</v>
      </c>
      <c r="W51" s="2"/>
      <c r="X51" s="7">
        <f t="shared" si="34"/>
        <v>-8</v>
      </c>
      <c r="Y51" s="2"/>
      <c r="Z51" s="6">
        <f t="shared" si="35"/>
        <v>-0.16666666666666666</v>
      </c>
    </row>
    <row r="52" spans="1:26" s="28" customFormat="1" outlineLevel="1" collapsed="1" x14ac:dyDescent="0.3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76.12</v>
      </c>
      <c r="E52" s="1"/>
      <c r="F52" s="5">
        <f t="shared" si="28"/>
        <v>1.9817059280655331E-3</v>
      </c>
      <c r="G52" s="1"/>
      <c r="H52" s="1">
        <f>SUM(OSRRefH22_4x_0)</f>
        <v>135</v>
      </c>
      <c r="I52" s="1"/>
      <c r="J52" s="5">
        <f t="shared" si="29"/>
        <v>1.2410940013789934E-3</v>
      </c>
      <c r="K52" s="1"/>
      <c r="L52" s="1">
        <f t="shared" si="30"/>
        <v>-58.879999999999995</v>
      </c>
      <c r="M52" s="1"/>
      <c r="N52" s="5">
        <f t="shared" si="31"/>
        <v>-0.43614814814814812</v>
      </c>
      <c r="O52" s="14"/>
      <c r="P52" s="1">
        <f>SUM(OSRRefP22_4x_0)</f>
        <v>111.32</v>
      </c>
      <c r="Q52" s="1"/>
      <c r="R52" s="5">
        <f t="shared" si="32"/>
        <v>1.7096981398309152E-4</v>
      </c>
      <c r="S52" s="1"/>
      <c r="T52" s="1">
        <f>SUM(OSRRefT22_4x_0)</f>
        <v>945</v>
      </c>
      <c r="U52" s="1"/>
      <c r="V52" s="5">
        <f t="shared" si="33"/>
        <v>1.0456211708965454E-3</v>
      </c>
      <c r="W52" s="1"/>
      <c r="X52" s="1">
        <f t="shared" si="34"/>
        <v>-833.68000000000006</v>
      </c>
      <c r="Y52" s="1"/>
      <c r="Z52" s="5">
        <f t="shared" si="35"/>
        <v>-0.88220105820105832</v>
      </c>
    </row>
    <row r="53" spans="1:26" s="24" customFormat="1" hidden="1" outlineLevel="2" x14ac:dyDescent="0.35">
      <c r="A53" s="29"/>
      <c r="B53" s="11" t="str">
        <f>CONCATENATE("          ", "6381", " - ", "BANK/CREDIT CARD FEES")</f>
        <v xml:space="preserve">          6381 - BANK/CREDIT CARD FEES</v>
      </c>
      <c r="C53" s="11"/>
      <c r="D53" s="7">
        <v>76.12</v>
      </c>
      <c r="E53" s="2"/>
      <c r="F53" s="6">
        <f t="shared" si="28"/>
        <v>1.9817059280655331E-3</v>
      </c>
      <c r="G53" s="2"/>
      <c r="H53" s="7">
        <v>135</v>
      </c>
      <c r="I53" s="2"/>
      <c r="J53" s="6">
        <f t="shared" si="29"/>
        <v>1.2410940013789934E-3</v>
      </c>
      <c r="K53" s="2"/>
      <c r="L53" s="7">
        <f t="shared" si="30"/>
        <v>-58.879999999999995</v>
      </c>
      <c r="M53" s="2"/>
      <c r="N53" s="6">
        <f t="shared" si="31"/>
        <v>-0.43614814814814812</v>
      </c>
      <c r="O53" s="11"/>
      <c r="P53" s="7">
        <v>111.32</v>
      </c>
      <c r="Q53" s="2"/>
      <c r="R53" s="6">
        <f t="shared" si="32"/>
        <v>1.7096981398309152E-4</v>
      </c>
      <c r="S53" s="2"/>
      <c r="T53" s="7">
        <v>945</v>
      </c>
      <c r="U53" s="2"/>
      <c r="V53" s="6">
        <f t="shared" si="33"/>
        <v>1.0456211708965454E-3</v>
      </c>
      <c r="W53" s="2"/>
      <c r="X53" s="7">
        <f t="shared" si="34"/>
        <v>-833.68000000000006</v>
      </c>
      <c r="Y53" s="2"/>
      <c r="Z53" s="6">
        <f t="shared" si="35"/>
        <v>-0.88220105820105832</v>
      </c>
    </row>
    <row r="54" spans="1:26" s="28" customFormat="1" outlineLevel="1" collapsed="1" x14ac:dyDescent="0.3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272.74</v>
      </c>
      <c r="E54" s="1"/>
      <c r="F54" s="5">
        <f t="shared" si="28"/>
        <v>7.1005054495611331E-3</v>
      </c>
      <c r="G54" s="1"/>
      <c r="H54" s="1">
        <f>SUM(OSRRefH22_5x_0)</f>
        <v>0</v>
      </c>
      <c r="I54" s="1"/>
      <c r="J54" s="5">
        <f t="shared" si="29"/>
        <v>0</v>
      </c>
      <c r="K54" s="1"/>
      <c r="L54" s="1">
        <f t="shared" si="30"/>
        <v>272.74</v>
      </c>
      <c r="M54" s="1"/>
      <c r="N54" s="5">
        <f t="shared" si="31"/>
        <v>0</v>
      </c>
      <c r="O54" s="14"/>
      <c r="P54" s="1">
        <f>SUM(OSRRefP22_5x_0)</f>
        <v>1644.96</v>
      </c>
      <c r="Q54" s="1"/>
      <c r="R54" s="5">
        <f t="shared" si="32"/>
        <v>2.5263969206757659E-3</v>
      </c>
      <c r="S54" s="1"/>
      <c r="T54" s="1">
        <f>SUM(OSRRefT22_5x_0)</f>
        <v>0</v>
      </c>
      <c r="U54" s="1"/>
      <c r="V54" s="5">
        <f t="shared" si="33"/>
        <v>0</v>
      </c>
      <c r="W54" s="1"/>
      <c r="X54" s="1">
        <f t="shared" si="34"/>
        <v>1644.96</v>
      </c>
      <c r="Y54" s="1"/>
      <c r="Z54" s="5">
        <f t="shared" si="35"/>
        <v>0</v>
      </c>
    </row>
    <row r="55" spans="1:26" s="24" customFormat="1" hidden="1" outlineLevel="2" x14ac:dyDescent="0.35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272.74</v>
      </c>
      <c r="E55" s="2"/>
      <c r="F55" s="6">
        <f t="shared" si="28"/>
        <v>7.1005054495611331E-3</v>
      </c>
      <c r="G55" s="2"/>
      <c r="H55" s="7"/>
      <c r="I55" s="2"/>
      <c r="J55" s="6">
        <f t="shared" si="29"/>
        <v>0</v>
      </c>
      <c r="K55" s="2"/>
      <c r="L55" s="7">
        <f t="shared" si="30"/>
        <v>272.74</v>
      </c>
      <c r="M55" s="2"/>
      <c r="N55" s="6">
        <f t="shared" si="31"/>
        <v>0</v>
      </c>
      <c r="O55" s="11"/>
      <c r="P55" s="7">
        <v>1644.96</v>
      </c>
      <c r="Q55" s="2"/>
      <c r="R55" s="6">
        <f t="shared" si="32"/>
        <v>2.5263969206757659E-3</v>
      </c>
      <c r="S55" s="2"/>
      <c r="T55" s="7"/>
      <c r="U55" s="2"/>
      <c r="V55" s="6">
        <f t="shared" si="33"/>
        <v>0</v>
      </c>
      <c r="W55" s="2"/>
      <c r="X55" s="7">
        <f t="shared" si="34"/>
        <v>1644.96</v>
      </c>
      <c r="Y55" s="2"/>
      <c r="Z55" s="6">
        <f t="shared" si="35"/>
        <v>0</v>
      </c>
    </row>
    <row r="56" spans="1:26" s="28" customFormat="1" outlineLevel="1" collapsed="1" x14ac:dyDescent="0.35">
      <c r="A56" s="27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1459.14</v>
      </c>
      <c r="E56" s="1"/>
      <c r="F56" s="5">
        <f t="shared" si="28"/>
        <v>3.7987209509689195E-2</v>
      </c>
      <c r="G56" s="1"/>
      <c r="H56" s="1">
        <f>SUM(OSRRefH22_6x_0)</f>
        <v>3100</v>
      </c>
      <c r="I56" s="1"/>
      <c r="J56" s="5">
        <f t="shared" si="29"/>
        <v>2.8499195587221329E-2</v>
      </c>
      <c r="K56" s="1"/>
      <c r="L56" s="1">
        <f t="shared" si="30"/>
        <v>-1640.86</v>
      </c>
      <c r="M56" s="1"/>
      <c r="N56" s="5">
        <f t="shared" si="31"/>
        <v>-0.52930967741935475</v>
      </c>
      <c r="O56" s="14"/>
      <c r="P56" s="1">
        <f>SUM(OSRRefP22_6x_0)</f>
        <v>38281.15</v>
      </c>
      <c r="Q56" s="1"/>
      <c r="R56" s="5">
        <f t="shared" si="32"/>
        <v>5.8793757586766304E-2</v>
      </c>
      <c r="S56" s="1"/>
      <c r="T56" s="1">
        <f>SUM(OSRRefT22_6x_0)</f>
        <v>20600</v>
      </c>
      <c r="U56" s="1"/>
      <c r="V56" s="5">
        <f t="shared" si="33"/>
        <v>2.2793435048115172E-2</v>
      </c>
      <c r="W56" s="1"/>
      <c r="X56" s="1">
        <f t="shared" si="34"/>
        <v>17681.150000000001</v>
      </c>
      <c r="Y56" s="1"/>
      <c r="Z56" s="5">
        <f t="shared" si="35"/>
        <v>0.85830825242718456</v>
      </c>
    </row>
    <row r="57" spans="1:26" s="24" customFormat="1" hidden="1" outlineLevel="2" x14ac:dyDescent="0.35">
      <c r="A57" s="29"/>
      <c r="B57" s="11" t="str">
        <f>CONCATENATE("          ", "6399", " - ", "DONATION-ON CAMPUS")</f>
        <v xml:space="preserve">          6399 - DONATION-ON CAMPUS</v>
      </c>
      <c r="C57" s="11"/>
      <c r="D57" s="7">
        <v>1459.14</v>
      </c>
      <c r="E57" s="2"/>
      <c r="F57" s="6">
        <f t="shared" si="28"/>
        <v>3.7987209509689195E-2</v>
      </c>
      <c r="G57" s="2"/>
      <c r="H57" s="7">
        <v>3100</v>
      </c>
      <c r="I57" s="2"/>
      <c r="J57" s="6">
        <f t="shared" si="29"/>
        <v>2.8499195587221329E-2</v>
      </c>
      <c r="K57" s="2"/>
      <c r="L57" s="7">
        <f t="shared" si="30"/>
        <v>-1640.86</v>
      </c>
      <c r="M57" s="2"/>
      <c r="N57" s="6">
        <f t="shared" si="31"/>
        <v>-0.52930967741935475</v>
      </c>
      <c r="O57" s="11"/>
      <c r="P57" s="7">
        <v>38281.15</v>
      </c>
      <c r="Q57" s="2"/>
      <c r="R57" s="6">
        <f t="shared" si="32"/>
        <v>5.8793757586766304E-2</v>
      </c>
      <c r="S57" s="2"/>
      <c r="T57" s="7">
        <v>20600</v>
      </c>
      <c r="U57" s="2"/>
      <c r="V57" s="6">
        <f t="shared" si="33"/>
        <v>2.2793435048115172E-2</v>
      </c>
      <c r="W57" s="2"/>
      <c r="X57" s="7">
        <f t="shared" si="34"/>
        <v>17681.150000000001</v>
      </c>
      <c r="Y57" s="2"/>
      <c r="Z57" s="6">
        <f t="shared" si="35"/>
        <v>0.85830825242718456</v>
      </c>
    </row>
    <row r="58" spans="1:26" s="28" customFormat="1" outlineLevel="1" collapsed="1" x14ac:dyDescent="0.35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150</v>
      </c>
      <c r="I58" s="1"/>
      <c r="J58" s="5">
        <f t="shared" si="29"/>
        <v>1.3789933348655481E-3</v>
      </c>
      <c r="K58" s="1"/>
      <c r="L58" s="1">
        <f t="shared" si="30"/>
        <v>-150</v>
      </c>
      <c r="M58" s="1"/>
      <c r="N58" s="5">
        <f t="shared" si="31"/>
        <v>-1</v>
      </c>
      <c r="O58" s="14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900</v>
      </c>
      <c r="U58" s="1"/>
      <c r="V58" s="5">
        <f t="shared" si="33"/>
        <v>9.9582968656813844E-4</v>
      </c>
      <c r="W58" s="1"/>
      <c r="X58" s="1">
        <f t="shared" si="34"/>
        <v>-900</v>
      </c>
      <c r="Y58" s="1"/>
      <c r="Z58" s="5">
        <f t="shared" si="35"/>
        <v>-1</v>
      </c>
    </row>
    <row r="59" spans="1:26" s="24" customFormat="1" hidden="1" outlineLevel="2" x14ac:dyDescent="0.35">
      <c r="A59" s="29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8"/>
        <v>0</v>
      </c>
      <c r="G59" s="2"/>
      <c r="H59" s="7">
        <v>150</v>
      </c>
      <c r="I59" s="2"/>
      <c r="J59" s="6">
        <f t="shared" si="29"/>
        <v>1.3789933348655481E-3</v>
      </c>
      <c r="K59" s="2"/>
      <c r="L59" s="7">
        <f t="shared" si="30"/>
        <v>-150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900</v>
      </c>
      <c r="U59" s="2"/>
      <c r="V59" s="6">
        <f t="shared" si="33"/>
        <v>9.9582968656813844E-4</v>
      </c>
      <c r="W59" s="2"/>
      <c r="X59" s="7">
        <f t="shared" si="34"/>
        <v>-900</v>
      </c>
      <c r="Y59" s="2"/>
      <c r="Z59" s="6">
        <f t="shared" si="35"/>
        <v>-1</v>
      </c>
    </row>
    <row r="60" spans="1:26" s="28" customFormat="1" outlineLevel="1" collapsed="1" x14ac:dyDescent="0.35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245.6</v>
      </c>
      <c r="E60" s="1"/>
      <c r="F60" s="5">
        <f t="shared" si="28"/>
        <v>6.3939434568168006E-3</v>
      </c>
      <c r="G60" s="1"/>
      <c r="H60" s="1">
        <f>SUM(OSRRefH22_8x_0)</f>
        <v>290</v>
      </c>
      <c r="I60" s="1"/>
      <c r="J60" s="5">
        <f t="shared" si="29"/>
        <v>2.6660537807400597E-3</v>
      </c>
      <c r="K60" s="1"/>
      <c r="L60" s="1">
        <f t="shared" si="30"/>
        <v>-44.400000000000006</v>
      </c>
      <c r="M60" s="1"/>
      <c r="N60" s="5">
        <f t="shared" si="31"/>
        <v>-0.15310344827586209</v>
      </c>
      <c r="O60" s="14"/>
      <c r="P60" s="1">
        <f>SUM(OSRRefP22_8x_0)</f>
        <v>1766.46</v>
      </c>
      <c r="Q60" s="1"/>
      <c r="R60" s="5">
        <f t="shared" si="32"/>
        <v>2.713001595477649E-3</v>
      </c>
      <c r="S60" s="1"/>
      <c r="T60" s="1">
        <f>SUM(OSRRefT22_8x_0)</f>
        <v>2030</v>
      </c>
      <c r="U60" s="1"/>
      <c r="V60" s="5">
        <f t="shared" si="33"/>
        <v>2.2461491819259125E-3</v>
      </c>
      <c r="W60" s="1"/>
      <c r="X60" s="1">
        <f t="shared" si="34"/>
        <v>-263.53999999999996</v>
      </c>
      <c r="Y60" s="1"/>
      <c r="Z60" s="5">
        <f t="shared" si="35"/>
        <v>-0.12982266009852214</v>
      </c>
    </row>
    <row r="61" spans="1:26" s="24" customFormat="1" hidden="1" outlineLevel="2" x14ac:dyDescent="0.35">
      <c r="A61" s="29"/>
      <c r="B61" s="11" t="str">
        <f>CONCATENATE("          ", "6351", " - ", "EQUIPMENT RENTAL")</f>
        <v xml:space="preserve">          6351 - EQUIPMENT RENTAL</v>
      </c>
      <c r="C61" s="11"/>
      <c r="D61" s="7">
        <v>245.6</v>
      </c>
      <c r="E61" s="2"/>
      <c r="F61" s="6">
        <f t="shared" si="28"/>
        <v>6.3939434568168006E-3</v>
      </c>
      <c r="G61" s="2"/>
      <c r="H61" s="7">
        <v>290</v>
      </c>
      <c r="I61" s="2"/>
      <c r="J61" s="6">
        <f t="shared" si="29"/>
        <v>2.6660537807400597E-3</v>
      </c>
      <c r="K61" s="2"/>
      <c r="L61" s="7">
        <f t="shared" si="30"/>
        <v>-44.400000000000006</v>
      </c>
      <c r="M61" s="2"/>
      <c r="N61" s="6">
        <f t="shared" si="31"/>
        <v>-0.15310344827586209</v>
      </c>
      <c r="O61" s="11"/>
      <c r="P61" s="7">
        <v>1766.46</v>
      </c>
      <c r="Q61" s="2"/>
      <c r="R61" s="6">
        <f t="shared" si="32"/>
        <v>2.713001595477649E-3</v>
      </c>
      <c r="S61" s="2"/>
      <c r="T61" s="7">
        <v>2030</v>
      </c>
      <c r="U61" s="2"/>
      <c r="V61" s="6">
        <f t="shared" si="33"/>
        <v>2.2461491819259125E-3</v>
      </c>
      <c r="W61" s="2"/>
      <c r="X61" s="7">
        <f t="shared" si="34"/>
        <v>-263.53999999999996</v>
      </c>
      <c r="Y61" s="2"/>
      <c r="Z61" s="6">
        <f t="shared" si="35"/>
        <v>-0.12982266009852214</v>
      </c>
    </row>
    <row r="62" spans="1:26" s="28" customFormat="1" outlineLevel="1" collapsed="1" x14ac:dyDescent="0.35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0</v>
      </c>
      <c r="E62" s="1"/>
      <c r="F62" s="5">
        <f t="shared" si="28"/>
        <v>0</v>
      </c>
      <c r="G62" s="1"/>
      <c r="H62" s="1">
        <f>SUM(OSRRefH22_9x_0)</f>
        <v>270</v>
      </c>
      <c r="I62" s="1"/>
      <c r="J62" s="5">
        <f t="shared" si="29"/>
        <v>2.4821880027579867E-3</v>
      </c>
      <c r="K62" s="1"/>
      <c r="L62" s="1">
        <f t="shared" si="30"/>
        <v>-270</v>
      </c>
      <c r="M62" s="1"/>
      <c r="N62" s="5">
        <f t="shared" si="31"/>
        <v>-1</v>
      </c>
      <c r="O62" s="14"/>
      <c r="P62" s="1">
        <f>SUM(OSRRefP22_9x_0)</f>
        <v>1888.78</v>
      </c>
      <c r="Q62" s="1"/>
      <c r="R62" s="5">
        <f t="shared" si="32"/>
        <v>2.9008656598543264E-3</v>
      </c>
      <c r="S62" s="1"/>
      <c r="T62" s="1">
        <f>SUM(OSRRefT22_9x_0)</f>
        <v>3370</v>
      </c>
      <c r="U62" s="1"/>
      <c r="V62" s="5">
        <f t="shared" si="33"/>
        <v>3.7288289374829186E-3</v>
      </c>
      <c r="W62" s="1"/>
      <c r="X62" s="1">
        <f t="shared" si="34"/>
        <v>-1481.22</v>
      </c>
      <c r="Y62" s="1"/>
      <c r="Z62" s="5">
        <f t="shared" si="35"/>
        <v>-0.43953115727002967</v>
      </c>
    </row>
    <row r="63" spans="1:26" s="24" customFormat="1" hidden="1" outlineLevel="2" x14ac:dyDescent="0.35">
      <c r="A63" s="29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28"/>
        <v>0</v>
      </c>
      <c r="G63" s="2"/>
      <c r="H63" s="7">
        <v>270</v>
      </c>
      <c r="I63" s="2"/>
      <c r="J63" s="6">
        <f t="shared" si="29"/>
        <v>2.4821880027579867E-3</v>
      </c>
      <c r="K63" s="2"/>
      <c r="L63" s="7">
        <f t="shared" si="30"/>
        <v>-270</v>
      </c>
      <c r="M63" s="2"/>
      <c r="N63" s="6">
        <f t="shared" si="31"/>
        <v>-1</v>
      </c>
      <c r="O63" s="11"/>
      <c r="P63" s="7">
        <v>1888.78</v>
      </c>
      <c r="Q63" s="2"/>
      <c r="R63" s="6">
        <f t="shared" si="32"/>
        <v>2.9008656598543264E-3</v>
      </c>
      <c r="S63" s="2"/>
      <c r="T63" s="7">
        <v>3370</v>
      </c>
      <c r="U63" s="2"/>
      <c r="V63" s="6">
        <f t="shared" si="33"/>
        <v>3.7288289374829186E-3</v>
      </c>
      <c r="W63" s="2"/>
      <c r="X63" s="7">
        <f t="shared" si="34"/>
        <v>-1481.22</v>
      </c>
      <c r="Y63" s="2"/>
      <c r="Z63" s="6">
        <f t="shared" si="35"/>
        <v>-0.43953115727002967</v>
      </c>
    </row>
    <row r="64" spans="1:26" s="28" customFormat="1" outlineLevel="1" collapsed="1" x14ac:dyDescent="0.35">
      <c r="A64" s="27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-29090.31</v>
      </c>
      <c r="E64" s="1"/>
      <c r="F64" s="5">
        <f t="shared" si="28"/>
        <v>-0.75733630814850306</v>
      </c>
      <c r="G64" s="1"/>
      <c r="H64" s="1">
        <f>SUM(OSRRefH22_10x_0)</f>
        <v>8702</v>
      </c>
      <c r="I64" s="1"/>
      <c r="J64" s="5">
        <f t="shared" si="29"/>
        <v>0.08</v>
      </c>
      <c r="K64" s="1"/>
      <c r="L64" s="1">
        <f t="shared" si="30"/>
        <v>-37792.31</v>
      </c>
      <c r="M64" s="1"/>
      <c r="N64" s="5">
        <f t="shared" si="31"/>
        <v>-4.3429452999310501</v>
      </c>
      <c r="O64" s="14"/>
      <c r="P64" s="1">
        <f>SUM(OSRRefP22_10x_0)</f>
        <v>44014.009999999995</v>
      </c>
      <c r="Q64" s="1"/>
      <c r="R64" s="5">
        <f t="shared" si="32"/>
        <v>6.7598518705982116E-2</v>
      </c>
      <c r="S64" s="1"/>
      <c r="T64" s="1">
        <f>SUM(OSRRefT22_10x_0)</f>
        <v>74579</v>
      </c>
      <c r="U64" s="1"/>
      <c r="V64" s="5">
        <f t="shared" si="33"/>
        <v>8.2519980216183564E-2</v>
      </c>
      <c r="W64" s="1"/>
      <c r="X64" s="1">
        <f t="shared" si="34"/>
        <v>-30564.990000000005</v>
      </c>
      <c r="Y64" s="1"/>
      <c r="Z64" s="5">
        <f t="shared" si="35"/>
        <v>-0.40983373335657497</v>
      </c>
    </row>
    <row r="65" spans="1:26" s="24" customFormat="1" hidden="1" outlineLevel="2" x14ac:dyDescent="0.35">
      <c r="A65" s="29"/>
      <c r="B65" s="11" t="str">
        <f>CONCATENATE("          ", "6387", " - ", "COMMISSION DUE HOUSING")</f>
        <v xml:space="preserve">          6387 - COMMISSION DUE HOUSING</v>
      </c>
      <c r="C65" s="11"/>
      <c r="D65" s="7">
        <v>-29090.31</v>
      </c>
      <c r="E65" s="2"/>
      <c r="F65" s="6">
        <f t="shared" si="28"/>
        <v>-0.75733630814850306</v>
      </c>
      <c r="G65" s="2"/>
      <c r="H65" s="7">
        <v>8702</v>
      </c>
      <c r="I65" s="2"/>
      <c r="J65" s="6">
        <f t="shared" si="29"/>
        <v>0.08</v>
      </c>
      <c r="K65" s="2"/>
      <c r="L65" s="7">
        <f t="shared" si="30"/>
        <v>-37792.31</v>
      </c>
      <c r="M65" s="2"/>
      <c r="N65" s="6">
        <f t="shared" si="31"/>
        <v>-4.3429452999310501</v>
      </c>
      <c r="O65" s="11"/>
      <c r="P65" s="7">
        <v>44014.009999999995</v>
      </c>
      <c r="Q65" s="2"/>
      <c r="R65" s="6">
        <f t="shared" si="32"/>
        <v>6.7598518705982116E-2</v>
      </c>
      <c r="S65" s="2"/>
      <c r="T65" s="7">
        <v>74579</v>
      </c>
      <c r="U65" s="2"/>
      <c r="V65" s="6">
        <f t="shared" si="33"/>
        <v>8.2519980216183564E-2</v>
      </c>
      <c r="W65" s="2"/>
      <c r="X65" s="7">
        <f t="shared" si="34"/>
        <v>-30564.990000000005</v>
      </c>
      <c r="Y65" s="2"/>
      <c r="Z65" s="6">
        <f t="shared" si="35"/>
        <v>-0.40983373335657497</v>
      </c>
    </row>
    <row r="66" spans="1:26" s="28" customFormat="1" outlineLevel="1" collapsed="1" x14ac:dyDescent="0.35">
      <c r="A66" s="27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5.94</v>
      </c>
      <c r="E66" s="1"/>
      <c r="F66" s="5">
        <f t="shared" si="28"/>
        <v>1.5464179207447801E-4</v>
      </c>
      <c r="G66" s="1"/>
      <c r="H66" s="1">
        <f>SUM(OSRRefH22_11x_0)</f>
        <v>288</v>
      </c>
      <c r="I66" s="1"/>
      <c r="J66" s="5">
        <f t="shared" si="29"/>
        <v>2.6476672029418524E-3</v>
      </c>
      <c r="K66" s="1"/>
      <c r="L66" s="1">
        <f t="shared" si="30"/>
        <v>-282.06</v>
      </c>
      <c r="M66" s="1"/>
      <c r="N66" s="5">
        <f t="shared" si="31"/>
        <v>-0.979375</v>
      </c>
      <c r="O66" s="14"/>
      <c r="P66" s="1">
        <f>SUM(OSRRefP22_11x_0)</f>
        <v>3266.21</v>
      </c>
      <c r="Q66" s="1"/>
      <c r="R66" s="5">
        <f t="shared" si="32"/>
        <v>5.0163790525486291E-3</v>
      </c>
      <c r="S66" s="1"/>
      <c r="T66" s="1">
        <f>SUM(OSRRefT22_11x_0)</f>
        <v>13599</v>
      </c>
      <c r="U66" s="1"/>
      <c r="V66" s="5">
        <f t="shared" si="33"/>
        <v>1.5046986564044573E-2</v>
      </c>
      <c r="W66" s="1"/>
      <c r="X66" s="1">
        <f t="shared" si="34"/>
        <v>-10332.790000000001</v>
      </c>
      <c r="Y66" s="1"/>
      <c r="Z66" s="5">
        <f t="shared" si="35"/>
        <v>-0.75981983969409517</v>
      </c>
    </row>
    <row r="67" spans="1:26" s="24" customFormat="1" hidden="1" outlineLevel="2" x14ac:dyDescent="0.35">
      <c r="A67" s="29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28"/>
        <v>0</v>
      </c>
      <c r="G67" s="2"/>
      <c r="H67" s="7"/>
      <c r="I67" s="2"/>
      <c r="J67" s="6">
        <f t="shared" si="29"/>
        <v>0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/>
      <c r="Q67" s="2"/>
      <c r="R67" s="6">
        <f t="shared" si="32"/>
        <v>0</v>
      </c>
      <c r="S67" s="2"/>
      <c r="T67" s="7">
        <v>8500</v>
      </c>
      <c r="U67" s="2"/>
      <c r="V67" s="6">
        <f t="shared" si="33"/>
        <v>9.4050581509213093E-3</v>
      </c>
      <c r="W67" s="2"/>
      <c r="X67" s="7">
        <f t="shared" si="34"/>
        <v>-8500</v>
      </c>
      <c r="Y67" s="2"/>
      <c r="Z67" s="6">
        <f t="shared" si="35"/>
        <v>-1</v>
      </c>
    </row>
    <row r="68" spans="1:26" s="24" customFormat="1" hidden="1" outlineLevel="2" x14ac:dyDescent="0.35">
      <c r="A68" s="29"/>
      <c r="B68" s="11" t="str">
        <f>CONCATENATE("          ", "6372", " - ", "COMPUTER HARDWARE MAINTENANCE")</f>
        <v xml:space="preserve">          6372 - COMPUTER HARDWARE MAINTENANCE</v>
      </c>
      <c r="C68" s="11"/>
      <c r="D68" s="7"/>
      <c r="E68" s="2"/>
      <c r="F68" s="6">
        <f t="shared" si="28"/>
        <v>0</v>
      </c>
      <c r="G68" s="2"/>
      <c r="H68" s="7"/>
      <c r="I68" s="2"/>
      <c r="J68" s="6">
        <f t="shared" si="29"/>
        <v>0</v>
      </c>
      <c r="K68" s="2"/>
      <c r="L68" s="7">
        <f t="shared" si="30"/>
        <v>0</v>
      </c>
      <c r="M68" s="2"/>
      <c r="N68" s="6">
        <f t="shared" si="31"/>
        <v>0</v>
      </c>
      <c r="O68" s="11"/>
      <c r="P68" s="7"/>
      <c r="Q68" s="2"/>
      <c r="R68" s="6">
        <f t="shared" si="32"/>
        <v>0</v>
      </c>
      <c r="S68" s="2"/>
      <c r="T68" s="7">
        <v>3083</v>
      </c>
      <c r="U68" s="2"/>
      <c r="V68" s="6">
        <f t="shared" si="33"/>
        <v>3.4112699152106345E-3</v>
      </c>
      <c r="W68" s="2"/>
      <c r="X68" s="7">
        <f t="shared" si="34"/>
        <v>-3083</v>
      </c>
      <c r="Y68" s="2"/>
      <c r="Z68" s="6">
        <f t="shared" si="35"/>
        <v>-1</v>
      </c>
    </row>
    <row r="69" spans="1:26" s="24" customFormat="1" hidden="1" outlineLevel="2" x14ac:dyDescent="0.35">
      <c r="A69" s="29"/>
      <c r="B69" s="11" t="str">
        <f>CONCATENATE("          ", "6373", " - ", "MAINTENANCE CONTRACTS")</f>
        <v xml:space="preserve">          6373 - MAINTENANCE CONTRACTS</v>
      </c>
      <c r="C69" s="11"/>
      <c r="D69" s="7">
        <v>5.94</v>
      </c>
      <c r="E69" s="2"/>
      <c r="F69" s="6">
        <f t="shared" si="28"/>
        <v>1.5464179207447801E-4</v>
      </c>
      <c r="G69" s="2"/>
      <c r="H69" s="7">
        <v>38</v>
      </c>
      <c r="I69" s="2"/>
      <c r="J69" s="6">
        <f t="shared" si="29"/>
        <v>3.4934497816593884E-4</v>
      </c>
      <c r="K69" s="2"/>
      <c r="L69" s="7">
        <f t="shared" si="30"/>
        <v>-32.06</v>
      </c>
      <c r="M69" s="2"/>
      <c r="N69" s="6">
        <f t="shared" si="31"/>
        <v>-0.84368421052631581</v>
      </c>
      <c r="O69" s="11"/>
      <c r="P69" s="7">
        <v>1589.39</v>
      </c>
      <c r="Q69" s="2"/>
      <c r="R69" s="6">
        <f t="shared" si="32"/>
        <v>2.4410502393692585E-3</v>
      </c>
      <c r="S69" s="2"/>
      <c r="T69" s="7">
        <v>266</v>
      </c>
      <c r="U69" s="2"/>
      <c r="V69" s="6">
        <f t="shared" si="33"/>
        <v>2.9432299625236095E-4</v>
      </c>
      <c r="W69" s="2"/>
      <c r="X69" s="7">
        <f t="shared" si="34"/>
        <v>1323.39</v>
      </c>
      <c r="Y69" s="2"/>
      <c r="Z69" s="6">
        <f t="shared" si="35"/>
        <v>4.9751503759398501</v>
      </c>
    </row>
    <row r="70" spans="1:26" s="24" customFormat="1" hidden="1" outlineLevel="2" x14ac:dyDescent="0.35">
      <c r="A70" s="29"/>
      <c r="B70" s="11" t="str">
        <f>CONCATENATE("          ", "6375", " - ", "OUTSIDE REPAIRS &amp; MAINTENANCE")</f>
        <v xml:space="preserve">          6375 - OUTSIDE REPAIRS &amp; MAINTENANCE</v>
      </c>
      <c r="C70" s="11"/>
      <c r="D70" s="7"/>
      <c r="E70" s="2"/>
      <c r="F70" s="6">
        <f t="shared" si="28"/>
        <v>0</v>
      </c>
      <c r="G70" s="2"/>
      <c r="H70" s="7">
        <v>250</v>
      </c>
      <c r="I70" s="2"/>
      <c r="J70" s="6">
        <f t="shared" si="29"/>
        <v>2.2983222247759134E-3</v>
      </c>
      <c r="K70" s="2"/>
      <c r="L70" s="7">
        <f t="shared" si="30"/>
        <v>-250</v>
      </c>
      <c r="M70" s="2"/>
      <c r="N70" s="6">
        <f t="shared" si="31"/>
        <v>-1</v>
      </c>
      <c r="O70" s="11"/>
      <c r="P70" s="7">
        <v>1676.82</v>
      </c>
      <c r="Q70" s="2"/>
      <c r="R70" s="6">
        <f t="shared" si="32"/>
        <v>2.5753288131793706E-3</v>
      </c>
      <c r="S70" s="2"/>
      <c r="T70" s="7">
        <v>1750</v>
      </c>
      <c r="U70" s="2"/>
      <c r="V70" s="6">
        <f t="shared" si="33"/>
        <v>1.9363355016602693E-3</v>
      </c>
      <c r="W70" s="2"/>
      <c r="X70" s="7">
        <f t="shared" si="34"/>
        <v>-73.180000000000064</v>
      </c>
      <c r="Y70" s="2"/>
      <c r="Z70" s="6">
        <f t="shared" si="35"/>
        <v>-4.1817142857142893E-2</v>
      </c>
    </row>
    <row r="71" spans="1:26" s="28" customFormat="1" outlineLevel="1" collapsed="1" x14ac:dyDescent="0.35">
      <c r="A71" s="27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SUM(OSRRefD22_12x_0)</f>
        <v>5443.74</v>
      </c>
      <c r="E71" s="1"/>
      <c r="F71" s="5">
        <f t="shared" ref="F71:F75" si="36">IF(D$12=0,0,D71/D$12)</f>
        <v>0.14172217326389205</v>
      </c>
      <c r="G71" s="1"/>
      <c r="H71" s="1">
        <f>SUM(OSRRefH22_12x_0)</f>
        <v>6521</v>
      </c>
      <c r="I71" s="1"/>
      <c r="J71" s="5">
        <f t="shared" ref="J71:J75" si="37">IF(H$12=0,0,H71/H$12)</f>
        <v>5.9949436911054928E-2</v>
      </c>
      <c r="K71" s="1"/>
      <c r="L71" s="1">
        <f t="shared" ref="L71:L75" si="38">+D71-H71</f>
        <v>-1077.2600000000002</v>
      </c>
      <c r="M71" s="1"/>
      <c r="N71" s="5">
        <f t="shared" ref="N71:N75" si="39">IF(H71=0,0,L71/H71)</f>
        <v>-0.16519858917343969</v>
      </c>
      <c r="O71" s="14"/>
      <c r="P71" s="1">
        <f>SUM(OSRRefP22_12x_0)</f>
        <v>32711.82</v>
      </c>
      <c r="Q71" s="1"/>
      <c r="R71" s="5">
        <f t="shared" ref="R71:R75" si="40">IF(P$12=0,0,P71/P$12)</f>
        <v>5.0240152537265298E-2</v>
      </c>
      <c r="S71" s="1"/>
      <c r="T71" s="1">
        <f>SUM(OSRRefT22_12x_0)</f>
        <v>43847</v>
      </c>
      <c r="U71" s="1"/>
      <c r="V71" s="5">
        <f t="shared" ref="V71:V75" si="41">IF(T$12=0,0,T71/T$12)</f>
        <v>4.851571585217019E-2</v>
      </c>
      <c r="W71" s="1"/>
      <c r="X71" s="1">
        <f t="shared" ref="X71:X75" si="42">+P71-T71</f>
        <v>-11135.18</v>
      </c>
      <c r="Y71" s="1"/>
      <c r="Z71" s="5">
        <f t="shared" ref="Z71:Z75" si="43">IF(T71=0,0,X71/T71)</f>
        <v>-0.25395534472141768</v>
      </c>
    </row>
    <row r="72" spans="1:26" s="24" customFormat="1" hidden="1" outlineLevel="2" x14ac:dyDescent="0.35">
      <c r="A72" s="29"/>
      <c r="B72" s="11" t="str">
        <f>CONCATENATE("          ", "6282", " - ", "JANITORIAL/EXTERMINATOR EXPENS")</f>
        <v xml:space="preserve">          6282 - JANITORIAL/EXTERMINATOR EXPENS</v>
      </c>
      <c r="C72" s="11"/>
      <c r="D72" s="7">
        <v>421.34</v>
      </c>
      <c r="E72" s="2"/>
      <c r="F72" s="6">
        <f t="shared" si="36"/>
        <v>1.0969153648596052E-2</v>
      </c>
      <c r="G72" s="2"/>
      <c r="H72" s="7">
        <v>450</v>
      </c>
      <c r="I72" s="2"/>
      <c r="J72" s="6">
        <f t="shared" si="37"/>
        <v>4.1369800045966444E-3</v>
      </c>
      <c r="K72" s="2"/>
      <c r="L72" s="7">
        <f t="shared" si="38"/>
        <v>-28.660000000000025</v>
      </c>
      <c r="M72" s="2"/>
      <c r="N72" s="6">
        <f t="shared" si="39"/>
        <v>-6.3688888888888948E-2</v>
      </c>
      <c r="O72" s="11"/>
      <c r="P72" s="7">
        <v>2396.08</v>
      </c>
      <c r="Q72" s="2"/>
      <c r="R72" s="6">
        <f t="shared" si="40"/>
        <v>3.6799977711876207E-3</v>
      </c>
      <c r="S72" s="2"/>
      <c r="T72" s="7">
        <v>3150</v>
      </c>
      <c r="U72" s="2"/>
      <c r="V72" s="6">
        <f t="shared" si="41"/>
        <v>3.485403902988485E-3</v>
      </c>
      <c r="W72" s="2"/>
      <c r="X72" s="7">
        <f t="shared" si="42"/>
        <v>-753.92000000000007</v>
      </c>
      <c r="Y72" s="2"/>
      <c r="Z72" s="6">
        <f t="shared" si="43"/>
        <v>-0.23933968253968257</v>
      </c>
    </row>
    <row r="73" spans="1:26" s="24" customFormat="1" hidden="1" outlineLevel="2" x14ac:dyDescent="0.35">
      <c r="A73" s="29"/>
      <c r="B73" s="11" t="str">
        <f>CONCATENATE("          ", "6284", " - ", "TRASH REMOVAL EXPENSE")</f>
        <v xml:space="preserve">          6284 - TRASH REMOVAL EXPENSE</v>
      </c>
      <c r="C73" s="11"/>
      <c r="D73" s="7"/>
      <c r="E73" s="2"/>
      <c r="F73" s="6">
        <f t="shared" si="36"/>
        <v>0</v>
      </c>
      <c r="G73" s="2"/>
      <c r="H73" s="7"/>
      <c r="I73" s="2"/>
      <c r="J73" s="6">
        <f t="shared" si="37"/>
        <v>0</v>
      </c>
      <c r="K73" s="2"/>
      <c r="L73" s="7">
        <f t="shared" si="38"/>
        <v>0</v>
      </c>
      <c r="M73" s="2"/>
      <c r="N73" s="6">
        <f t="shared" si="39"/>
        <v>0</v>
      </c>
      <c r="O73" s="11"/>
      <c r="P73" s="7">
        <v>282.75</v>
      </c>
      <c r="Q73" s="2"/>
      <c r="R73" s="6">
        <f t="shared" si="40"/>
        <v>4.3425902716240686E-4</v>
      </c>
      <c r="S73" s="2"/>
      <c r="T73" s="7"/>
      <c r="U73" s="2"/>
      <c r="V73" s="6">
        <f t="shared" si="41"/>
        <v>0</v>
      </c>
      <c r="W73" s="2"/>
      <c r="X73" s="7">
        <f t="shared" si="42"/>
        <v>282.75</v>
      </c>
      <c r="Y73" s="2"/>
      <c r="Z73" s="6">
        <f t="shared" si="43"/>
        <v>0</v>
      </c>
    </row>
    <row r="74" spans="1:26" s="24" customFormat="1" hidden="1" outlineLevel="2" x14ac:dyDescent="0.35">
      <c r="A74" s="29"/>
      <c r="B74" s="11" t="str">
        <f>CONCATENATE("          ", "6285", " - ", "JANITORIAL SERVICES")</f>
        <v xml:space="preserve">          6285 - JANITORIAL SERVICES</v>
      </c>
      <c r="C74" s="11"/>
      <c r="D74" s="7">
        <v>4468.33</v>
      </c>
      <c r="E74" s="2"/>
      <c r="F74" s="6">
        <f t="shared" si="36"/>
        <v>0.11632837689901553</v>
      </c>
      <c r="G74" s="2"/>
      <c r="H74" s="7">
        <v>4571</v>
      </c>
      <c r="I74" s="2"/>
      <c r="J74" s="6">
        <f t="shared" si="37"/>
        <v>4.2022523557802803E-2</v>
      </c>
      <c r="K74" s="2"/>
      <c r="L74" s="7">
        <f t="shared" si="38"/>
        <v>-102.67000000000007</v>
      </c>
      <c r="M74" s="2"/>
      <c r="N74" s="6">
        <f t="shared" si="39"/>
        <v>-2.2461168234522003E-2</v>
      </c>
      <c r="O74" s="11"/>
      <c r="P74" s="7">
        <v>24670.959999999999</v>
      </c>
      <c r="Q74" s="2"/>
      <c r="R74" s="6">
        <f t="shared" si="40"/>
        <v>3.7890670517286132E-2</v>
      </c>
      <c r="S74" s="2"/>
      <c r="T74" s="7">
        <v>30197</v>
      </c>
      <c r="U74" s="2"/>
      <c r="V74" s="6">
        <f t="shared" si="41"/>
        <v>3.3412298939220091E-2</v>
      </c>
      <c r="W74" s="2"/>
      <c r="X74" s="7">
        <f t="shared" si="42"/>
        <v>-5526.0400000000009</v>
      </c>
      <c r="Y74" s="2"/>
      <c r="Z74" s="6">
        <f t="shared" si="43"/>
        <v>-0.1829996357254032</v>
      </c>
    </row>
    <row r="75" spans="1:26" s="24" customFormat="1" hidden="1" outlineLevel="2" x14ac:dyDescent="0.35">
      <c r="A75" s="29"/>
      <c r="B75" s="11" t="str">
        <f>CONCATENATE("          ", "6286", " - ", "LAUNDRY EXPENSE")</f>
        <v xml:space="preserve">          6286 - LAUNDRY EXPENSE</v>
      </c>
      <c r="C75" s="11"/>
      <c r="D75" s="7">
        <v>554.07000000000005</v>
      </c>
      <c r="E75" s="2"/>
      <c r="F75" s="6">
        <f t="shared" si="36"/>
        <v>1.4424642716280476E-2</v>
      </c>
      <c r="G75" s="2"/>
      <c r="H75" s="7">
        <v>1500</v>
      </c>
      <c r="I75" s="2"/>
      <c r="J75" s="6">
        <f t="shared" si="37"/>
        <v>1.3789933348655482E-2</v>
      </c>
      <c r="K75" s="2"/>
      <c r="L75" s="7">
        <f t="shared" si="38"/>
        <v>-945.93</v>
      </c>
      <c r="M75" s="2"/>
      <c r="N75" s="6">
        <f t="shared" si="39"/>
        <v>-0.63061999999999996</v>
      </c>
      <c r="O75" s="11"/>
      <c r="P75" s="7">
        <v>5362.03</v>
      </c>
      <c r="Q75" s="2"/>
      <c r="R75" s="6">
        <f t="shared" si="40"/>
        <v>8.2352252216291444E-3</v>
      </c>
      <c r="S75" s="2"/>
      <c r="T75" s="7">
        <v>10500</v>
      </c>
      <c r="U75" s="2"/>
      <c r="V75" s="6">
        <f t="shared" si="41"/>
        <v>1.1618013009961617E-2</v>
      </c>
      <c r="W75" s="2"/>
      <c r="X75" s="7">
        <f t="shared" si="42"/>
        <v>-5137.97</v>
      </c>
      <c r="Y75" s="2"/>
      <c r="Z75" s="6">
        <f t="shared" si="43"/>
        <v>-0.4893304761904762</v>
      </c>
    </row>
    <row r="76" spans="1:26" s="28" customFormat="1" outlineLevel="1" collapsed="1" x14ac:dyDescent="0.35">
      <c r="A76" s="27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1">
        <f>SUM(OSRRefD22_13x_0)</f>
        <v>0</v>
      </c>
      <c r="E76" s="1"/>
      <c r="F76" s="5">
        <f t="shared" ref="F76:F87" si="44">IF(D$12=0,0,D76/D$12)</f>
        <v>0</v>
      </c>
      <c r="G76" s="1"/>
      <c r="H76" s="1">
        <f>SUM(OSRRefH22_13x_0)</f>
        <v>0</v>
      </c>
      <c r="I76" s="1"/>
      <c r="J76" s="5">
        <f t="shared" ref="J76:J87" si="45">IF(H$12=0,0,H76/H$12)</f>
        <v>0</v>
      </c>
      <c r="K76" s="1"/>
      <c r="L76" s="1">
        <f t="shared" ref="L76:L87" si="46">+D76-H76</f>
        <v>0</v>
      </c>
      <c r="M76" s="1"/>
      <c r="N76" s="5">
        <f t="shared" ref="N76:N87" si="47">IF(H76=0,0,L76/H76)</f>
        <v>0</v>
      </c>
      <c r="O76" s="14"/>
      <c r="P76" s="1">
        <f>SUM(OSRRefP22_13x_0)</f>
        <v>795</v>
      </c>
      <c r="Q76" s="1"/>
      <c r="R76" s="5">
        <f t="shared" ref="R76:R87" si="48">IF(P$12=0,0,P76/P$12)</f>
        <v>1.2209935511728151E-3</v>
      </c>
      <c r="S76" s="1"/>
      <c r="T76" s="1">
        <f>SUM(OSRRefT22_13x_0)</f>
        <v>0</v>
      </c>
      <c r="U76" s="1"/>
      <c r="V76" s="5">
        <f t="shared" ref="V76:V87" si="49">IF(T$12=0,0,T76/T$12)</f>
        <v>0</v>
      </c>
      <c r="W76" s="1"/>
      <c r="X76" s="1">
        <f t="shared" ref="X76:X87" si="50">+P76-T76</f>
        <v>795</v>
      </c>
      <c r="Y76" s="1"/>
      <c r="Z76" s="5">
        <f t="shared" ref="Z76:Z87" si="51">IF(T76=0,0,X76/T76)</f>
        <v>0</v>
      </c>
    </row>
    <row r="77" spans="1:26" s="24" customFormat="1" hidden="1" outlineLevel="2" x14ac:dyDescent="0.35">
      <c r="A77" s="29"/>
      <c r="B77" s="11" t="str">
        <f>CONCATENATE("          ", "6258", " - ", "MEMBERSHIP DUES")</f>
        <v xml:space="preserve">          6258 - MEMBERSHIP DUES</v>
      </c>
      <c r="C77" s="11"/>
      <c r="D77" s="7"/>
      <c r="E77" s="2"/>
      <c r="F77" s="6">
        <f t="shared" si="44"/>
        <v>0</v>
      </c>
      <c r="G77" s="2"/>
      <c r="H77" s="7"/>
      <c r="I77" s="2"/>
      <c r="J77" s="6">
        <f t="shared" si="45"/>
        <v>0</v>
      </c>
      <c r="K77" s="2"/>
      <c r="L77" s="7">
        <f t="shared" si="46"/>
        <v>0</v>
      </c>
      <c r="M77" s="2"/>
      <c r="N77" s="6">
        <f t="shared" si="47"/>
        <v>0</v>
      </c>
      <c r="O77" s="11"/>
      <c r="P77" s="7">
        <v>795</v>
      </c>
      <c r="Q77" s="2"/>
      <c r="R77" s="6">
        <f t="shared" si="48"/>
        <v>1.2209935511728151E-3</v>
      </c>
      <c r="S77" s="2"/>
      <c r="T77" s="7"/>
      <c r="U77" s="2"/>
      <c r="V77" s="6">
        <f t="shared" si="49"/>
        <v>0</v>
      </c>
      <c r="W77" s="2"/>
      <c r="X77" s="7">
        <f t="shared" si="50"/>
        <v>795</v>
      </c>
      <c r="Y77" s="2"/>
      <c r="Z77" s="6">
        <f t="shared" si="51"/>
        <v>0</v>
      </c>
    </row>
    <row r="78" spans="1:26" s="28" customFormat="1" outlineLevel="1" collapsed="1" x14ac:dyDescent="0.35">
      <c r="A78" s="27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SUM(OSRRefD22_14x_0)</f>
        <v>9954.59</v>
      </c>
      <c r="E78" s="1"/>
      <c r="F78" s="5">
        <f t="shared" si="44"/>
        <v>0.25915751464085485</v>
      </c>
      <c r="G78" s="1"/>
      <c r="H78" s="1">
        <f>SUM(OSRRefH22_14x_0)</f>
        <v>8098</v>
      </c>
      <c r="I78" s="1"/>
      <c r="J78" s="5">
        <f t="shared" si="45"/>
        <v>7.4447253504941399E-2</v>
      </c>
      <c r="K78" s="1"/>
      <c r="L78" s="1">
        <f t="shared" si="46"/>
        <v>1856.5900000000001</v>
      </c>
      <c r="M78" s="1"/>
      <c r="N78" s="5">
        <f t="shared" si="47"/>
        <v>0.22926525067918005</v>
      </c>
      <c r="O78" s="14"/>
      <c r="P78" s="1">
        <f>SUM(OSRRefP22_14x_0)</f>
        <v>85377.329999999987</v>
      </c>
      <c r="Q78" s="1"/>
      <c r="R78" s="5">
        <f t="shared" si="48"/>
        <v>0.1311259991778029</v>
      </c>
      <c r="S78" s="1"/>
      <c r="T78" s="1">
        <f>SUM(OSRRefT22_14x_0)</f>
        <v>49348</v>
      </c>
      <c r="U78" s="1"/>
      <c r="V78" s="5">
        <f t="shared" si="49"/>
        <v>5.4602448191960556E-2</v>
      </c>
      <c r="W78" s="1"/>
      <c r="X78" s="1">
        <f t="shared" si="50"/>
        <v>36029.329999999987</v>
      </c>
      <c r="Y78" s="1"/>
      <c r="Z78" s="5">
        <f t="shared" si="51"/>
        <v>0.73010719786009537</v>
      </c>
    </row>
    <row r="79" spans="1:26" s="24" customFormat="1" hidden="1" outlineLevel="2" x14ac:dyDescent="0.35">
      <c r="A79" s="29"/>
      <c r="B79" s="11" t="str">
        <f>CONCATENATE("          ", "6235", " - ", "COVID-19 EXPENSES")</f>
        <v xml:space="preserve">          6235 - COVID-19 EXPENSES</v>
      </c>
      <c r="C79" s="11"/>
      <c r="D79" s="7">
        <v>2921.2</v>
      </c>
      <c r="E79" s="2"/>
      <c r="F79" s="6">
        <f t="shared" si="44"/>
        <v>7.6050438216829136E-2</v>
      </c>
      <c r="G79" s="2"/>
      <c r="H79" s="7">
        <v>4000</v>
      </c>
      <c r="I79" s="2"/>
      <c r="J79" s="6">
        <f t="shared" si="45"/>
        <v>3.6773155596414614E-2</v>
      </c>
      <c r="K79" s="2"/>
      <c r="L79" s="7">
        <f t="shared" si="46"/>
        <v>-1078.8000000000002</v>
      </c>
      <c r="M79" s="2"/>
      <c r="N79" s="6">
        <f t="shared" si="47"/>
        <v>-0.26970000000000005</v>
      </c>
      <c r="O79" s="11"/>
      <c r="P79" s="7">
        <v>44334.07</v>
      </c>
      <c r="Q79" s="2"/>
      <c r="R79" s="6">
        <f t="shared" si="48"/>
        <v>6.8090079958797692E-2</v>
      </c>
      <c r="S79" s="2"/>
      <c r="T79" s="7">
        <v>24000</v>
      </c>
      <c r="U79" s="2"/>
      <c r="V79" s="6">
        <f t="shared" si="49"/>
        <v>2.6555458308483694E-2</v>
      </c>
      <c r="W79" s="2"/>
      <c r="X79" s="7">
        <f t="shared" si="50"/>
        <v>20334.07</v>
      </c>
      <c r="Y79" s="2"/>
      <c r="Z79" s="6">
        <f t="shared" si="51"/>
        <v>0.84725291666666669</v>
      </c>
    </row>
    <row r="80" spans="1:26" s="24" customFormat="1" hidden="1" outlineLevel="2" x14ac:dyDescent="0.35">
      <c r="A80" s="29"/>
      <c r="B80" s="11" t="str">
        <f>CONCATENATE("          ", "6237", " - ", "JANITORIAL SUPPLIES")</f>
        <v xml:space="preserve">          6237 - JANITORIAL SUPPLIES</v>
      </c>
      <c r="C80" s="11"/>
      <c r="D80" s="7">
        <v>3367.71</v>
      </c>
      <c r="E80" s="2"/>
      <c r="F80" s="6">
        <f t="shared" si="44"/>
        <v>8.7674866933862006E-2</v>
      </c>
      <c r="G80" s="2"/>
      <c r="H80" s="7">
        <v>3000</v>
      </c>
      <c r="I80" s="2"/>
      <c r="J80" s="6">
        <f t="shared" si="45"/>
        <v>2.7579866697310964E-2</v>
      </c>
      <c r="K80" s="2"/>
      <c r="L80" s="7">
        <f t="shared" si="46"/>
        <v>367.71000000000004</v>
      </c>
      <c r="M80" s="2"/>
      <c r="N80" s="6">
        <f t="shared" si="47"/>
        <v>0.12257000000000001</v>
      </c>
      <c r="O80" s="11"/>
      <c r="P80" s="7">
        <v>12545.88</v>
      </c>
      <c r="Q80" s="2"/>
      <c r="R80" s="6">
        <f t="shared" si="48"/>
        <v>1.9268476193444021E-2</v>
      </c>
      <c r="S80" s="2"/>
      <c r="T80" s="7">
        <v>18000</v>
      </c>
      <c r="U80" s="2"/>
      <c r="V80" s="6">
        <f t="shared" si="49"/>
        <v>1.9916593731362772E-2</v>
      </c>
      <c r="W80" s="2"/>
      <c r="X80" s="7">
        <f t="shared" si="50"/>
        <v>-5454.1200000000008</v>
      </c>
      <c r="Y80" s="2"/>
      <c r="Z80" s="6">
        <f t="shared" si="51"/>
        <v>-0.3030066666666667</v>
      </c>
    </row>
    <row r="81" spans="1:26" s="24" customFormat="1" hidden="1" outlineLevel="2" x14ac:dyDescent="0.35">
      <c r="A81" s="29"/>
      <c r="B81" s="11" t="str">
        <f>CONCATENATE("          ", "6239", " - ", "KITCHEN SUPPLIES")</f>
        <v xml:space="preserve">          6239 - KITCHEN SUPPLIES</v>
      </c>
      <c r="C81" s="11"/>
      <c r="D81" s="7">
        <v>979.48</v>
      </c>
      <c r="E81" s="2"/>
      <c r="F81" s="6">
        <f t="shared" si="44"/>
        <v>2.5499754629816448E-2</v>
      </c>
      <c r="G81" s="2"/>
      <c r="H81" s="7">
        <v>500</v>
      </c>
      <c r="I81" s="2"/>
      <c r="J81" s="6">
        <f t="shared" si="45"/>
        <v>4.5966444495518267E-3</v>
      </c>
      <c r="K81" s="2"/>
      <c r="L81" s="7">
        <f t="shared" si="46"/>
        <v>479.48</v>
      </c>
      <c r="M81" s="2"/>
      <c r="N81" s="6">
        <f t="shared" si="47"/>
        <v>0.95896000000000003</v>
      </c>
      <c r="O81" s="11"/>
      <c r="P81" s="7">
        <v>5762.96</v>
      </c>
      <c r="Q81" s="2"/>
      <c r="R81" s="6">
        <f t="shared" si="48"/>
        <v>8.8509899316564604E-3</v>
      </c>
      <c r="S81" s="2"/>
      <c r="T81" s="7">
        <v>3000</v>
      </c>
      <c r="U81" s="2"/>
      <c r="V81" s="6">
        <f t="shared" si="49"/>
        <v>3.3194322885604617E-3</v>
      </c>
      <c r="W81" s="2"/>
      <c r="X81" s="7">
        <f t="shared" si="50"/>
        <v>2762.96</v>
      </c>
      <c r="Y81" s="2"/>
      <c r="Z81" s="6">
        <f t="shared" si="51"/>
        <v>0.92098666666666673</v>
      </c>
    </row>
    <row r="82" spans="1:26" s="24" customFormat="1" hidden="1" outlineLevel="2" x14ac:dyDescent="0.35">
      <c r="A82" s="29"/>
      <c r="B82" s="11" t="str">
        <f>CONCATENATE("          ", "6241", " - ", "OFFICE EXPENSE")</f>
        <v xml:space="preserve">          6241 - OFFICE EXPENSE</v>
      </c>
      <c r="C82" s="11"/>
      <c r="D82" s="7">
        <v>979.61</v>
      </c>
      <c r="E82" s="2"/>
      <c r="F82" s="6">
        <f t="shared" si="44"/>
        <v>2.5503139046141311E-2</v>
      </c>
      <c r="G82" s="2"/>
      <c r="H82" s="7">
        <v>150</v>
      </c>
      <c r="I82" s="2"/>
      <c r="J82" s="6">
        <f t="shared" si="45"/>
        <v>1.3789933348655481E-3</v>
      </c>
      <c r="K82" s="2"/>
      <c r="L82" s="7">
        <f t="shared" si="46"/>
        <v>829.61</v>
      </c>
      <c r="M82" s="2"/>
      <c r="N82" s="6">
        <f t="shared" si="47"/>
        <v>5.5307333333333331</v>
      </c>
      <c r="O82" s="11"/>
      <c r="P82" s="7">
        <v>4190.63</v>
      </c>
      <c r="Q82" s="2"/>
      <c r="R82" s="6">
        <f t="shared" si="48"/>
        <v>6.4361411388067094E-3</v>
      </c>
      <c r="S82" s="2"/>
      <c r="T82" s="7">
        <v>1050</v>
      </c>
      <c r="U82" s="2"/>
      <c r="V82" s="6">
        <f t="shared" si="49"/>
        <v>1.1618013009961617E-3</v>
      </c>
      <c r="W82" s="2"/>
      <c r="X82" s="7">
        <f t="shared" si="50"/>
        <v>3140.63</v>
      </c>
      <c r="Y82" s="2"/>
      <c r="Z82" s="6">
        <f t="shared" si="51"/>
        <v>2.9910761904761904</v>
      </c>
    </row>
    <row r="83" spans="1:26" s="24" customFormat="1" hidden="1" outlineLevel="2" x14ac:dyDescent="0.35">
      <c r="A83" s="29"/>
      <c r="B83" s="11" t="str">
        <f>CONCATENATE("          ", "6243", " - ", "PAPER SUPPLIES")</f>
        <v xml:space="preserve">          6243 - PAPER SUPPLIES</v>
      </c>
      <c r="C83" s="11"/>
      <c r="D83" s="7">
        <v>1706.59</v>
      </c>
      <c r="E83" s="2"/>
      <c r="F83" s="6">
        <f t="shared" si="44"/>
        <v>4.4429315814205957E-2</v>
      </c>
      <c r="G83" s="2"/>
      <c r="H83" s="7"/>
      <c r="I83" s="2"/>
      <c r="J83" s="6">
        <f t="shared" si="45"/>
        <v>0</v>
      </c>
      <c r="K83" s="2"/>
      <c r="L83" s="7">
        <f t="shared" si="46"/>
        <v>1706.59</v>
      </c>
      <c r="M83" s="2"/>
      <c r="N83" s="6">
        <f t="shared" si="47"/>
        <v>0</v>
      </c>
      <c r="O83" s="11"/>
      <c r="P83" s="7">
        <v>14043.2</v>
      </c>
      <c r="Q83" s="2"/>
      <c r="R83" s="6">
        <f t="shared" si="48"/>
        <v>2.1568121557018965E-2</v>
      </c>
      <c r="S83" s="2"/>
      <c r="T83" s="7"/>
      <c r="U83" s="2"/>
      <c r="V83" s="6">
        <f t="shared" si="49"/>
        <v>0</v>
      </c>
      <c r="W83" s="2"/>
      <c r="X83" s="7">
        <f t="shared" si="50"/>
        <v>14043.2</v>
      </c>
      <c r="Y83" s="2"/>
      <c r="Z83" s="6">
        <f t="shared" si="51"/>
        <v>0</v>
      </c>
    </row>
    <row r="84" spans="1:26" s="24" customFormat="1" hidden="1" outlineLevel="2" x14ac:dyDescent="0.35">
      <c r="A84" s="29"/>
      <c r="B84" s="11" t="str">
        <f>CONCATENATE("          ", "6244", " - ", "SAFETY SUPPLY EXPENSE")</f>
        <v xml:space="preserve">          6244 - SAFETY SUPPLY EXPENSE</v>
      </c>
      <c r="C84" s="11"/>
      <c r="D84" s="7"/>
      <c r="E84" s="2"/>
      <c r="F84" s="6">
        <f t="shared" si="44"/>
        <v>0</v>
      </c>
      <c r="G84" s="2"/>
      <c r="H84" s="7">
        <v>80</v>
      </c>
      <c r="I84" s="2"/>
      <c r="J84" s="6">
        <f t="shared" si="45"/>
        <v>7.3546311192829237E-4</v>
      </c>
      <c r="K84" s="2"/>
      <c r="L84" s="7">
        <f t="shared" si="46"/>
        <v>-80</v>
      </c>
      <c r="M84" s="2"/>
      <c r="N84" s="6">
        <f t="shared" si="47"/>
        <v>-1</v>
      </c>
      <c r="O84" s="11"/>
      <c r="P84" s="7"/>
      <c r="Q84" s="2"/>
      <c r="R84" s="6">
        <f t="shared" si="48"/>
        <v>0</v>
      </c>
      <c r="S84" s="2"/>
      <c r="T84" s="7">
        <v>240</v>
      </c>
      <c r="U84" s="2"/>
      <c r="V84" s="6">
        <f t="shared" si="49"/>
        <v>2.6555458308483696E-4</v>
      </c>
      <c r="W84" s="2"/>
      <c r="X84" s="7">
        <f t="shared" si="50"/>
        <v>-240</v>
      </c>
      <c r="Y84" s="2"/>
      <c r="Z84" s="6">
        <f t="shared" si="51"/>
        <v>-1</v>
      </c>
    </row>
    <row r="85" spans="1:26" s="24" customFormat="1" hidden="1" outlineLevel="2" x14ac:dyDescent="0.35">
      <c r="A85" s="29"/>
      <c r="B85" s="11" t="str">
        <f>CONCATENATE("          ", "6245", " - ", "PRINTING")</f>
        <v xml:space="preserve">          6245 - PRINTING</v>
      </c>
      <c r="C85" s="11"/>
      <c r="D85" s="7"/>
      <c r="E85" s="2"/>
      <c r="F85" s="6">
        <f t="shared" si="44"/>
        <v>0</v>
      </c>
      <c r="G85" s="2"/>
      <c r="H85" s="7"/>
      <c r="I85" s="2"/>
      <c r="J85" s="6">
        <f t="shared" si="45"/>
        <v>0</v>
      </c>
      <c r="K85" s="2"/>
      <c r="L85" s="7">
        <f t="shared" si="46"/>
        <v>0</v>
      </c>
      <c r="M85" s="2"/>
      <c r="N85" s="6">
        <f t="shared" si="47"/>
        <v>0</v>
      </c>
      <c r="O85" s="11"/>
      <c r="P85" s="7"/>
      <c r="Q85" s="2"/>
      <c r="R85" s="6">
        <f t="shared" si="48"/>
        <v>0</v>
      </c>
      <c r="S85" s="2"/>
      <c r="T85" s="7">
        <v>500</v>
      </c>
      <c r="U85" s="2"/>
      <c r="V85" s="6">
        <f t="shared" si="49"/>
        <v>5.5323871476007692E-4</v>
      </c>
      <c r="W85" s="2"/>
      <c r="X85" s="7">
        <f t="shared" si="50"/>
        <v>-500</v>
      </c>
      <c r="Y85" s="2"/>
      <c r="Z85" s="6">
        <f t="shared" si="51"/>
        <v>-1</v>
      </c>
    </row>
    <row r="86" spans="1:26" s="24" customFormat="1" hidden="1" outlineLevel="2" x14ac:dyDescent="0.35">
      <c r="A86" s="29"/>
      <c r="B86" s="11" t="str">
        <f>CONCATENATE("          ", "6247", " - ", "STORE SUPPLIES")</f>
        <v xml:space="preserve">          6247 - STORE SUPPLIES</v>
      </c>
      <c r="C86" s="11"/>
      <c r="D86" s="7"/>
      <c r="E86" s="2"/>
      <c r="F86" s="6">
        <f t="shared" si="44"/>
        <v>0</v>
      </c>
      <c r="G86" s="2"/>
      <c r="H86" s="7">
        <v>18</v>
      </c>
      <c r="I86" s="2"/>
      <c r="J86" s="6">
        <f t="shared" si="45"/>
        <v>1.6547920018386577E-4</v>
      </c>
      <c r="K86" s="2"/>
      <c r="L86" s="7">
        <f t="shared" si="46"/>
        <v>-18</v>
      </c>
      <c r="M86" s="2"/>
      <c r="N86" s="6">
        <f t="shared" si="47"/>
        <v>-1</v>
      </c>
      <c r="O86" s="11"/>
      <c r="P86" s="7"/>
      <c r="Q86" s="2"/>
      <c r="R86" s="6">
        <f t="shared" si="48"/>
        <v>0</v>
      </c>
      <c r="S86" s="2"/>
      <c r="T86" s="7">
        <v>108</v>
      </c>
      <c r="U86" s="2"/>
      <c r="V86" s="6">
        <f t="shared" si="49"/>
        <v>1.1949956238817663E-4</v>
      </c>
      <c r="W86" s="2"/>
      <c r="X86" s="7">
        <f t="shared" si="50"/>
        <v>-108</v>
      </c>
      <c r="Y86" s="2"/>
      <c r="Z86" s="6">
        <f t="shared" si="51"/>
        <v>-1</v>
      </c>
    </row>
    <row r="87" spans="1:26" s="24" customFormat="1" hidden="1" outlineLevel="2" x14ac:dyDescent="0.35">
      <c r="A87" s="29"/>
      <c r="B87" s="11" t="str">
        <f>CONCATENATE("          ", "6248", " - ", "UNIFORMS")</f>
        <v xml:space="preserve">          6248 - UNIFORMS</v>
      </c>
      <c r="C87" s="11"/>
      <c r="D87" s="7"/>
      <c r="E87" s="2"/>
      <c r="F87" s="6">
        <f t="shared" si="44"/>
        <v>0</v>
      </c>
      <c r="G87" s="2"/>
      <c r="H87" s="7">
        <v>350</v>
      </c>
      <c r="I87" s="2"/>
      <c r="J87" s="6">
        <f t="shared" si="45"/>
        <v>3.2176511146862789E-3</v>
      </c>
      <c r="K87" s="2"/>
      <c r="L87" s="7">
        <f t="shared" si="46"/>
        <v>-350</v>
      </c>
      <c r="M87" s="2"/>
      <c r="N87" s="6">
        <f t="shared" si="47"/>
        <v>-1</v>
      </c>
      <c r="O87" s="11"/>
      <c r="P87" s="7">
        <v>4500.59</v>
      </c>
      <c r="Q87" s="2"/>
      <c r="R87" s="6">
        <f t="shared" si="48"/>
        <v>6.9121903980790692E-3</v>
      </c>
      <c r="S87" s="2"/>
      <c r="T87" s="7">
        <v>2450</v>
      </c>
      <c r="U87" s="2"/>
      <c r="V87" s="6">
        <f t="shared" si="49"/>
        <v>2.7108697023243773E-3</v>
      </c>
      <c r="W87" s="2"/>
      <c r="X87" s="7">
        <f t="shared" si="50"/>
        <v>2050.59</v>
      </c>
      <c r="Y87" s="2"/>
      <c r="Z87" s="6">
        <f t="shared" si="51"/>
        <v>0.83697551020408167</v>
      </c>
    </row>
    <row r="88" spans="1:26" s="28" customFormat="1" outlineLevel="1" collapsed="1" x14ac:dyDescent="0.35">
      <c r="A88" s="27"/>
      <c r="B88" s="14" t="str">
        <f>CONCATENATE("     ","Telephone/Data Lines                              ")</f>
        <v xml:space="preserve">     Telephone/Data Lines                              </v>
      </c>
      <c r="C88" s="14"/>
      <c r="D88" s="1">
        <f>SUM(OSRRefD22_15x_0)</f>
        <v>159</v>
      </c>
      <c r="E88" s="1"/>
      <c r="F88" s="5">
        <f t="shared" ref="F88:F90" si="52">IF(D$12=0,0,D88/D$12)</f>
        <v>4.1394015050239055E-3</v>
      </c>
      <c r="G88" s="1"/>
      <c r="H88" s="1">
        <f>SUM(OSRRefH22_15x_0)</f>
        <v>310</v>
      </c>
      <c r="I88" s="1"/>
      <c r="J88" s="5">
        <f t="shared" ref="J88:J90" si="53">IF(H$12=0,0,H88/H$12)</f>
        <v>2.849919558722133E-3</v>
      </c>
      <c r="K88" s="1"/>
      <c r="L88" s="1">
        <f t="shared" ref="L88:L90" si="54">+D88-H88</f>
        <v>-151</v>
      </c>
      <c r="M88" s="1"/>
      <c r="N88" s="5">
        <f t="shared" ref="N88:N90" si="55">IF(H88=0,0,L88/H88)</f>
        <v>-0.48709677419354841</v>
      </c>
      <c r="O88" s="14"/>
      <c r="P88" s="1">
        <f>SUM(OSRRefP22_15x_0)</f>
        <v>1864</v>
      </c>
      <c r="Q88" s="1"/>
      <c r="R88" s="5">
        <f t="shared" ref="R88:R90" si="56">IF(P$12=0,0,P88/P$12)</f>
        <v>2.8628075212404117E-3</v>
      </c>
      <c r="S88" s="1"/>
      <c r="T88" s="1">
        <f>SUM(OSRRefT22_15x_0)</f>
        <v>2170</v>
      </c>
      <c r="U88" s="1"/>
      <c r="V88" s="5">
        <f t="shared" ref="V88:V90" si="57">IF(T$12=0,0,T88/T$12)</f>
        <v>2.4010560220587341E-3</v>
      </c>
      <c r="W88" s="1"/>
      <c r="X88" s="1">
        <f t="shared" ref="X88:X90" si="58">+P88-T88</f>
        <v>-306</v>
      </c>
      <c r="Y88" s="1"/>
      <c r="Z88" s="5">
        <f t="shared" ref="Z88:Z90" si="59">IF(T88=0,0,X88/T88)</f>
        <v>-0.14101382488479264</v>
      </c>
    </row>
    <row r="89" spans="1:26" s="24" customFormat="1" hidden="1" outlineLevel="2" x14ac:dyDescent="0.35">
      <c r="A89" s="29"/>
      <c r="B89" s="11" t="str">
        <f>CONCATENATE("          ", "6303", " - ", "DATA PHONE LINES")</f>
        <v xml:space="preserve">          6303 - DATA PHONE LINES</v>
      </c>
      <c r="C89" s="11"/>
      <c r="D89" s="7"/>
      <c r="E89" s="2"/>
      <c r="F89" s="6">
        <f t="shared" si="52"/>
        <v>0</v>
      </c>
      <c r="G89" s="2"/>
      <c r="H89" s="7">
        <v>310</v>
      </c>
      <c r="I89" s="2"/>
      <c r="J89" s="6">
        <f t="shared" si="53"/>
        <v>2.849919558722133E-3</v>
      </c>
      <c r="K89" s="2"/>
      <c r="L89" s="7">
        <f t="shared" si="54"/>
        <v>-310</v>
      </c>
      <c r="M89" s="2"/>
      <c r="N89" s="6">
        <f t="shared" si="55"/>
        <v>-1</v>
      </c>
      <c r="O89" s="11"/>
      <c r="P89" s="7"/>
      <c r="Q89" s="2"/>
      <c r="R89" s="6">
        <f t="shared" si="56"/>
        <v>0</v>
      </c>
      <c r="S89" s="2"/>
      <c r="T89" s="7">
        <v>2170</v>
      </c>
      <c r="U89" s="2"/>
      <c r="V89" s="6">
        <f t="shared" si="57"/>
        <v>2.4010560220587341E-3</v>
      </c>
      <c r="W89" s="2"/>
      <c r="X89" s="7">
        <f t="shared" si="58"/>
        <v>-2170</v>
      </c>
      <c r="Y89" s="2"/>
      <c r="Z89" s="6">
        <f t="shared" si="59"/>
        <v>-1</v>
      </c>
    </row>
    <row r="90" spans="1:26" s="24" customFormat="1" hidden="1" outlineLevel="2" x14ac:dyDescent="0.35">
      <c r="A90" s="29"/>
      <c r="B90" s="11" t="str">
        <f>CONCATENATE("          ", "6309", " - ", "TELEPHONE")</f>
        <v xml:space="preserve">          6309 - TELEPHONE</v>
      </c>
      <c r="C90" s="11"/>
      <c r="D90" s="7">
        <v>159</v>
      </c>
      <c r="E90" s="2"/>
      <c r="F90" s="6">
        <f t="shared" si="52"/>
        <v>4.1394015050239055E-3</v>
      </c>
      <c r="G90" s="2"/>
      <c r="H90" s="7"/>
      <c r="I90" s="2"/>
      <c r="J90" s="6">
        <f t="shared" si="53"/>
        <v>0</v>
      </c>
      <c r="K90" s="2"/>
      <c r="L90" s="7">
        <f t="shared" si="54"/>
        <v>159</v>
      </c>
      <c r="M90" s="2"/>
      <c r="N90" s="6">
        <f t="shared" si="55"/>
        <v>0</v>
      </c>
      <c r="O90" s="11"/>
      <c r="P90" s="7">
        <v>1864</v>
      </c>
      <c r="Q90" s="2"/>
      <c r="R90" s="6">
        <f t="shared" si="56"/>
        <v>2.8628075212404117E-3</v>
      </c>
      <c r="S90" s="2"/>
      <c r="T90" s="7"/>
      <c r="U90" s="2"/>
      <c r="V90" s="6">
        <f t="shared" si="57"/>
        <v>0</v>
      </c>
      <c r="W90" s="2"/>
      <c r="X90" s="7">
        <f t="shared" si="58"/>
        <v>1864</v>
      </c>
      <c r="Y90" s="2"/>
      <c r="Z90" s="6">
        <f t="shared" si="59"/>
        <v>0</v>
      </c>
    </row>
    <row r="91" spans="1:26" s="28" customFormat="1" outlineLevel="1" collapsed="1" x14ac:dyDescent="0.35">
      <c r="A91" s="27"/>
      <c r="B91" s="14" t="str">
        <f>CONCATENATE("     ","Training                                          ")</f>
        <v xml:space="preserve">     Training                                          </v>
      </c>
      <c r="C91" s="14"/>
      <c r="D91" s="1">
        <f>SUM(OSRRefD22_16x_0)</f>
        <v>0</v>
      </c>
      <c r="E91" s="1"/>
      <c r="F91" s="5">
        <f t="shared" ref="F91:F92" si="60">IF(D$12=0,0,D91/D$12)</f>
        <v>0</v>
      </c>
      <c r="G91" s="1"/>
      <c r="H91" s="1">
        <f>SUM(OSRRefH22_16x_0)</f>
        <v>350</v>
      </c>
      <c r="I91" s="1"/>
      <c r="J91" s="5">
        <f t="shared" ref="J91:J92" si="61">IF(H$12=0,0,H91/H$12)</f>
        <v>3.2176511146862789E-3</v>
      </c>
      <c r="K91" s="1"/>
      <c r="L91" s="1">
        <f t="shared" ref="L91:L92" si="62">+D91-H91</f>
        <v>-350</v>
      </c>
      <c r="M91" s="1"/>
      <c r="N91" s="5">
        <f t="shared" ref="N91:N92" si="63">IF(H91=0,0,L91/H91)</f>
        <v>-1</v>
      </c>
      <c r="O91" s="14"/>
      <c r="P91" s="1">
        <f>SUM(OSRRefP22_16x_0)</f>
        <v>735</v>
      </c>
      <c r="Q91" s="1"/>
      <c r="R91" s="5">
        <f t="shared" ref="R91:R92" si="64">IF(P$12=0,0,P91/P$12)</f>
        <v>1.1288430944805272E-3</v>
      </c>
      <c r="S91" s="1"/>
      <c r="T91" s="1">
        <f>SUM(OSRRefT22_16x_0)</f>
        <v>2100</v>
      </c>
      <c r="U91" s="1"/>
      <c r="V91" s="5">
        <f t="shared" ref="V91:V92" si="65">IF(T$12=0,0,T91/T$12)</f>
        <v>2.3236026019923233E-3</v>
      </c>
      <c r="W91" s="1"/>
      <c r="X91" s="1">
        <f t="shared" ref="X91:X92" si="66">+P91-T91</f>
        <v>-1365</v>
      </c>
      <c r="Y91" s="1"/>
      <c r="Z91" s="5">
        <f t="shared" ref="Z91:Z92" si="67">IF(T91=0,0,X91/T91)</f>
        <v>-0.65</v>
      </c>
    </row>
    <row r="92" spans="1:26" s="24" customFormat="1" hidden="1" outlineLevel="2" x14ac:dyDescent="0.35">
      <c r="A92" s="29"/>
      <c r="B92" s="11" t="str">
        <f>CONCATENATE("          ", "6376", " - ", "TRAINING")</f>
        <v xml:space="preserve">          6376 - TRAINING</v>
      </c>
      <c r="C92" s="11"/>
      <c r="D92" s="7"/>
      <c r="E92" s="2"/>
      <c r="F92" s="6">
        <f t="shared" si="60"/>
        <v>0</v>
      </c>
      <c r="G92" s="2"/>
      <c r="H92" s="7">
        <v>350</v>
      </c>
      <c r="I92" s="2"/>
      <c r="J92" s="6">
        <f t="shared" si="61"/>
        <v>3.2176511146862789E-3</v>
      </c>
      <c r="K92" s="2"/>
      <c r="L92" s="7">
        <f t="shared" si="62"/>
        <v>-350</v>
      </c>
      <c r="M92" s="2"/>
      <c r="N92" s="6">
        <f t="shared" si="63"/>
        <v>-1</v>
      </c>
      <c r="O92" s="11"/>
      <c r="P92" s="7">
        <v>735</v>
      </c>
      <c r="Q92" s="2"/>
      <c r="R92" s="6">
        <f t="shared" si="64"/>
        <v>1.1288430944805272E-3</v>
      </c>
      <c r="S92" s="2"/>
      <c r="T92" s="7">
        <v>2100</v>
      </c>
      <c r="U92" s="2"/>
      <c r="V92" s="6">
        <f t="shared" si="65"/>
        <v>2.3236026019923233E-3</v>
      </c>
      <c r="W92" s="2"/>
      <c r="X92" s="7">
        <f t="shared" si="66"/>
        <v>-1365</v>
      </c>
      <c r="Y92" s="2"/>
      <c r="Z92" s="6">
        <f t="shared" si="67"/>
        <v>-0.65</v>
      </c>
    </row>
    <row r="93" spans="1:26" s="55" customFormat="1" x14ac:dyDescent="0.3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x14ac:dyDescent="0.35">
      <c r="A94" s="10"/>
      <c r="B94" s="25" t="s">
        <v>0</v>
      </c>
      <c r="C94" s="10"/>
      <c r="D94" s="4">
        <f>SUM(0)</f>
        <v>0</v>
      </c>
      <c r="E94" s="4"/>
      <c r="F94" s="12">
        <f>IF(D$12=0,0,D94/D$12)</f>
        <v>0</v>
      </c>
      <c r="G94" s="4"/>
      <c r="H94" s="4">
        <f>SUM(0)</f>
        <v>0</v>
      </c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>
        <f>SUM(0)</f>
        <v>0</v>
      </c>
      <c r="Q94" s="4"/>
      <c r="R94" s="12">
        <f>IF(P$12=0,0,P94/P$12)</f>
        <v>0</v>
      </c>
      <c r="S94" s="4"/>
      <c r="T94" s="4">
        <f>SUM(0)</f>
        <v>0</v>
      </c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3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35">
      <c r="A96" s="10"/>
      <c r="B96" s="26" t="s">
        <v>3</v>
      </c>
      <c r="C96" s="26"/>
      <c r="D96" s="19">
        <f>+D23-D25+D94</f>
        <v>-62988.929999999993</v>
      </c>
      <c r="E96" s="13"/>
      <c r="F96" s="21">
        <f>IF(D$12=0,0,D96/D$12)</f>
        <v>-1.6398520229046882</v>
      </c>
      <c r="G96" s="13"/>
      <c r="H96" s="19">
        <f>+H23-H25+H94</f>
        <v>-56180.086504461535</v>
      </c>
      <c r="I96" s="13"/>
      <c r="J96" s="21">
        <f>IF(H$12=0,0,H96/H$12)</f>
        <v>-0.51647976561214926</v>
      </c>
      <c r="K96" s="16"/>
      <c r="L96" s="19">
        <f>+D96-H96</f>
        <v>-6808.8434955384582</v>
      </c>
      <c r="M96" s="16"/>
      <c r="N96" s="21">
        <f>IF(H96=0,0,L96/H96)</f>
        <v>0.12119674281736349</v>
      </c>
      <c r="O96" s="25"/>
      <c r="P96" s="19">
        <f>+P23-P25+P94</f>
        <v>-415338.4299999997</v>
      </c>
      <c r="Q96" s="13"/>
      <c r="R96" s="21">
        <f>IF(P$12=0,0,P96/P$12)</f>
        <v>-0.63789376677263054</v>
      </c>
      <c r="S96" s="13"/>
      <c r="T96" s="19">
        <f>+T23-T25+T94</f>
        <v>-218158.06333621172</v>
      </c>
      <c r="U96" s="13"/>
      <c r="V96" s="21">
        <f>IF(T$12=0,0,T96/T$12)</f>
        <v>-0.24138697314934648</v>
      </c>
      <c r="W96" s="16"/>
      <c r="X96" s="19">
        <f>+P96-T96</f>
        <v>-197180.36666378798</v>
      </c>
      <c r="Y96" s="16"/>
      <c r="Z96" s="21">
        <f>IF(T96=0,0,X96/T96)</f>
        <v>0.90384175422343105</v>
      </c>
    </row>
    <row r="97" spans="1:26" x14ac:dyDescent="0.3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35">
      <c r="A98" s="52"/>
      <c r="B98" s="10" t="s">
        <v>14</v>
      </c>
      <c r="C98" s="10"/>
      <c r="D98" s="4">
        <v>4831.49</v>
      </c>
      <c r="E98" s="4"/>
      <c r="F98" s="12">
        <f>IF(D$12=0,0,D98/D$12)</f>
        <v>0.12578287407237704</v>
      </c>
      <c r="G98" s="4"/>
      <c r="H98" s="4">
        <v>6039</v>
      </c>
      <c r="I98" s="4"/>
      <c r="J98" s="12">
        <f>IF(H$12=0,0,H98/H$12)</f>
        <v>5.551827166168697E-2</v>
      </c>
      <c r="K98" s="4"/>
      <c r="L98" s="4">
        <f>+D98-H98</f>
        <v>-1207.5100000000002</v>
      </c>
      <c r="M98" s="4"/>
      <c r="N98" s="12">
        <f>IF(H98=0,0,L98/H98)</f>
        <v>-0.19995197880443785</v>
      </c>
      <c r="O98" s="10"/>
      <c r="P98" s="4">
        <v>118193.53</v>
      </c>
      <c r="Q98" s="4"/>
      <c r="R98" s="12">
        <f>IF(P$12=0,0,P98/P$12)</f>
        <v>0.18152646279289389</v>
      </c>
      <c r="S98" s="4"/>
      <c r="T98" s="4">
        <v>156842</v>
      </c>
      <c r="U98" s="4"/>
      <c r="V98" s="12">
        <f>IF(T$12=0,0,T98/T$12)</f>
        <v>0.17354213300079999</v>
      </c>
      <c r="W98" s="4"/>
      <c r="X98" s="4">
        <f>+P98-T98</f>
        <v>-38648.47</v>
      </c>
      <c r="Y98" s="4"/>
      <c r="Z98" s="12">
        <f>IF(T98=0,0,X98/T98)</f>
        <v>-0.24641658484334553</v>
      </c>
    </row>
    <row r="99" spans="1:26" x14ac:dyDescent="0.3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" thickBot="1" x14ac:dyDescent="0.4">
      <c r="A100" s="10"/>
      <c r="B100" s="26" t="s">
        <v>4</v>
      </c>
      <c r="C100" s="26"/>
      <c r="D100" s="33">
        <f>+D96-D98</f>
        <v>-67820.42</v>
      </c>
      <c r="E100" s="13"/>
      <c r="F100" s="31">
        <f>IF(D$12=0,0,D100/D$12)</f>
        <v>-1.7656348969770654</v>
      </c>
      <c r="G100" s="13"/>
      <c r="H100" s="33">
        <f>+H96-H98</f>
        <v>-62219.086504461535</v>
      </c>
      <c r="I100" s="13"/>
      <c r="J100" s="31">
        <f>IF(H$12=0,0,H100/H$12)</f>
        <v>-0.57199803727383625</v>
      </c>
      <c r="K100" s="16"/>
      <c r="L100" s="33">
        <f>D100-H100</f>
        <v>-5601.3334955384635</v>
      </c>
      <c r="M100" s="16"/>
      <c r="N100" s="31">
        <f>IF(H100=0,0,L100/H100)</f>
        <v>9.0025968078731103E-2</v>
      </c>
      <c r="O100" s="25"/>
      <c r="P100" s="33">
        <f>+P96-P98</f>
        <v>-533531.95999999973</v>
      </c>
      <c r="Q100" s="13"/>
      <c r="R100" s="31">
        <f>IF(P$12=0,0,P100/P$12)</f>
        <v>-0.81942022956552452</v>
      </c>
      <c r="S100" s="13"/>
      <c r="T100" s="33">
        <f>+T96-T98</f>
        <v>-375000.06333621172</v>
      </c>
      <c r="U100" s="13"/>
      <c r="V100" s="31">
        <f>IF(T$12=0,0,T100/T$12)</f>
        <v>-0.41492910615014644</v>
      </c>
      <c r="W100" s="16"/>
      <c r="X100" s="33">
        <f>P100-T100</f>
        <v>-158531.89666378801</v>
      </c>
      <c r="Y100" s="16"/>
      <c r="Z100" s="31">
        <f>IF(T100=0,0,X100/T100)</f>
        <v>0.42275165303546614</v>
      </c>
    </row>
    <row r="101" spans="1:26" ht="15" thickTop="1" x14ac:dyDescent="0.3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3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" thickBot="1" x14ac:dyDescent="0.4">
      <c r="A103" s="10"/>
      <c r="B103" s="26" t="s">
        <v>5</v>
      </c>
      <c r="C103" s="26"/>
      <c r="D103" s="34">
        <f>SUM(D100:D102)</f>
        <v>-67820.42</v>
      </c>
      <c r="E103" s="13"/>
      <c r="F103" s="32">
        <f>IF(D$12=0,0,D103/D$12)</f>
        <v>-1.7656348969770654</v>
      </c>
      <c r="G103" s="13"/>
      <c r="H103" s="34">
        <f>SUM(H100:H102)</f>
        <v>-62219.086504461535</v>
      </c>
      <c r="I103" s="13"/>
      <c r="J103" s="32">
        <f>IF(H$12=0,0,H103/H$12)</f>
        <v>-0.57199803727383625</v>
      </c>
      <c r="K103" s="16"/>
      <c r="L103" s="34">
        <f>+D103-H103</f>
        <v>-5601.3334955384635</v>
      </c>
      <c r="M103" s="16"/>
      <c r="N103" s="32">
        <f>IF(H103=0,0,L103/H103)</f>
        <v>9.0025968078731103E-2</v>
      </c>
      <c r="O103" s="25"/>
      <c r="P103" s="34">
        <f>SUM(P100:P102)</f>
        <v>-533531.95999999973</v>
      </c>
      <c r="Q103" s="13"/>
      <c r="R103" s="32">
        <f>IF(P$12=0,0,P103/P$12)</f>
        <v>-0.81942022956552452</v>
      </c>
      <c r="S103" s="13"/>
      <c r="T103" s="34">
        <f>SUM(T100:T102)</f>
        <v>-375000.06333621172</v>
      </c>
      <c r="U103" s="13"/>
      <c r="V103" s="32">
        <f>IF(T$12=0,0,T103/T$12)</f>
        <v>-0.41492910615014644</v>
      </c>
      <c r="W103" s="16"/>
      <c r="X103" s="34">
        <f>+P103-T103</f>
        <v>-158531.89666378801</v>
      </c>
      <c r="Y103" s="16"/>
      <c r="Z103" s="32">
        <f>IF(T103=0,0,X103/T103)</f>
        <v>0.42275165303546614</v>
      </c>
    </row>
    <row r="104" spans="1:26" ht="15" thickTop="1" x14ac:dyDescent="0.35">
      <c r="A104" s="9"/>
      <c r="C104" s="9"/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35">
      <c r="A105" s="9"/>
      <c r="B105" s="60">
        <v>44238.490873379633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35">
      <c r="A106" s="9"/>
      <c r="B106" s="59" t="s">
        <v>314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35">
      <c r="A107" s="9"/>
      <c r="B107" s="58"/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35"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","450", " - ", "Beachside Dining Hall")</f>
        <v>Department 450 - Beachside Dining Hall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39840</v>
      </c>
      <c r="I12" s="4"/>
      <c r="J12" s="12"/>
      <c r="K12" s="4"/>
      <c r="L12" s="4">
        <f t="shared" ref="L12:L14" si="0">+D12-H12</f>
        <v>-39840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305933</v>
      </c>
      <c r="U12" s="4"/>
      <c r="V12" s="12"/>
      <c r="W12" s="4"/>
      <c r="X12" s="4">
        <f t="shared" ref="X12:X14" si="2">+P12-T12</f>
        <v>-305933</v>
      </c>
      <c r="Y12" s="4"/>
      <c r="Z12" s="12">
        <f t="shared" ref="Z12:Z14" si="3">IF(T12=0,0,X12/T12)</f>
        <v>-1</v>
      </c>
    </row>
    <row r="13" spans="1:26" s="24" customFormat="1" hidden="1" outlineLevel="1" x14ac:dyDescent="0.3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 t="shared" ref="D13:D14" si="4">0</f>
        <v>0</v>
      </c>
      <c r="E13" s="2"/>
      <c r="F13" s="22"/>
      <c r="G13" s="2"/>
      <c r="H13" s="2">
        <v>39840</v>
      </c>
      <c r="I13" s="2"/>
      <c r="J13" s="22"/>
      <c r="K13" s="2"/>
      <c r="L13" s="2">
        <f t="shared" si="0"/>
        <v>-39840</v>
      </c>
      <c r="M13" s="2"/>
      <c r="N13" s="22">
        <f t="shared" si="1"/>
        <v>-1</v>
      </c>
      <c r="O13" s="11"/>
      <c r="P13" s="2">
        <f t="shared" ref="P13:P14" si="5">0</f>
        <v>0</v>
      </c>
      <c r="Q13" s="2"/>
      <c r="R13" s="22"/>
      <c r="S13" s="2"/>
      <c r="T13" s="2">
        <v>305933</v>
      </c>
      <c r="U13" s="2"/>
      <c r="V13" s="22"/>
      <c r="W13" s="2"/>
      <c r="X13" s="2">
        <f t="shared" si="2"/>
        <v>-305933</v>
      </c>
      <c r="Y13" s="2"/>
      <c r="Z13" s="22">
        <f t="shared" si="3"/>
        <v>-1</v>
      </c>
    </row>
    <row r="14" spans="1:26" s="24" customFormat="1" hidden="1" outlineLevel="1" x14ac:dyDescent="0.35">
      <c r="A14" s="51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 t="shared" si="5"/>
        <v>0</v>
      </c>
      <c r="Q14" s="2"/>
      <c r="R14" s="22"/>
      <c r="S14" s="2"/>
      <c r="T14" s="2"/>
      <c r="U14" s="2"/>
      <c r="V14" s="22"/>
      <c r="W14" s="2"/>
      <c r="X14" s="2">
        <f t="shared" si="2"/>
        <v>0</v>
      </c>
      <c r="Y14" s="2"/>
      <c r="Z14" s="22">
        <f t="shared" si="3"/>
        <v>0</v>
      </c>
    </row>
    <row r="15" spans="1:26" x14ac:dyDescent="0.3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11952</v>
      </c>
      <c r="I16" s="4"/>
      <c r="J16" s="12">
        <f t="shared" ref="J16:J17" si="7">IF(H$12=0,0,H16/H$12)</f>
        <v>0.3</v>
      </c>
      <c r="K16" s="4"/>
      <c r="L16" s="4">
        <f t="shared" ref="L16:L17" si="8">+D16-H16</f>
        <v>-11952</v>
      </c>
      <c r="M16" s="4"/>
      <c r="N16" s="12">
        <f t="shared" ref="N16:N17" si="9">IF(H16=0,0,L16/H16)</f>
        <v>-1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82949</v>
      </c>
      <c r="U16" s="4"/>
      <c r="V16" s="12">
        <f t="shared" ref="V16:V17" si="11">IF(T$12=0,0,T16/T$12)</f>
        <v>0.27113452945579586</v>
      </c>
      <c r="W16" s="4"/>
      <c r="X16" s="4">
        <f t="shared" ref="X16:X17" si="12">+P16-T16</f>
        <v>-82949</v>
      </c>
      <c r="Y16" s="4"/>
      <c r="Z16" s="12">
        <f t="shared" ref="Z16:Z17" si="13">IF(T16=0,0,X16/T16)</f>
        <v>-1</v>
      </c>
    </row>
    <row r="17" spans="1:26" s="24" customFormat="1" hidden="1" outlineLevel="1" x14ac:dyDescent="0.3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11952</v>
      </c>
      <c r="I17" s="2"/>
      <c r="J17" s="22">
        <f t="shared" si="7"/>
        <v>0.3</v>
      </c>
      <c r="K17" s="2"/>
      <c r="L17" s="2">
        <f t="shared" si="8"/>
        <v>-11952</v>
      </c>
      <c r="M17" s="2"/>
      <c r="N17" s="22">
        <f t="shared" si="9"/>
        <v>-1</v>
      </c>
      <c r="O17" s="11"/>
      <c r="P17" s="2"/>
      <c r="Q17" s="2"/>
      <c r="R17" s="22">
        <f t="shared" si="10"/>
        <v>0</v>
      </c>
      <c r="S17" s="2"/>
      <c r="T17" s="2">
        <v>82949</v>
      </c>
      <c r="U17" s="2"/>
      <c r="V17" s="22">
        <f t="shared" si="11"/>
        <v>0.27113452945579586</v>
      </c>
      <c r="W17" s="2"/>
      <c r="X17" s="2">
        <f t="shared" si="12"/>
        <v>-82949</v>
      </c>
      <c r="Y17" s="2"/>
      <c r="Z17" s="22">
        <f t="shared" si="13"/>
        <v>-1</v>
      </c>
    </row>
    <row r="18" spans="1:26" x14ac:dyDescent="0.3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35">
      <c r="A19" s="10"/>
      <c r="B19" s="26" t="s">
        <v>6</v>
      </c>
      <c r="C19" s="26"/>
      <c r="D19" s="19">
        <f>D12-D16</f>
        <v>0</v>
      </c>
      <c r="E19" s="13"/>
      <c r="F19" s="21">
        <f>IF(D$12=0,0,D19/D$12)</f>
        <v>0</v>
      </c>
      <c r="G19" s="13"/>
      <c r="H19" s="19">
        <f>H12-H16</f>
        <v>27888</v>
      </c>
      <c r="I19" s="13"/>
      <c r="J19" s="21">
        <f>IF(H$12=0,0,H19/H$12)</f>
        <v>0.7</v>
      </c>
      <c r="K19" s="16"/>
      <c r="L19" s="19">
        <f>+D19-H19</f>
        <v>-27888</v>
      </c>
      <c r="M19" s="16"/>
      <c r="N19" s="21">
        <f>IF(H19=0,0,L19/H19)</f>
        <v>-1</v>
      </c>
      <c r="O19" s="25"/>
      <c r="P19" s="19">
        <f>P12-P16</f>
        <v>0</v>
      </c>
      <c r="Q19" s="13"/>
      <c r="R19" s="21">
        <f>IF(P$12=0,0,P19/P$12)</f>
        <v>0</v>
      </c>
      <c r="S19" s="13"/>
      <c r="T19" s="19">
        <f>T12-T16</f>
        <v>222984</v>
      </c>
      <c r="U19" s="13"/>
      <c r="V19" s="21">
        <f>IF(T$12=0,0,T19/T$12)</f>
        <v>0.72886547054420414</v>
      </c>
      <c r="W19" s="16"/>
      <c r="X19" s="19">
        <f>+P19-T19</f>
        <v>-222984</v>
      </c>
      <c r="Y19" s="16"/>
      <c r="Z19" s="21">
        <f>IF(T19=0,0,X19/T19)</f>
        <v>-1</v>
      </c>
    </row>
    <row r="20" spans="1:26" x14ac:dyDescent="0.3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35">
      <c r="A21" s="10"/>
      <c r="B21" s="25" t="s">
        <v>9</v>
      </c>
      <c r="C21" s="10"/>
      <c r="D21" s="20">
        <f>SUM(OSRRefD22x_0)</f>
        <v>41216.369999999995</v>
      </c>
      <c r="E21" s="20"/>
      <c r="F21" s="30">
        <f t="shared" ref="F21:F32" si="14">IF(D$12=0,0,D21/D$12)</f>
        <v>0</v>
      </c>
      <c r="G21" s="20"/>
      <c r="H21" s="20">
        <f>SUM(OSRRefH22x_0)</f>
        <v>102146.01583823455</v>
      </c>
      <c r="I21" s="20"/>
      <c r="J21" s="30">
        <f t="shared" ref="J21:J32" si="15">IF(H$12=0,0,H21/H$12)</f>
        <v>2.5639060200360078</v>
      </c>
      <c r="K21" s="4"/>
      <c r="L21" s="20">
        <f t="shared" ref="L21:L32" si="16">+D21-H21</f>
        <v>-60929.645838234559</v>
      </c>
      <c r="M21" s="4"/>
      <c r="N21" s="30">
        <f t="shared" ref="N21:N32" si="17">IF(H21=0,0,L21/H21)</f>
        <v>-0.59649556899729628</v>
      </c>
      <c r="O21" s="10"/>
      <c r="P21" s="20">
        <f>SUM(OSRRefP22x_0)</f>
        <v>290086.99999999988</v>
      </c>
      <c r="Q21" s="20"/>
      <c r="R21" s="30">
        <f t="shared" ref="R21:R32" si="18">IF(P$12=0,0,P21/P$12)</f>
        <v>0</v>
      </c>
      <c r="S21" s="20"/>
      <c r="T21" s="20">
        <f>SUM(OSRRefT22x_0)</f>
        <v>643110.93838455423</v>
      </c>
      <c r="U21" s="20"/>
      <c r="V21" s="30">
        <f t="shared" ref="V21:V32" si="19">IF(T$12=0,0,T21/T$12)</f>
        <v>2.1021300035777579</v>
      </c>
      <c r="W21" s="4"/>
      <c r="X21" s="20">
        <f t="shared" ref="X21:X32" si="20">+P21-T21</f>
        <v>-353023.93838455435</v>
      </c>
      <c r="Y21" s="4"/>
      <c r="Z21" s="30">
        <f t="shared" ref="Z21:Z32" si="21">IF(T21=0,0,X21/T21)</f>
        <v>-0.5489316342081253</v>
      </c>
    </row>
    <row r="22" spans="1:26" s="28" customFormat="1" outlineLevel="1" collapsed="1" x14ac:dyDescent="0.3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18049.039999999997</v>
      </c>
      <c r="E22" s="1"/>
      <c r="F22" s="5">
        <f t="shared" si="14"/>
        <v>0</v>
      </c>
      <c r="G22" s="1"/>
      <c r="H22" s="1">
        <f>SUM(OSRRefH22_0x_0)</f>
        <v>34014.953390157651</v>
      </c>
      <c r="I22" s="1"/>
      <c r="J22" s="5">
        <f t="shared" si="15"/>
        <v>0.85378899071680847</v>
      </c>
      <c r="K22" s="1"/>
      <c r="L22" s="1">
        <f t="shared" si="16"/>
        <v>-15965.913390157653</v>
      </c>
      <c r="M22" s="1"/>
      <c r="N22" s="5">
        <f t="shared" si="17"/>
        <v>-0.46937925232546246</v>
      </c>
      <c r="O22" s="14"/>
      <c r="P22" s="1">
        <f>SUM(OSRRefP22_0x_0)</f>
        <v>136445.60999999999</v>
      </c>
      <c r="Q22" s="1"/>
      <c r="R22" s="5">
        <f t="shared" si="18"/>
        <v>0</v>
      </c>
      <c r="S22" s="1"/>
      <c r="T22" s="1">
        <f>SUM(OSRRefT22_0x_0)</f>
        <v>214108.94995647742</v>
      </c>
      <c r="U22" s="1"/>
      <c r="V22" s="5">
        <f t="shared" si="19"/>
        <v>0.69985568721412017</v>
      </c>
      <c r="W22" s="1"/>
      <c r="X22" s="1">
        <f t="shared" si="20"/>
        <v>-77663.33995647743</v>
      </c>
      <c r="Y22" s="1"/>
      <c r="Z22" s="5">
        <f t="shared" si="21"/>
        <v>-0.36272813430855783</v>
      </c>
    </row>
    <row r="23" spans="1:26" s="24" customFormat="1" hidden="1" outlineLevel="2" x14ac:dyDescent="0.35">
      <c r="A23" s="29"/>
      <c r="B23" s="11" t="str">
        <f>CONCATENATE("          ", "6111", " - ", "F.I.C.A.")</f>
        <v xml:space="preserve">          6111 - F.I.C.A.</v>
      </c>
      <c r="C23" s="11"/>
      <c r="D23" s="7">
        <v>1610.27</v>
      </c>
      <c r="E23" s="2"/>
      <c r="F23" s="6">
        <f t="shared" si="14"/>
        <v>0</v>
      </c>
      <c r="G23" s="2"/>
      <c r="H23" s="7">
        <v>3297.1691287153799</v>
      </c>
      <c r="I23" s="2"/>
      <c r="J23" s="6">
        <f t="shared" si="15"/>
        <v>8.2760269295064762E-2</v>
      </c>
      <c r="K23" s="2"/>
      <c r="L23" s="7">
        <f t="shared" si="16"/>
        <v>-1686.8991287153799</v>
      </c>
      <c r="M23" s="2"/>
      <c r="N23" s="6">
        <f t="shared" si="17"/>
        <v>-0.51162044252568195</v>
      </c>
      <c r="O23" s="11"/>
      <c r="P23" s="7">
        <v>11864.9</v>
      </c>
      <c r="Q23" s="2"/>
      <c r="R23" s="6">
        <f t="shared" si="18"/>
        <v>0</v>
      </c>
      <c r="S23" s="2"/>
      <c r="T23" s="7">
        <v>20805.96609803538</v>
      </c>
      <c r="U23" s="2"/>
      <c r="V23" s="6">
        <f t="shared" si="19"/>
        <v>6.8008243955491501E-2</v>
      </c>
      <c r="W23" s="2"/>
      <c r="X23" s="7">
        <f t="shared" si="20"/>
        <v>-8941.0660980353805</v>
      </c>
      <c r="Y23" s="2"/>
      <c r="Z23" s="6">
        <f t="shared" si="21"/>
        <v>-0.42973568523115335</v>
      </c>
    </row>
    <row r="24" spans="1:26" s="24" customFormat="1" hidden="1" outlineLevel="2" x14ac:dyDescent="0.35">
      <c r="A24" s="29"/>
      <c r="B24" s="11" t="str">
        <f>CONCATENATE("          ", "6112", " - ", "COMPENSATION INSURANCE")</f>
        <v xml:space="preserve">          6112 - COMPENSATION INSURANCE</v>
      </c>
      <c r="C24" s="11"/>
      <c r="D24" s="7">
        <v>365.63</v>
      </c>
      <c r="E24" s="2"/>
      <c r="F24" s="6">
        <f t="shared" si="14"/>
        <v>0</v>
      </c>
      <c r="G24" s="2"/>
      <c r="H24" s="7">
        <v>2284.3141942500001</v>
      </c>
      <c r="I24" s="2"/>
      <c r="J24" s="6">
        <f t="shared" si="15"/>
        <v>5.7337203670933735E-2</v>
      </c>
      <c r="K24" s="2"/>
      <c r="L24" s="7">
        <f t="shared" si="16"/>
        <v>-1918.68419425</v>
      </c>
      <c r="M24" s="2"/>
      <c r="N24" s="6">
        <f t="shared" si="17"/>
        <v>-0.83993883112911882</v>
      </c>
      <c r="O24" s="11"/>
      <c r="P24" s="7">
        <v>6557.72</v>
      </c>
      <c r="Q24" s="2"/>
      <c r="R24" s="6">
        <f t="shared" si="18"/>
        <v>0</v>
      </c>
      <c r="S24" s="2"/>
      <c r="T24" s="7">
        <v>13983.60296685</v>
      </c>
      <c r="U24" s="2"/>
      <c r="V24" s="6">
        <f t="shared" si="19"/>
        <v>4.5708056884513931E-2</v>
      </c>
      <c r="W24" s="2"/>
      <c r="X24" s="7">
        <f t="shared" si="20"/>
        <v>-7425.8829668499993</v>
      </c>
      <c r="Y24" s="2"/>
      <c r="Z24" s="6">
        <f t="shared" si="21"/>
        <v>-0.53104217735972969</v>
      </c>
    </row>
    <row r="25" spans="1:26" s="24" customFormat="1" hidden="1" outlineLevel="2" x14ac:dyDescent="0.35">
      <c r="A25" s="29"/>
      <c r="B25" s="11" t="str">
        <f>CONCATENATE("          ", "6113", " - ", "GROUP INSURANCE")</f>
        <v xml:space="preserve">          6113 - GROUP INSURANCE</v>
      </c>
      <c r="C25" s="11"/>
      <c r="D25" s="7">
        <v>12477.9</v>
      </c>
      <c r="E25" s="2"/>
      <c r="F25" s="6">
        <f t="shared" si="14"/>
        <v>0</v>
      </c>
      <c r="G25" s="2"/>
      <c r="H25" s="7">
        <v>23148.461538461499</v>
      </c>
      <c r="I25" s="2"/>
      <c r="J25" s="6">
        <f t="shared" si="15"/>
        <v>0.58103568118628257</v>
      </c>
      <c r="K25" s="2"/>
      <c r="L25" s="7">
        <f t="shared" si="16"/>
        <v>-10670.561538461499</v>
      </c>
      <c r="M25" s="2"/>
      <c r="N25" s="6">
        <f t="shared" si="17"/>
        <v>-0.46096201774498963</v>
      </c>
      <c r="O25" s="11"/>
      <c r="P25" s="7">
        <v>88179.5</v>
      </c>
      <c r="Q25" s="2"/>
      <c r="R25" s="6">
        <f t="shared" si="18"/>
        <v>0</v>
      </c>
      <c r="S25" s="2"/>
      <c r="T25" s="7">
        <v>146688.4615384613</v>
      </c>
      <c r="U25" s="2"/>
      <c r="V25" s="6">
        <f t="shared" si="19"/>
        <v>0.47947904128832552</v>
      </c>
      <c r="W25" s="2"/>
      <c r="X25" s="7">
        <f t="shared" si="20"/>
        <v>-58508.961538461299</v>
      </c>
      <c r="Y25" s="2"/>
      <c r="Z25" s="6">
        <f t="shared" si="21"/>
        <v>-0.39886546579616566</v>
      </c>
    </row>
    <row r="26" spans="1:26" s="24" customFormat="1" hidden="1" outlineLevel="2" x14ac:dyDescent="0.3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7">
        <v>108.72</v>
      </c>
      <c r="E26" s="2"/>
      <c r="F26" s="6">
        <f t="shared" si="14"/>
        <v>0</v>
      </c>
      <c r="G26" s="2"/>
      <c r="H26" s="7">
        <v>138.4432845</v>
      </c>
      <c r="I26" s="2"/>
      <c r="J26" s="6">
        <f t="shared" si="15"/>
        <v>3.4749820406626509E-3</v>
      </c>
      <c r="K26" s="2"/>
      <c r="L26" s="7">
        <f t="shared" si="16"/>
        <v>-29.723284500000005</v>
      </c>
      <c r="M26" s="2"/>
      <c r="N26" s="6">
        <f t="shared" si="17"/>
        <v>-0.21469647016356366</v>
      </c>
      <c r="O26" s="11"/>
      <c r="P26" s="7">
        <v>406.1</v>
      </c>
      <c r="Q26" s="2"/>
      <c r="R26" s="6">
        <f t="shared" si="18"/>
        <v>0</v>
      </c>
      <c r="S26" s="2"/>
      <c r="T26" s="7">
        <v>847.49108889999991</v>
      </c>
      <c r="U26" s="2"/>
      <c r="V26" s="6">
        <f t="shared" si="19"/>
        <v>2.7701852657281167E-3</v>
      </c>
      <c r="W26" s="2"/>
      <c r="X26" s="7">
        <f t="shared" si="20"/>
        <v>-441.39108889999989</v>
      </c>
      <c r="Y26" s="2"/>
      <c r="Z26" s="6">
        <f t="shared" si="21"/>
        <v>-0.52082092033900074</v>
      </c>
    </row>
    <row r="27" spans="1:26" s="24" customFormat="1" hidden="1" outlineLevel="2" x14ac:dyDescent="0.35">
      <c r="A27" s="29"/>
      <c r="B27" s="11" t="str">
        <f>CONCATENATE("          ", "6115", " - ", "P.E.R.S.")</f>
        <v xml:space="preserve">          6115 - P.E.R.S.</v>
      </c>
      <c r="C27" s="11"/>
      <c r="D27" s="7">
        <v>736.72</v>
      </c>
      <c r="E27" s="2"/>
      <c r="F27" s="6">
        <f t="shared" si="14"/>
        <v>0</v>
      </c>
      <c r="G27" s="2"/>
      <c r="H27" s="7">
        <v>1010.2105769230799</v>
      </c>
      <c r="I27" s="2"/>
      <c r="J27" s="6">
        <f t="shared" si="15"/>
        <v>2.5356691187828309E-2</v>
      </c>
      <c r="K27" s="2"/>
      <c r="L27" s="7">
        <f t="shared" si="16"/>
        <v>-273.49057692307986</v>
      </c>
      <c r="M27" s="2"/>
      <c r="N27" s="6">
        <f t="shared" si="17"/>
        <v>-0.27072630515915114</v>
      </c>
      <c r="O27" s="11"/>
      <c r="P27" s="7">
        <v>4007.9</v>
      </c>
      <c r="Q27" s="2"/>
      <c r="R27" s="6">
        <f t="shared" si="18"/>
        <v>0</v>
      </c>
      <c r="S27" s="2"/>
      <c r="T27" s="7">
        <v>6263.3055769230878</v>
      </c>
      <c r="U27" s="2"/>
      <c r="V27" s="6">
        <f t="shared" si="19"/>
        <v>2.0472801485694869E-2</v>
      </c>
      <c r="W27" s="2"/>
      <c r="X27" s="7">
        <f t="shared" si="20"/>
        <v>-2255.4055769230877</v>
      </c>
      <c r="Y27" s="2"/>
      <c r="Z27" s="6">
        <f t="shared" si="21"/>
        <v>-0.36009828184545939</v>
      </c>
    </row>
    <row r="28" spans="1:26" s="24" customFormat="1" hidden="1" outlineLevel="2" x14ac:dyDescent="0.35">
      <c r="A28" s="29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35">
      <c r="A29" s="29"/>
      <c r="B29" s="11" t="str">
        <f>CONCATENATE("          ", "6117", " - ", "RETIREMENT STAFF HOURLY")</f>
        <v xml:space="preserve">          6117 - RETIREMENT STAFF HOURLY</v>
      </c>
      <c r="C29" s="11"/>
      <c r="D29" s="7">
        <v>551.29999999999995</v>
      </c>
      <c r="E29" s="2"/>
      <c r="F29" s="6">
        <f t="shared" si="14"/>
        <v>0</v>
      </c>
      <c r="G29" s="2"/>
      <c r="H29" s="7"/>
      <c r="I29" s="2"/>
      <c r="J29" s="6">
        <f t="shared" si="15"/>
        <v>0</v>
      </c>
      <c r="K29" s="2"/>
      <c r="L29" s="7">
        <f t="shared" si="16"/>
        <v>551.29999999999995</v>
      </c>
      <c r="M29" s="2"/>
      <c r="N29" s="6">
        <f t="shared" si="17"/>
        <v>0</v>
      </c>
      <c r="O29" s="11"/>
      <c r="P29" s="7">
        <v>3999.79</v>
      </c>
      <c r="Q29" s="2"/>
      <c r="R29" s="6">
        <f t="shared" si="18"/>
        <v>0</v>
      </c>
      <c r="S29" s="2"/>
      <c r="T29" s="7"/>
      <c r="U29" s="2"/>
      <c r="V29" s="6">
        <f t="shared" si="19"/>
        <v>0</v>
      </c>
      <c r="W29" s="2"/>
      <c r="X29" s="7">
        <f t="shared" si="20"/>
        <v>3999.79</v>
      </c>
      <c r="Y29" s="2"/>
      <c r="Z29" s="6">
        <f t="shared" si="21"/>
        <v>0</v>
      </c>
    </row>
    <row r="30" spans="1:26" s="24" customFormat="1" hidden="1" outlineLevel="2" x14ac:dyDescent="0.35">
      <c r="A30" s="29"/>
      <c r="B30" s="11" t="str">
        <f>CONCATENATE("          ", "6118", " - ", "VACATION")</f>
        <v xml:space="preserve">          6118 - VACATION</v>
      </c>
      <c r="C30" s="11"/>
      <c r="D30" s="7">
        <v>1248.1600000000001</v>
      </c>
      <c r="E30" s="2"/>
      <c r="F30" s="6">
        <f t="shared" si="14"/>
        <v>0</v>
      </c>
      <c r="G30" s="2"/>
      <c r="H30" s="7">
        <v>2428.9994615384599</v>
      </c>
      <c r="I30" s="2"/>
      <c r="J30" s="6">
        <f t="shared" si="15"/>
        <v>6.0968861986407122E-2</v>
      </c>
      <c r="K30" s="2"/>
      <c r="L30" s="7">
        <f t="shared" si="16"/>
        <v>-1180.8394615384598</v>
      </c>
      <c r="M30" s="2"/>
      <c r="N30" s="6">
        <f t="shared" si="17"/>
        <v>-0.48614233153866132</v>
      </c>
      <c r="O30" s="11"/>
      <c r="P30" s="7">
        <v>9258.2099999999991</v>
      </c>
      <c r="Q30" s="2"/>
      <c r="R30" s="6">
        <f t="shared" si="18"/>
        <v>0</v>
      </c>
      <c r="S30" s="2"/>
      <c r="T30" s="7">
        <v>15059.796661538459</v>
      </c>
      <c r="U30" s="2"/>
      <c r="V30" s="6">
        <f t="shared" si="19"/>
        <v>4.9225799967765688E-2</v>
      </c>
      <c r="W30" s="2"/>
      <c r="X30" s="7">
        <f t="shared" si="20"/>
        <v>-5801.5866615384602</v>
      </c>
      <c r="Y30" s="2"/>
      <c r="Z30" s="6">
        <f t="shared" si="21"/>
        <v>-0.38523671945420473</v>
      </c>
    </row>
    <row r="31" spans="1:26" s="24" customFormat="1" hidden="1" outlineLevel="2" x14ac:dyDescent="0.35">
      <c r="A31" s="29"/>
      <c r="B31" s="11" t="str">
        <f>CONCATENATE("          ", "6119", " - ", "SICK LEAVE")</f>
        <v xml:space="preserve">          6119 - SICK LEAVE</v>
      </c>
      <c r="C31" s="11"/>
      <c r="D31" s="7">
        <v>950.34</v>
      </c>
      <c r="E31" s="2"/>
      <c r="F31" s="6">
        <f t="shared" si="14"/>
        <v>0</v>
      </c>
      <c r="G31" s="2"/>
      <c r="H31" s="7">
        <v>1707.35520576923</v>
      </c>
      <c r="I31" s="2"/>
      <c r="J31" s="6">
        <f t="shared" si="15"/>
        <v>4.2855301349629268E-2</v>
      </c>
      <c r="K31" s="2"/>
      <c r="L31" s="7">
        <f t="shared" si="16"/>
        <v>-757.01520576922996</v>
      </c>
      <c r="M31" s="2"/>
      <c r="N31" s="6">
        <f t="shared" si="17"/>
        <v>-0.44338471760957621</v>
      </c>
      <c r="O31" s="11"/>
      <c r="P31" s="7">
        <v>7102.71</v>
      </c>
      <c r="Q31" s="2"/>
      <c r="R31" s="6">
        <f t="shared" si="18"/>
        <v>0</v>
      </c>
      <c r="S31" s="2"/>
      <c r="T31" s="7">
        <v>10460.326025769209</v>
      </c>
      <c r="U31" s="2"/>
      <c r="V31" s="6">
        <f t="shared" si="19"/>
        <v>3.4191558366600559E-2</v>
      </c>
      <c r="W31" s="2"/>
      <c r="X31" s="7">
        <f t="shared" si="20"/>
        <v>-3357.616025769209</v>
      </c>
      <c r="Y31" s="2"/>
      <c r="Z31" s="6">
        <f t="shared" si="21"/>
        <v>-0.32098579121699067</v>
      </c>
    </row>
    <row r="32" spans="1:26" s="24" customFormat="1" hidden="1" outlineLevel="2" x14ac:dyDescent="0.35">
      <c r="A32" s="29"/>
      <c r="B32" s="11" t="str">
        <f>CONCATENATE("          ", "6156", " - ", "EMPLOYEE MEALS")</f>
        <v xml:space="preserve">          6156 - EMPLOYEE MEALS</v>
      </c>
      <c r="C32" s="11"/>
      <c r="D32" s="7"/>
      <c r="E32" s="2"/>
      <c r="F32" s="6">
        <f t="shared" si="14"/>
        <v>0</v>
      </c>
      <c r="G32" s="2"/>
      <c r="H32" s="7"/>
      <c r="I32" s="2"/>
      <c r="J32" s="6">
        <f t="shared" si="15"/>
        <v>0</v>
      </c>
      <c r="K32" s="2"/>
      <c r="L32" s="7">
        <f t="shared" si="16"/>
        <v>0</v>
      </c>
      <c r="M32" s="2"/>
      <c r="N32" s="6">
        <f t="shared" si="17"/>
        <v>0</v>
      </c>
      <c r="O32" s="11"/>
      <c r="P32" s="7">
        <v>5068.78</v>
      </c>
      <c r="Q32" s="2"/>
      <c r="R32" s="6">
        <f t="shared" si="18"/>
        <v>0</v>
      </c>
      <c r="S32" s="2"/>
      <c r="T32" s="7"/>
      <c r="U32" s="2"/>
      <c r="V32" s="6">
        <f t="shared" si="19"/>
        <v>0</v>
      </c>
      <c r="W32" s="2"/>
      <c r="X32" s="7">
        <f t="shared" si="20"/>
        <v>5068.78</v>
      </c>
      <c r="Y32" s="2"/>
      <c r="Z32" s="6">
        <f t="shared" si="21"/>
        <v>0</v>
      </c>
    </row>
    <row r="33" spans="1:26" s="28" customFormat="1" outlineLevel="1" collapsed="1" x14ac:dyDescent="0.35">
      <c r="A33" s="27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21011.260000000002</v>
      </c>
      <c r="E33" s="1"/>
      <c r="F33" s="5">
        <f t="shared" ref="F33:F43" si="22">IF(D$12=0,0,D33/D$12)</f>
        <v>0</v>
      </c>
      <c r="G33" s="1"/>
      <c r="H33" s="1">
        <f>SUM(OSRRefH22_1x_0)</f>
        <v>49111.062448076904</v>
      </c>
      <c r="I33" s="1"/>
      <c r="J33" s="5">
        <f t="shared" ref="J33:J43" si="23">IF(H$12=0,0,H33/H$12)</f>
        <v>1.2327073907649826</v>
      </c>
      <c r="K33" s="1"/>
      <c r="L33" s="1">
        <f t="shared" ref="L33:L43" si="24">+D33-H33</f>
        <v>-28099.802448076902</v>
      </c>
      <c r="M33" s="1"/>
      <c r="N33" s="5">
        <f t="shared" ref="N33:N43" si="25">IF(H33=0,0,L33/H33)</f>
        <v>-0.5721684900990619</v>
      </c>
      <c r="O33" s="14"/>
      <c r="P33" s="1">
        <f>SUM(OSRRefP22_1x_0)</f>
        <v>145150.72</v>
      </c>
      <c r="Q33" s="1"/>
      <c r="R33" s="5">
        <f t="shared" ref="R33:R43" si="26">IF(P$12=0,0,P33/P$12)</f>
        <v>0</v>
      </c>
      <c r="S33" s="1"/>
      <c r="T33" s="1">
        <f>SUM(OSRRefT22_1x_0)</f>
        <v>300437.98842807685</v>
      </c>
      <c r="U33" s="1"/>
      <c r="V33" s="5">
        <f t="shared" ref="V33:V43" si="27">IF(T$12=0,0,T33/T$12)</f>
        <v>0.9820385130995245</v>
      </c>
      <c r="W33" s="1"/>
      <c r="X33" s="1">
        <f t="shared" ref="X33:X43" si="28">+P33-T33</f>
        <v>-155287.26842807684</v>
      </c>
      <c r="Y33" s="1"/>
      <c r="Z33" s="5">
        <f t="shared" ref="Z33:Z43" si="29">IF(T33=0,0,X33/T33)</f>
        <v>-0.51686961838799472</v>
      </c>
    </row>
    <row r="34" spans="1:26" s="24" customFormat="1" hidden="1" outlineLevel="2" x14ac:dyDescent="0.35">
      <c r="A34" s="29"/>
      <c r="B34" s="11" t="str">
        <f>CONCATENATE("          ", "6001", " - ", "ADMINISTRATIVE SALARIES")</f>
        <v xml:space="preserve">          6001 - ADMINISTRATIVE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35">
      <c r="A35" s="29"/>
      <c r="B35" s="11" t="str">
        <f>CONCATENATE("          ", "6002", " - ", "STAFF SALARIES")</f>
        <v xml:space="preserve">          6002 - STAFF SALARIES</v>
      </c>
      <c r="C35" s="11"/>
      <c r="D35" s="7">
        <v>3883</v>
      </c>
      <c r="E35" s="2"/>
      <c r="F35" s="6">
        <f t="shared" si="22"/>
        <v>0</v>
      </c>
      <c r="G35" s="2"/>
      <c r="H35" s="7">
        <v>10422.1394230769</v>
      </c>
      <c r="I35" s="2"/>
      <c r="J35" s="6">
        <f t="shared" si="23"/>
        <v>0.26159988511739207</v>
      </c>
      <c r="K35" s="2"/>
      <c r="L35" s="7">
        <f t="shared" si="24"/>
        <v>-6539.1394230769001</v>
      </c>
      <c r="M35" s="2"/>
      <c r="N35" s="6">
        <f t="shared" si="25"/>
        <v>-0.62742774373156174</v>
      </c>
      <c r="O35" s="11"/>
      <c r="P35" s="7">
        <v>30594.99</v>
      </c>
      <c r="Q35" s="2"/>
      <c r="R35" s="6">
        <f t="shared" si="26"/>
        <v>0</v>
      </c>
      <c r="S35" s="2"/>
      <c r="T35" s="7">
        <v>64617.264423076864</v>
      </c>
      <c r="U35" s="2"/>
      <c r="V35" s="6">
        <f t="shared" si="27"/>
        <v>0.21121377694814505</v>
      </c>
      <c r="W35" s="2"/>
      <c r="X35" s="7">
        <f t="shared" si="28"/>
        <v>-34022.274423076859</v>
      </c>
      <c r="Y35" s="2"/>
      <c r="Z35" s="6">
        <f t="shared" si="29"/>
        <v>-0.52651988175046349</v>
      </c>
    </row>
    <row r="36" spans="1:26" s="24" customFormat="1" hidden="1" outlineLevel="2" x14ac:dyDescent="0.35">
      <c r="A36" s="29"/>
      <c r="B36" s="11" t="str">
        <f>CONCATENATE("          ", "6003", " - ", "STAFF HOURLY-9 MONTH")</f>
        <v xml:space="preserve">          6003 - STAFF HOURLY-9 MONTH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35">
      <c r="A37" s="29"/>
      <c r="B37" s="11" t="str">
        <f>CONCATENATE("          ", "6004", " - ", "STAFF HOURLY")</f>
        <v xml:space="preserve">          6004 - STAFF HOURLY</v>
      </c>
      <c r="C37" s="11"/>
      <c r="D37" s="7">
        <v>13660.26</v>
      </c>
      <c r="E37" s="2"/>
      <c r="F37" s="6">
        <f t="shared" si="22"/>
        <v>0</v>
      </c>
      <c r="G37" s="2"/>
      <c r="H37" s="7">
        <v>28829.7824</v>
      </c>
      <c r="I37" s="2"/>
      <c r="J37" s="6">
        <f t="shared" si="23"/>
        <v>0.72363911646586343</v>
      </c>
      <c r="K37" s="2"/>
      <c r="L37" s="7">
        <f t="shared" si="24"/>
        <v>-15169.5224</v>
      </c>
      <c r="M37" s="2"/>
      <c r="N37" s="6">
        <f t="shared" si="25"/>
        <v>-0.52617540394616369</v>
      </c>
      <c r="O37" s="11"/>
      <c r="P37" s="7">
        <v>111087.73000000001</v>
      </c>
      <c r="Q37" s="2"/>
      <c r="R37" s="6">
        <f t="shared" si="26"/>
        <v>0</v>
      </c>
      <c r="S37" s="2"/>
      <c r="T37" s="7">
        <v>178744.65088</v>
      </c>
      <c r="U37" s="2"/>
      <c r="V37" s="6">
        <f t="shared" si="27"/>
        <v>0.58426077239134055</v>
      </c>
      <c r="W37" s="2"/>
      <c r="X37" s="7">
        <f t="shared" si="28"/>
        <v>-67656.920879999991</v>
      </c>
      <c r="Y37" s="2"/>
      <c r="Z37" s="6">
        <f t="shared" si="29"/>
        <v>-0.37851158368605603</v>
      </c>
    </row>
    <row r="38" spans="1:26" s="24" customFormat="1" hidden="1" outlineLevel="2" x14ac:dyDescent="0.35">
      <c r="A38" s="29"/>
      <c r="B38" s="11" t="str">
        <f>CONCATENATE("          ", "6005", " - ", "TEMPORARY WAGES-HOURLY")</f>
        <v xml:space="preserve">          6005 - TEMPORARY WAGES-HOURLY</v>
      </c>
      <c r="C38" s="11"/>
      <c r="D38" s="7"/>
      <c r="E38" s="2"/>
      <c r="F38" s="6">
        <f t="shared" si="22"/>
        <v>0</v>
      </c>
      <c r="G38" s="2"/>
      <c r="H38" s="7">
        <v>3265.808125</v>
      </c>
      <c r="I38" s="2"/>
      <c r="J38" s="6">
        <f t="shared" si="23"/>
        <v>8.197309550702811E-2</v>
      </c>
      <c r="K38" s="2"/>
      <c r="L38" s="7">
        <f t="shared" si="24"/>
        <v>-3265.808125</v>
      </c>
      <c r="M38" s="2"/>
      <c r="N38" s="6">
        <f t="shared" si="25"/>
        <v>-1</v>
      </c>
      <c r="O38" s="11"/>
      <c r="P38" s="7"/>
      <c r="Q38" s="2"/>
      <c r="R38" s="6">
        <f t="shared" si="26"/>
        <v>0</v>
      </c>
      <c r="S38" s="2"/>
      <c r="T38" s="7">
        <v>16683.090625000001</v>
      </c>
      <c r="U38" s="2"/>
      <c r="V38" s="6">
        <f t="shared" si="27"/>
        <v>5.4531843982179105E-2</v>
      </c>
      <c r="W38" s="2"/>
      <c r="X38" s="7">
        <f t="shared" si="28"/>
        <v>-16683.090625000001</v>
      </c>
      <c r="Y38" s="2"/>
      <c r="Z38" s="6">
        <f t="shared" si="29"/>
        <v>-1</v>
      </c>
    </row>
    <row r="39" spans="1:26" s="24" customFormat="1" hidden="1" outlineLevel="2" x14ac:dyDescent="0.35">
      <c r="A39" s="29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35">
      <c r="A40" s="29"/>
      <c r="B40" s="11" t="str">
        <f>CONCATENATE("          ", "6007", " - ", "STUDENT HOURLY")</f>
        <v xml:space="preserve">          6007 - STUDENT HOURLY</v>
      </c>
      <c r="C40" s="11"/>
      <c r="D40" s="7">
        <v>3468</v>
      </c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3468</v>
      </c>
      <c r="M40" s="2"/>
      <c r="N40" s="6">
        <f t="shared" si="25"/>
        <v>0</v>
      </c>
      <c r="O40" s="11"/>
      <c r="P40" s="7">
        <v>3468</v>
      </c>
      <c r="Q40" s="2"/>
      <c r="R40" s="6">
        <f t="shared" si="26"/>
        <v>0</v>
      </c>
      <c r="S40" s="2"/>
      <c r="T40" s="7">
        <v>4607.5</v>
      </c>
      <c r="U40" s="2"/>
      <c r="V40" s="6">
        <f t="shared" si="27"/>
        <v>1.5060487100116692E-2</v>
      </c>
      <c r="W40" s="2"/>
      <c r="X40" s="7">
        <f t="shared" si="28"/>
        <v>-1139.5</v>
      </c>
      <c r="Y40" s="2"/>
      <c r="Z40" s="6">
        <f t="shared" si="29"/>
        <v>-0.24731416169289203</v>
      </c>
    </row>
    <row r="41" spans="1:26" s="24" customFormat="1" hidden="1" outlineLevel="2" x14ac:dyDescent="0.35">
      <c r="A41" s="29"/>
      <c r="B41" s="11" t="str">
        <f>CONCATENATE("          ", "6008", " - ", "STUDENT HOURLY-FICA EXEMPT")</f>
        <v xml:space="preserve">          6008 - STUDENT HOURLY-FICA EXEMPT</v>
      </c>
      <c r="C41" s="11"/>
      <c r="D41" s="7"/>
      <c r="E41" s="2"/>
      <c r="F41" s="6">
        <f t="shared" si="22"/>
        <v>0</v>
      </c>
      <c r="G41" s="2"/>
      <c r="H41" s="7">
        <v>6593.3324999999995</v>
      </c>
      <c r="I41" s="2"/>
      <c r="J41" s="6">
        <f t="shared" si="23"/>
        <v>0.16549529367469878</v>
      </c>
      <c r="K41" s="2"/>
      <c r="L41" s="7">
        <f t="shared" si="24"/>
        <v>-6593.3324999999995</v>
      </c>
      <c r="M41" s="2"/>
      <c r="N41" s="6">
        <f t="shared" si="25"/>
        <v>-1</v>
      </c>
      <c r="O41" s="11"/>
      <c r="P41" s="7"/>
      <c r="Q41" s="2"/>
      <c r="R41" s="6">
        <f t="shared" si="26"/>
        <v>0</v>
      </c>
      <c r="S41" s="2"/>
      <c r="T41" s="7">
        <v>35785.482500000006</v>
      </c>
      <c r="U41" s="2"/>
      <c r="V41" s="6">
        <f t="shared" si="27"/>
        <v>0.11697163267774319</v>
      </c>
      <c r="W41" s="2"/>
      <c r="X41" s="7">
        <f t="shared" si="28"/>
        <v>-35785.482500000006</v>
      </c>
      <c r="Y41" s="2"/>
      <c r="Z41" s="6">
        <f t="shared" si="29"/>
        <v>-1</v>
      </c>
    </row>
    <row r="42" spans="1:26" s="24" customFormat="1" hidden="1" outlineLevel="2" x14ac:dyDescent="0.35">
      <c r="A42" s="29"/>
      <c r="B42" s="11" t="str">
        <f>CONCATENATE("          ", "6009", " - ", "TEMPORARY-SEASONAL")</f>
        <v xml:space="preserve">          6009 - TEMPORARY-SEASONAL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4" customFormat="1" hidden="1" outlineLevel="2" x14ac:dyDescent="0.35">
      <c r="A43" s="29"/>
      <c r="B43" s="11" t="str">
        <f>CONCATENATE("          ", "6010", " - ", "GRATUITY")</f>
        <v xml:space="preserve">          6010 - GRATUITY</v>
      </c>
      <c r="C43" s="11"/>
      <c r="D43" s="7"/>
      <c r="E43" s="2"/>
      <c r="F43" s="6">
        <f t="shared" si="22"/>
        <v>0</v>
      </c>
      <c r="G43" s="2"/>
      <c r="H43" s="7">
        <v>0</v>
      </c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/>
      <c r="Q43" s="2"/>
      <c r="R43" s="6">
        <f t="shared" si="26"/>
        <v>0</v>
      </c>
      <c r="S43" s="2"/>
      <c r="T43" s="7">
        <v>0</v>
      </c>
      <c r="U43" s="2"/>
      <c r="V43" s="6">
        <f t="shared" si="27"/>
        <v>0</v>
      </c>
      <c r="W43" s="2"/>
      <c r="X43" s="7">
        <f t="shared" si="28"/>
        <v>0</v>
      </c>
      <c r="Y43" s="2"/>
      <c r="Z43" s="6">
        <f t="shared" si="29"/>
        <v>0</v>
      </c>
    </row>
    <row r="44" spans="1:26" s="28" customFormat="1" outlineLevel="1" collapsed="1" x14ac:dyDescent="0.35">
      <c r="A44" s="27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69" si="30">IF(D$12=0,0,D44/D$12)</f>
        <v>0</v>
      </c>
      <c r="G44" s="1"/>
      <c r="H44" s="1">
        <f>SUM(OSRRefH22_2x_0)</f>
        <v>300</v>
      </c>
      <c r="I44" s="1"/>
      <c r="J44" s="5">
        <f t="shared" ref="J44:J69" si="31">IF(H$12=0,0,H44/H$12)</f>
        <v>7.5301204819277108E-3</v>
      </c>
      <c r="K44" s="1"/>
      <c r="L44" s="1">
        <f t="shared" ref="L44:L69" si="32">+D44-H44</f>
        <v>-300</v>
      </c>
      <c r="M44" s="1"/>
      <c r="N44" s="5">
        <f t="shared" ref="N44:N69" si="33">IF(H44=0,0,L44/H44)</f>
        <v>-1</v>
      </c>
      <c r="O44" s="14"/>
      <c r="P44" s="1">
        <f>SUM(OSRRefP22_2x_0)</f>
        <v>0</v>
      </c>
      <c r="Q44" s="1"/>
      <c r="R44" s="5">
        <f t="shared" ref="R44:R69" si="34">IF(P$12=0,0,P44/P$12)</f>
        <v>0</v>
      </c>
      <c r="S44" s="1"/>
      <c r="T44" s="1">
        <f>SUM(OSRRefT22_2x_0)</f>
        <v>2200</v>
      </c>
      <c r="U44" s="1"/>
      <c r="V44" s="5">
        <f t="shared" ref="V44:V69" si="35">IF(T$12=0,0,T44/T$12)</f>
        <v>7.1911170092798099E-3</v>
      </c>
      <c r="W44" s="1"/>
      <c r="X44" s="1">
        <f t="shared" ref="X44:X69" si="36">+P44-T44</f>
        <v>-2200</v>
      </c>
      <c r="Y44" s="1"/>
      <c r="Z44" s="5">
        <f t="shared" ref="Z44:Z69" si="37">IF(T44=0,0,X44/T44)</f>
        <v>-1</v>
      </c>
    </row>
    <row r="45" spans="1:26" s="24" customFormat="1" hidden="1" outlineLevel="2" x14ac:dyDescent="0.35">
      <c r="A45" s="29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30"/>
        <v>0</v>
      </c>
      <c r="G45" s="2"/>
      <c r="H45" s="7">
        <v>300</v>
      </c>
      <c r="I45" s="2"/>
      <c r="J45" s="6">
        <f t="shared" si="31"/>
        <v>7.5301204819277108E-3</v>
      </c>
      <c r="K45" s="2"/>
      <c r="L45" s="7">
        <f t="shared" si="32"/>
        <v>-300</v>
      </c>
      <c r="M45" s="2"/>
      <c r="N45" s="6">
        <f t="shared" si="33"/>
        <v>-1</v>
      </c>
      <c r="O45" s="11"/>
      <c r="P45" s="7"/>
      <c r="Q45" s="2"/>
      <c r="R45" s="6">
        <f t="shared" si="34"/>
        <v>0</v>
      </c>
      <c r="S45" s="2"/>
      <c r="T45" s="7">
        <v>2200</v>
      </c>
      <c r="U45" s="2"/>
      <c r="V45" s="6">
        <f t="shared" si="35"/>
        <v>7.1911170092798099E-3</v>
      </c>
      <c r="W45" s="2"/>
      <c r="X45" s="7">
        <f t="shared" si="36"/>
        <v>-2200</v>
      </c>
      <c r="Y45" s="2"/>
      <c r="Z45" s="6">
        <f t="shared" si="37"/>
        <v>-1</v>
      </c>
    </row>
    <row r="46" spans="1:26" s="28" customFormat="1" outlineLevel="1" collapsed="1" x14ac:dyDescent="0.35">
      <c r="A46" s="27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0</v>
      </c>
      <c r="E46" s="1"/>
      <c r="F46" s="5">
        <f t="shared" si="30"/>
        <v>0</v>
      </c>
      <c r="G46" s="1"/>
      <c r="H46" s="1">
        <f>SUM(OSRRefH22_3x_0)</f>
        <v>8</v>
      </c>
      <c r="I46" s="1"/>
      <c r="J46" s="5">
        <f t="shared" si="31"/>
        <v>2.0080321285140563E-4</v>
      </c>
      <c r="K46" s="1"/>
      <c r="L46" s="1">
        <f t="shared" si="32"/>
        <v>-8</v>
      </c>
      <c r="M46" s="1"/>
      <c r="N46" s="5">
        <f t="shared" si="33"/>
        <v>-1</v>
      </c>
      <c r="O46" s="14"/>
      <c r="P46" s="1">
        <f>SUM(OSRRefP22_3x_0)</f>
        <v>29.74</v>
      </c>
      <c r="Q46" s="1"/>
      <c r="R46" s="5">
        <f t="shared" si="34"/>
        <v>0</v>
      </c>
      <c r="S46" s="1"/>
      <c r="T46" s="1">
        <f>SUM(OSRRefT22_3x_0)</f>
        <v>48</v>
      </c>
      <c r="U46" s="1"/>
      <c r="V46" s="5">
        <f t="shared" si="35"/>
        <v>1.5689709838428675E-4</v>
      </c>
      <c r="W46" s="1"/>
      <c r="X46" s="1">
        <f t="shared" si="36"/>
        <v>-18.260000000000002</v>
      </c>
      <c r="Y46" s="1"/>
      <c r="Z46" s="5">
        <f t="shared" si="37"/>
        <v>-0.38041666666666668</v>
      </c>
    </row>
    <row r="47" spans="1:26" s="24" customFormat="1" hidden="1" outlineLevel="2" x14ac:dyDescent="0.35">
      <c r="A47" s="29"/>
      <c r="B47" s="11" t="str">
        <f>CONCATENATE("          ", "6272", " - ", "CASH (OVER/SHORT)")</f>
        <v xml:space="preserve">          6272 - CASH (OVER/SHORT)</v>
      </c>
      <c r="C47" s="11"/>
      <c r="D47" s="7"/>
      <c r="E47" s="2"/>
      <c r="F47" s="6">
        <f t="shared" si="30"/>
        <v>0</v>
      </c>
      <c r="G47" s="2"/>
      <c r="H47" s="7">
        <v>8</v>
      </c>
      <c r="I47" s="2"/>
      <c r="J47" s="6">
        <f t="shared" si="31"/>
        <v>2.0080321285140563E-4</v>
      </c>
      <c r="K47" s="2"/>
      <c r="L47" s="7">
        <f t="shared" si="32"/>
        <v>-8</v>
      </c>
      <c r="M47" s="2"/>
      <c r="N47" s="6">
        <f t="shared" si="33"/>
        <v>-1</v>
      </c>
      <c r="O47" s="11"/>
      <c r="P47" s="7">
        <v>29.74</v>
      </c>
      <c r="Q47" s="2"/>
      <c r="R47" s="6">
        <f t="shared" si="34"/>
        <v>0</v>
      </c>
      <c r="S47" s="2"/>
      <c r="T47" s="7">
        <v>48</v>
      </c>
      <c r="U47" s="2"/>
      <c r="V47" s="6">
        <f t="shared" si="35"/>
        <v>1.5689709838428675E-4</v>
      </c>
      <c r="W47" s="2"/>
      <c r="X47" s="7">
        <f t="shared" si="36"/>
        <v>-18.260000000000002</v>
      </c>
      <c r="Y47" s="2"/>
      <c r="Z47" s="6">
        <f t="shared" si="37"/>
        <v>-0.38041666666666668</v>
      </c>
    </row>
    <row r="48" spans="1:26" s="28" customFormat="1" outlineLevel="1" collapsed="1" x14ac:dyDescent="0.35">
      <c r="A48" s="27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0</v>
      </c>
      <c r="E48" s="1"/>
      <c r="F48" s="5">
        <f t="shared" si="30"/>
        <v>0</v>
      </c>
      <c r="G48" s="1"/>
      <c r="H48" s="1">
        <f>SUM(OSRRefH22_4x_0)</f>
        <v>10</v>
      </c>
      <c r="I48" s="1"/>
      <c r="J48" s="5">
        <f t="shared" si="31"/>
        <v>2.5100401606425701E-4</v>
      </c>
      <c r="K48" s="1"/>
      <c r="L48" s="1">
        <f t="shared" si="32"/>
        <v>-10</v>
      </c>
      <c r="M48" s="1"/>
      <c r="N48" s="5">
        <f t="shared" si="33"/>
        <v>-1</v>
      </c>
      <c r="O48" s="14"/>
      <c r="P48" s="1">
        <f>SUM(OSRRefP22_4x_0)</f>
        <v>0</v>
      </c>
      <c r="Q48" s="1"/>
      <c r="R48" s="5">
        <f t="shared" si="34"/>
        <v>0</v>
      </c>
      <c r="S48" s="1"/>
      <c r="T48" s="1">
        <f>SUM(OSRRefT22_4x_0)</f>
        <v>60</v>
      </c>
      <c r="U48" s="1"/>
      <c r="V48" s="5">
        <f t="shared" si="35"/>
        <v>1.9612137298035843E-4</v>
      </c>
      <c r="W48" s="1"/>
      <c r="X48" s="1">
        <f t="shared" si="36"/>
        <v>-60</v>
      </c>
      <c r="Y48" s="1"/>
      <c r="Z48" s="5">
        <f t="shared" si="37"/>
        <v>-1</v>
      </c>
    </row>
    <row r="49" spans="1:26" s="24" customFormat="1" hidden="1" outlineLevel="2" x14ac:dyDescent="0.35">
      <c r="A49" s="29"/>
      <c r="B49" s="11" t="str">
        <f>CONCATENATE("          ", "6381", " - ", "BANK/CREDIT CARD FEES")</f>
        <v xml:space="preserve">          6381 - BANK/CREDIT CARD FEES</v>
      </c>
      <c r="C49" s="11"/>
      <c r="D49" s="7"/>
      <c r="E49" s="2"/>
      <c r="F49" s="6">
        <f t="shared" si="30"/>
        <v>0</v>
      </c>
      <c r="G49" s="2"/>
      <c r="H49" s="7">
        <v>10</v>
      </c>
      <c r="I49" s="2"/>
      <c r="J49" s="6">
        <f t="shared" si="31"/>
        <v>2.5100401606425701E-4</v>
      </c>
      <c r="K49" s="2"/>
      <c r="L49" s="7">
        <f t="shared" si="32"/>
        <v>-10</v>
      </c>
      <c r="M49" s="2"/>
      <c r="N49" s="6">
        <f t="shared" si="33"/>
        <v>-1</v>
      </c>
      <c r="O49" s="11"/>
      <c r="P49" s="7"/>
      <c r="Q49" s="2"/>
      <c r="R49" s="6">
        <f t="shared" si="34"/>
        <v>0</v>
      </c>
      <c r="S49" s="2"/>
      <c r="T49" s="7">
        <v>60</v>
      </c>
      <c r="U49" s="2"/>
      <c r="V49" s="6">
        <f t="shared" si="35"/>
        <v>1.9612137298035843E-4</v>
      </c>
      <c r="W49" s="2"/>
      <c r="X49" s="7">
        <f t="shared" si="36"/>
        <v>-60</v>
      </c>
      <c r="Y49" s="2"/>
      <c r="Z49" s="6">
        <f t="shared" si="37"/>
        <v>-1</v>
      </c>
    </row>
    <row r="50" spans="1:26" s="28" customFormat="1" outlineLevel="1" collapsed="1" x14ac:dyDescent="0.35">
      <c r="A50" s="27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213.02</v>
      </c>
      <c r="E50" s="1"/>
      <c r="F50" s="5">
        <f t="shared" si="30"/>
        <v>0</v>
      </c>
      <c r="G50" s="1"/>
      <c r="H50" s="1">
        <f>SUM(OSRRefH22_5x_0)</f>
        <v>213</v>
      </c>
      <c r="I50" s="1"/>
      <c r="J50" s="5">
        <f t="shared" si="31"/>
        <v>5.3463855421686749E-3</v>
      </c>
      <c r="K50" s="1"/>
      <c r="L50" s="1">
        <f t="shared" si="32"/>
        <v>2.0000000000010232E-2</v>
      </c>
      <c r="M50" s="1"/>
      <c r="N50" s="5">
        <f t="shared" si="33"/>
        <v>9.3896713615071505E-5</v>
      </c>
      <c r="O50" s="14"/>
      <c r="P50" s="1">
        <f>SUM(OSRRefP22_5x_0)</f>
        <v>1491.14</v>
      </c>
      <c r="Q50" s="1"/>
      <c r="R50" s="5">
        <f t="shared" si="34"/>
        <v>0</v>
      </c>
      <c r="S50" s="1"/>
      <c r="T50" s="1">
        <f>SUM(OSRRefT22_5x_0)</f>
        <v>1491</v>
      </c>
      <c r="U50" s="1"/>
      <c r="V50" s="5">
        <f t="shared" si="35"/>
        <v>4.8736161185619076E-3</v>
      </c>
      <c r="W50" s="1"/>
      <c r="X50" s="1">
        <f t="shared" si="36"/>
        <v>0.14000000000010004</v>
      </c>
      <c r="Y50" s="1"/>
      <c r="Z50" s="5">
        <f t="shared" si="37"/>
        <v>9.3896713615090573E-5</v>
      </c>
    </row>
    <row r="51" spans="1:26" s="24" customFormat="1" hidden="1" outlineLevel="2" x14ac:dyDescent="0.35">
      <c r="A51" s="29"/>
      <c r="B51" s="11" t="str">
        <f>CONCATENATE("          ", "6322", " - ", "EQUIPMENT DEPRECIATION EXPENSE")</f>
        <v xml:space="preserve">          6322 - EQUIPMENT DEPRECIATION EXPENSE</v>
      </c>
      <c r="C51" s="11"/>
      <c r="D51" s="7">
        <v>213.02</v>
      </c>
      <c r="E51" s="2"/>
      <c r="F51" s="6">
        <f t="shared" si="30"/>
        <v>0</v>
      </c>
      <c r="G51" s="2"/>
      <c r="H51" s="7">
        <v>213</v>
      </c>
      <c r="I51" s="2"/>
      <c r="J51" s="6">
        <f t="shared" si="31"/>
        <v>5.3463855421686749E-3</v>
      </c>
      <c r="K51" s="2"/>
      <c r="L51" s="7">
        <f t="shared" si="32"/>
        <v>2.0000000000010232E-2</v>
      </c>
      <c r="M51" s="2"/>
      <c r="N51" s="6">
        <f t="shared" si="33"/>
        <v>9.3896713615071505E-5</v>
      </c>
      <c r="O51" s="11"/>
      <c r="P51" s="7">
        <v>1491.14</v>
      </c>
      <c r="Q51" s="2"/>
      <c r="R51" s="6">
        <f t="shared" si="34"/>
        <v>0</v>
      </c>
      <c r="S51" s="2"/>
      <c r="T51" s="7">
        <v>1491</v>
      </c>
      <c r="U51" s="2"/>
      <c r="V51" s="6">
        <f t="shared" si="35"/>
        <v>4.8736161185619076E-3</v>
      </c>
      <c r="W51" s="2"/>
      <c r="X51" s="7">
        <f t="shared" si="36"/>
        <v>0.14000000000010004</v>
      </c>
      <c r="Y51" s="2"/>
      <c r="Z51" s="6">
        <f t="shared" si="37"/>
        <v>9.3896713615090573E-5</v>
      </c>
    </row>
    <row r="52" spans="1:26" s="28" customFormat="1" outlineLevel="1" collapsed="1" x14ac:dyDescent="0.35">
      <c r="A52" s="27"/>
      <c r="B52" s="14" t="str">
        <f>CONCATENATE("     ","Donations                                         ")</f>
        <v xml:space="preserve">     Donations                                         </v>
      </c>
      <c r="C52" s="14"/>
      <c r="D52" s="1">
        <f>SUM(OSRRefD22_6x_0)</f>
        <v>0</v>
      </c>
      <c r="E52" s="1"/>
      <c r="F52" s="5">
        <f t="shared" si="30"/>
        <v>0</v>
      </c>
      <c r="G52" s="1"/>
      <c r="H52" s="1">
        <f>SUM(OSRRefH22_6x_0)</f>
        <v>2673</v>
      </c>
      <c r="I52" s="1"/>
      <c r="J52" s="5">
        <f t="shared" si="31"/>
        <v>6.70933734939759E-2</v>
      </c>
      <c r="K52" s="1"/>
      <c r="L52" s="1">
        <f t="shared" si="32"/>
        <v>-2673</v>
      </c>
      <c r="M52" s="1"/>
      <c r="N52" s="5">
        <f t="shared" si="33"/>
        <v>-1</v>
      </c>
      <c r="O52" s="14"/>
      <c r="P52" s="1">
        <f>SUM(OSRRefP22_6x_0)</f>
        <v>0</v>
      </c>
      <c r="Q52" s="1"/>
      <c r="R52" s="5">
        <f t="shared" si="34"/>
        <v>0</v>
      </c>
      <c r="S52" s="1"/>
      <c r="T52" s="1">
        <f>SUM(OSRRefT22_6x_0)</f>
        <v>16038</v>
      </c>
      <c r="U52" s="1"/>
      <c r="V52" s="5">
        <f t="shared" si="35"/>
        <v>5.2423242997649812E-2</v>
      </c>
      <c r="W52" s="1"/>
      <c r="X52" s="1">
        <f t="shared" si="36"/>
        <v>-16038</v>
      </c>
      <c r="Y52" s="1"/>
      <c r="Z52" s="5">
        <f t="shared" si="37"/>
        <v>-1</v>
      </c>
    </row>
    <row r="53" spans="1:26" s="24" customFormat="1" hidden="1" outlineLevel="2" x14ac:dyDescent="0.35">
      <c r="A53" s="29"/>
      <c r="B53" s="11" t="str">
        <f>CONCATENATE("          ", "6399", " - ", "DONATION-ON CAMPUS")</f>
        <v xml:space="preserve">          6399 - DONATION-ON CAMPUS</v>
      </c>
      <c r="C53" s="11"/>
      <c r="D53" s="7"/>
      <c r="E53" s="2"/>
      <c r="F53" s="6">
        <f t="shared" si="30"/>
        <v>0</v>
      </c>
      <c r="G53" s="2"/>
      <c r="H53" s="7">
        <v>2673</v>
      </c>
      <c r="I53" s="2"/>
      <c r="J53" s="6">
        <f t="shared" si="31"/>
        <v>6.70933734939759E-2</v>
      </c>
      <c r="K53" s="2"/>
      <c r="L53" s="7">
        <f t="shared" si="32"/>
        <v>-2673</v>
      </c>
      <c r="M53" s="2"/>
      <c r="N53" s="6">
        <f t="shared" si="33"/>
        <v>-1</v>
      </c>
      <c r="O53" s="11"/>
      <c r="P53" s="7"/>
      <c r="Q53" s="2"/>
      <c r="R53" s="6">
        <f t="shared" si="34"/>
        <v>0</v>
      </c>
      <c r="S53" s="2"/>
      <c r="T53" s="7">
        <v>16038</v>
      </c>
      <c r="U53" s="2"/>
      <c r="V53" s="6">
        <f t="shared" si="35"/>
        <v>5.2423242997649812E-2</v>
      </c>
      <c r="W53" s="2"/>
      <c r="X53" s="7">
        <f t="shared" si="36"/>
        <v>-16038</v>
      </c>
      <c r="Y53" s="2"/>
      <c r="Z53" s="6">
        <f t="shared" si="37"/>
        <v>-1</v>
      </c>
    </row>
    <row r="54" spans="1:26" s="28" customFormat="1" outlineLevel="1" collapsed="1" x14ac:dyDescent="0.35">
      <c r="A54" s="27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SUM(OSRRefD22_7x_0)</f>
        <v>0</v>
      </c>
      <c r="E54" s="1"/>
      <c r="F54" s="5">
        <f t="shared" si="30"/>
        <v>0</v>
      </c>
      <c r="G54" s="1"/>
      <c r="H54" s="1">
        <f>SUM(OSRRefH22_7x_0)</f>
        <v>50</v>
      </c>
      <c r="I54" s="1"/>
      <c r="J54" s="5">
        <f t="shared" si="31"/>
        <v>1.2550200803212851E-3</v>
      </c>
      <c r="K54" s="1"/>
      <c r="L54" s="1">
        <f t="shared" si="32"/>
        <v>-50</v>
      </c>
      <c r="M54" s="1"/>
      <c r="N54" s="5">
        <f t="shared" si="33"/>
        <v>-1</v>
      </c>
      <c r="O54" s="14"/>
      <c r="P54" s="1">
        <f>SUM(OSRRefP22_7x_0)</f>
        <v>0</v>
      </c>
      <c r="Q54" s="1"/>
      <c r="R54" s="5">
        <f t="shared" si="34"/>
        <v>0</v>
      </c>
      <c r="S54" s="1"/>
      <c r="T54" s="1">
        <f>SUM(OSRRefT22_7x_0)</f>
        <v>300</v>
      </c>
      <c r="U54" s="1"/>
      <c r="V54" s="5">
        <f t="shared" si="35"/>
        <v>9.806068649017923E-4</v>
      </c>
      <c r="W54" s="1"/>
      <c r="X54" s="1">
        <f t="shared" si="36"/>
        <v>-300</v>
      </c>
      <c r="Y54" s="1"/>
      <c r="Z54" s="5">
        <f t="shared" si="37"/>
        <v>-1</v>
      </c>
    </row>
    <row r="55" spans="1:26" s="24" customFormat="1" hidden="1" outlineLevel="2" x14ac:dyDescent="0.35">
      <c r="A55" s="29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30"/>
        <v>0</v>
      </c>
      <c r="G55" s="2"/>
      <c r="H55" s="7">
        <v>50</v>
      </c>
      <c r="I55" s="2"/>
      <c r="J55" s="6">
        <f t="shared" si="31"/>
        <v>1.2550200803212851E-3</v>
      </c>
      <c r="K55" s="2"/>
      <c r="L55" s="7">
        <f t="shared" si="32"/>
        <v>-50</v>
      </c>
      <c r="M55" s="2"/>
      <c r="N55" s="6">
        <f t="shared" si="33"/>
        <v>-1</v>
      </c>
      <c r="O55" s="11"/>
      <c r="P55" s="7"/>
      <c r="Q55" s="2"/>
      <c r="R55" s="6">
        <f t="shared" si="34"/>
        <v>0</v>
      </c>
      <c r="S55" s="2"/>
      <c r="T55" s="7">
        <v>300</v>
      </c>
      <c r="U55" s="2"/>
      <c r="V55" s="6">
        <f t="shared" si="35"/>
        <v>9.806068649017923E-4</v>
      </c>
      <c r="W55" s="2"/>
      <c r="X55" s="7">
        <f t="shared" si="36"/>
        <v>-300</v>
      </c>
      <c r="Y55" s="2"/>
      <c r="Z55" s="6">
        <f t="shared" si="37"/>
        <v>-1</v>
      </c>
    </row>
    <row r="56" spans="1:26" s="28" customFormat="1" outlineLevel="1" collapsed="1" x14ac:dyDescent="0.35">
      <c r="A56" s="27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SUM(OSRRefD22_8x_0)</f>
        <v>0</v>
      </c>
      <c r="E56" s="1"/>
      <c r="F56" s="5">
        <f t="shared" si="30"/>
        <v>0</v>
      </c>
      <c r="G56" s="1"/>
      <c r="H56" s="1">
        <f>SUM(OSRRefH22_8x_0)</f>
        <v>0</v>
      </c>
      <c r="I56" s="1"/>
      <c r="J56" s="5">
        <f t="shared" si="31"/>
        <v>0</v>
      </c>
      <c r="K56" s="1"/>
      <c r="L56" s="1">
        <f t="shared" si="32"/>
        <v>0</v>
      </c>
      <c r="M56" s="1"/>
      <c r="N56" s="5">
        <f t="shared" si="33"/>
        <v>0</v>
      </c>
      <c r="O56" s="14"/>
      <c r="P56" s="1">
        <f>SUM(OSRRefP22_8x_0)</f>
        <v>20</v>
      </c>
      <c r="Q56" s="1"/>
      <c r="R56" s="5">
        <f t="shared" si="34"/>
        <v>0</v>
      </c>
      <c r="S56" s="1"/>
      <c r="T56" s="1">
        <f>SUM(OSRRefT22_8x_0)</f>
        <v>0</v>
      </c>
      <c r="U56" s="1"/>
      <c r="V56" s="5">
        <f t="shared" si="35"/>
        <v>0</v>
      </c>
      <c r="W56" s="1"/>
      <c r="X56" s="1">
        <f t="shared" si="36"/>
        <v>20</v>
      </c>
      <c r="Y56" s="1"/>
      <c r="Z56" s="5">
        <f t="shared" si="37"/>
        <v>0</v>
      </c>
    </row>
    <row r="57" spans="1:26" s="24" customFormat="1" hidden="1" outlineLevel="2" x14ac:dyDescent="0.35">
      <c r="A57" s="29"/>
      <c r="B57" s="11" t="str">
        <f>CONCATENATE("          ", "6351", " - ", "EQUIPMENT RENTAL")</f>
        <v xml:space="preserve">          6351 - EQUIPMENT RENTAL</v>
      </c>
      <c r="C57" s="11"/>
      <c r="D57" s="7"/>
      <c r="E57" s="2"/>
      <c r="F57" s="6">
        <f t="shared" si="30"/>
        <v>0</v>
      </c>
      <c r="G57" s="2"/>
      <c r="H57" s="7"/>
      <c r="I57" s="2"/>
      <c r="J57" s="6">
        <f t="shared" si="31"/>
        <v>0</v>
      </c>
      <c r="K57" s="2"/>
      <c r="L57" s="7">
        <f t="shared" si="32"/>
        <v>0</v>
      </c>
      <c r="M57" s="2"/>
      <c r="N57" s="6">
        <f t="shared" si="33"/>
        <v>0</v>
      </c>
      <c r="O57" s="11"/>
      <c r="P57" s="7">
        <v>20</v>
      </c>
      <c r="Q57" s="2"/>
      <c r="R57" s="6">
        <f t="shared" si="34"/>
        <v>0</v>
      </c>
      <c r="S57" s="2"/>
      <c r="T57" s="7"/>
      <c r="U57" s="2"/>
      <c r="V57" s="6">
        <f t="shared" si="35"/>
        <v>0</v>
      </c>
      <c r="W57" s="2"/>
      <c r="X57" s="7">
        <f t="shared" si="36"/>
        <v>20</v>
      </c>
      <c r="Y57" s="2"/>
      <c r="Z57" s="6">
        <f t="shared" si="37"/>
        <v>0</v>
      </c>
    </row>
    <row r="58" spans="1:26" s="28" customFormat="1" outlineLevel="1" collapsed="1" x14ac:dyDescent="0.35">
      <c r="A58" s="27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SUM(OSRRefD22_9x_0)</f>
        <v>0</v>
      </c>
      <c r="E58" s="1"/>
      <c r="F58" s="5">
        <f t="shared" si="30"/>
        <v>0</v>
      </c>
      <c r="G58" s="1"/>
      <c r="H58" s="1">
        <f>SUM(OSRRefH22_9x_0)</f>
        <v>10</v>
      </c>
      <c r="I58" s="1"/>
      <c r="J58" s="5">
        <f t="shared" si="31"/>
        <v>2.5100401606425701E-4</v>
      </c>
      <c r="K58" s="1"/>
      <c r="L58" s="1">
        <f t="shared" si="32"/>
        <v>-10</v>
      </c>
      <c r="M58" s="1"/>
      <c r="N58" s="5">
        <f t="shared" si="33"/>
        <v>-1</v>
      </c>
      <c r="O58" s="14"/>
      <c r="P58" s="1">
        <f>SUM(OSRRefP22_9x_0)</f>
        <v>1439.55</v>
      </c>
      <c r="Q58" s="1"/>
      <c r="R58" s="5">
        <f t="shared" si="34"/>
        <v>0</v>
      </c>
      <c r="S58" s="1"/>
      <c r="T58" s="1">
        <f>SUM(OSRRefT22_9x_0)</f>
        <v>1660</v>
      </c>
      <c r="U58" s="1"/>
      <c r="V58" s="5">
        <f t="shared" si="35"/>
        <v>5.4260246524565833E-3</v>
      </c>
      <c r="W58" s="1"/>
      <c r="X58" s="1">
        <f t="shared" si="36"/>
        <v>-220.45000000000005</v>
      </c>
      <c r="Y58" s="1"/>
      <c r="Z58" s="5">
        <f t="shared" si="37"/>
        <v>-0.13280120481927712</v>
      </c>
    </row>
    <row r="59" spans="1:26" s="24" customFormat="1" hidden="1" outlineLevel="2" x14ac:dyDescent="0.35">
      <c r="A59" s="29"/>
      <c r="B59" s="11" t="str">
        <f>CONCATENATE("          ", "6279", " - ", "GENERAL EXPENSE")</f>
        <v xml:space="preserve">          6279 - GENERAL EXPENSE</v>
      </c>
      <c r="C59" s="11"/>
      <c r="D59" s="7"/>
      <c r="E59" s="2"/>
      <c r="F59" s="6">
        <f t="shared" si="30"/>
        <v>0</v>
      </c>
      <c r="G59" s="2"/>
      <c r="H59" s="7">
        <v>10</v>
      </c>
      <c r="I59" s="2"/>
      <c r="J59" s="6">
        <f t="shared" si="31"/>
        <v>2.5100401606425701E-4</v>
      </c>
      <c r="K59" s="2"/>
      <c r="L59" s="7">
        <f t="shared" si="32"/>
        <v>-10</v>
      </c>
      <c r="M59" s="2"/>
      <c r="N59" s="6">
        <f t="shared" si="33"/>
        <v>-1</v>
      </c>
      <c r="O59" s="11"/>
      <c r="P59" s="7">
        <v>1439.55</v>
      </c>
      <c r="Q59" s="2"/>
      <c r="R59" s="6">
        <f t="shared" si="34"/>
        <v>0</v>
      </c>
      <c r="S59" s="2"/>
      <c r="T59" s="7">
        <v>1660</v>
      </c>
      <c r="U59" s="2"/>
      <c r="V59" s="6">
        <f t="shared" si="35"/>
        <v>5.4260246524565833E-3</v>
      </c>
      <c r="W59" s="2"/>
      <c r="X59" s="7">
        <f t="shared" si="36"/>
        <v>-220.45000000000005</v>
      </c>
      <c r="Y59" s="2"/>
      <c r="Z59" s="6">
        <f t="shared" si="37"/>
        <v>-0.13280120481927712</v>
      </c>
    </row>
    <row r="60" spans="1:26" s="28" customFormat="1" outlineLevel="1" collapsed="1" x14ac:dyDescent="0.35">
      <c r="A60" s="27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SUM(OSRRefD22_10x_0)</f>
        <v>5.9</v>
      </c>
      <c r="E60" s="1"/>
      <c r="F60" s="5">
        <f t="shared" si="30"/>
        <v>0</v>
      </c>
      <c r="G60" s="1"/>
      <c r="H60" s="1">
        <f>SUM(OSRRefH22_10x_0)</f>
        <v>7</v>
      </c>
      <c r="I60" s="1"/>
      <c r="J60" s="5">
        <f t="shared" si="31"/>
        <v>1.7570281124497993E-4</v>
      </c>
      <c r="K60" s="1"/>
      <c r="L60" s="1">
        <f t="shared" si="32"/>
        <v>-1.0999999999999996</v>
      </c>
      <c r="M60" s="1"/>
      <c r="N60" s="5">
        <f t="shared" si="33"/>
        <v>-0.15714285714285708</v>
      </c>
      <c r="O60" s="14"/>
      <c r="P60" s="1">
        <f>SUM(OSRRefP22_10x_0)</f>
        <v>41.3</v>
      </c>
      <c r="Q60" s="1"/>
      <c r="R60" s="5">
        <f t="shared" si="34"/>
        <v>0</v>
      </c>
      <c r="S60" s="1"/>
      <c r="T60" s="1">
        <f>SUM(OSRRefT22_10x_0)</f>
        <v>49</v>
      </c>
      <c r="U60" s="1"/>
      <c r="V60" s="5">
        <f t="shared" si="35"/>
        <v>1.6016578793395941E-4</v>
      </c>
      <c r="W60" s="1"/>
      <c r="X60" s="1">
        <f t="shared" si="36"/>
        <v>-7.7000000000000028</v>
      </c>
      <c r="Y60" s="1"/>
      <c r="Z60" s="5">
        <f t="shared" si="37"/>
        <v>-0.1571428571428572</v>
      </c>
    </row>
    <row r="61" spans="1:26" s="24" customFormat="1" hidden="1" outlineLevel="2" x14ac:dyDescent="0.35">
      <c r="A61" s="29"/>
      <c r="B61" s="11" t="str">
        <f>CONCATENATE("          ", "6314", " - ", "LIABILITY INSURANCE")</f>
        <v xml:space="preserve">          6314 - LIABILITY INSURANCE</v>
      </c>
      <c r="C61" s="11"/>
      <c r="D61" s="7">
        <v>5.9</v>
      </c>
      <c r="E61" s="2"/>
      <c r="F61" s="6">
        <f t="shared" si="30"/>
        <v>0</v>
      </c>
      <c r="G61" s="2"/>
      <c r="H61" s="7">
        <v>7</v>
      </c>
      <c r="I61" s="2"/>
      <c r="J61" s="6">
        <f t="shared" si="31"/>
        <v>1.7570281124497993E-4</v>
      </c>
      <c r="K61" s="2"/>
      <c r="L61" s="7">
        <f t="shared" si="32"/>
        <v>-1.0999999999999996</v>
      </c>
      <c r="M61" s="2"/>
      <c r="N61" s="6">
        <f t="shared" si="33"/>
        <v>-0.15714285714285708</v>
      </c>
      <c r="O61" s="11"/>
      <c r="P61" s="7">
        <v>41.3</v>
      </c>
      <c r="Q61" s="2"/>
      <c r="R61" s="6">
        <f t="shared" si="34"/>
        <v>0</v>
      </c>
      <c r="S61" s="2"/>
      <c r="T61" s="7">
        <v>49</v>
      </c>
      <c r="U61" s="2"/>
      <c r="V61" s="6">
        <f t="shared" si="35"/>
        <v>1.6016578793395941E-4</v>
      </c>
      <c r="W61" s="2"/>
      <c r="X61" s="7">
        <f t="shared" si="36"/>
        <v>-7.7000000000000028</v>
      </c>
      <c r="Y61" s="2"/>
      <c r="Z61" s="6">
        <f t="shared" si="37"/>
        <v>-0.1571428571428572</v>
      </c>
    </row>
    <row r="62" spans="1:26" s="28" customFormat="1" outlineLevel="1" collapsed="1" x14ac:dyDescent="0.35">
      <c r="A62" s="27"/>
      <c r="B62" s="14" t="str">
        <f>CONCATENATE("     ","R/H Commissions                                   ")</f>
        <v xml:space="preserve">     R/H Commissions                                   </v>
      </c>
      <c r="C62" s="14"/>
      <c r="D62" s="1">
        <f>SUM(OSRRefD22_11x_0)</f>
        <v>0</v>
      </c>
      <c r="E62" s="1"/>
      <c r="F62" s="5">
        <f t="shared" si="30"/>
        <v>0</v>
      </c>
      <c r="G62" s="1"/>
      <c r="H62" s="1">
        <f>SUM(OSRRefH22_11x_0)</f>
        <v>3187</v>
      </c>
      <c r="I62" s="1"/>
      <c r="J62" s="5">
        <f t="shared" si="31"/>
        <v>7.9994979919678716E-2</v>
      </c>
      <c r="K62" s="1"/>
      <c r="L62" s="1">
        <f t="shared" si="32"/>
        <v>-3187</v>
      </c>
      <c r="M62" s="1"/>
      <c r="N62" s="5">
        <f t="shared" si="33"/>
        <v>-1</v>
      </c>
      <c r="O62" s="14"/>
      <c r="P62" s="1">
        <f>SUM(OSRRefP22_11x_0)</f>
        <v>0</v>
      </c>
      <c r="Q62" s="1"/>
      <c r="R62" s="5">
        <f t="shared" si="34"/>
        <v>0</v>
      </c>
      <c r="S62" s="1"/>
      <c r="T62" s="1">
        <f>SUM(OSRRefT22_11x_0)</f>
        <v>24474</v>
      </c>
      <c r="U62" s="1"/>
      <c r="V62" s="5">
        <f t="shared" si="35"/>
        <v>7.9997908038688212E-2</v>
      </c>
      <c r="W62" s="1"/>
      <c r="X62" s="1">
        <f t="shared" si="36"/>
        <v>-24474</v>
      </c>
      <c r="Y62" s="1"/>
      <c r="Z62" s="5">
        <f t="shared" si="37"/>
        <v>-1</v>
      </c>
    </row>
    <row r="63" spans="1:26" s="24" customFormat="1" hidden="1" outlineLevel="2" x14ac:dyDescent="0.35">
      <c r="A63" s="29"/>
      <c r="B63" s="11" t="str">
        <f>CONCATENATE("          ", "6387", " - ", "COMMISSION DUE HOUSING")</f>
        <v xml:space="preserve">          6387 - COMMISSION DUE HOUSING</v>
      </c>
      <c r="C63" s="11"/>
      <c r="D63" s="7"/>
      <c r="E63" s="2"/>
      <c r="F63" s="6">
        <f t="shared" si="30"/>
        <v>0</v>
      </c>
      <c r="G63" s="2"/>
      <c r="H63" s="7">
        <v>3187</v>
      </c>
      <c r="I63" s="2"/>
      <c r="J63" s="6">
        <f t="shared" si="31"/>
        <v>7.9994979919678716E-2</v>
      </c>
      <c r="K63" s="2"/>
      <c r="L63" s="7">
        <f t="shared" si="32"/>
        <v>-3187</v>
      </c>
      <c r="M63" s="2"/>
      <c r="N63" s="6">
        <f t="shared" si="33"/>
        <v>-1</v>
      </c>
      <c r="O63" s="11"/>
      <c r="P63" s="7"/>
      <c r="Q63" s="2"/>
      <c r="R63" s="6">
        <f t="shared" si="34"/>
        <v>0</v>
      </c>
      <c r="S63" s="2"/>
      <c r="T63" s="7">
        <v>24474</v>
      </c>
      <c r="U63" s="2"/>
      <c r="V63" s="6">
        <f t="shared" si="35"/>
        <v>7.9997908038688212E-2</v>
      </c>
      <c r="W63" s="2"/>
      <c r="X63" s="7">
        <f t="shared" si="36"/>
        <v>-24474</v>
      </c>
      <c r="Y63" s="2"/>
      <c r="Z63" s="6">
        <f t="shared" si="37"/>
        <v>-1</v>
      </c>
    </row>
    <row r="64" spans="1:26" s="28" customFormat="1" outlineLevel="1" collapsed="1" x14ac:dyDescent="0.35">
      <c r="A64" s="27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SUM(OSRRefD22_12x_0)</f>
        <v>0</v>
      </c>
      <c r="E64" s="1"/>
      <c r="F64" s="5">
        <f t="shared" si="30"/>
        <v>0</v>
      </c>
      <c r="G64" s="1"/>
      <c r="H64" s="1">
        <f>SUM(OSRRefH22_12x_0)</f>
        <v>20</v>
      </c>
      <c r="I64" s="1"/>
      <c r="J64" s="5">
        <f t="shared" si="31"/>
        <v>5.0200803212851401E-4</v>
      </c>
      <c r="K64" s="1"/>
      <c r="L64" s="1">
        <f t="shared" si="32"/>
        <v>-20</v>
      </c>
      <c r="M64" s="1"/>
      <c r="N64" s="5">
        <f t="shared" si="33"/>
        <v>-1</v>
      </c>
      <c r="O64" s="14"/>
      <c r="P64" s="1">
        <f>SUM(OSRRefP22_12x_0)</f>
        <v>144.66999999999999</v>
      </c>
      <c r="Q64" s="1"/>
      <c r="R64" s="5">
        <f t="shared" si="34"/>
        <v>0</v>
      </c>
      <c r="S64" s="1"/>
      <c r="T64" s="1">
        <f>SUM(OSRRefT22_12x_0)</f>
        <v>140</v>
      </c>
      <c r="U64" s="1"/>
      <c r="V64" s="5">
        <f t="shared" si="35"/>
        <v>4.576165369541697E-4</v>
      </c>
      <c r="W64" s="1"/>
      <c r="X64" s="1">
        <f t="shared" si="36"/>
        <v>4.6699999999999875</v>
      </c>
      <c r="Y64" s="1"/>
      <c r="Z64" s="5">
        <f t="shared" si="37"/>
        <v>3.3357142857142766E-2</v>
      </c>
    </row>
    <row r="65" spans="1:26" s="24" customFormat="1" hidden="1" outlineLevel="2" x14ac:dyDescent="0.35">
      <c r="A65" s="29"/>
      <c r="B65" s="11" t="str">
        <f>CONCATENATE("          ", "6373", " - ", "MAINTENANCE CONTRACTS")</f>
        <v xml:space="preserve">          6373 - MAINTENANCE CONTRACTS</v>
      </c>
      <c r="C65" s="11"/>
      <c r="D65" s="7"/>
      <c r="E65" s="2"/>
      <c r="F65" s="6">
        <f t="shared" si="30"/>
        <v>0</v>
      </c>
      <c r="G65" s="2"/>
      <c r="H65" s="7">
        <v>20</v>
      </c>
      <c r="I65" s="2"/>
      <c r="J65" s="6">
        <f t="shared" si="31"/>
        <v>5.0200803212851401E-4</v>
      </c>
      <c r="K65" s="2"/>
      <c r="L65" s="7">
        <f t="shared" si="32"/>
        <v>-20</v>
      </c>
      <c r="M65" s="2"/>
      <c r="N65" s="6">
        <f t="shared" si="33"/>
        <v>-1</v>
      </c>
      <c r="O65" s="11"/>
      <c r="P65" s="7">
        <v>144.66999999999999</v>
      </c>
      <c r="Q65" s="2"/>
      <c r="R65" s="6">
        <f t="shared" si="34"/>
        <v>0</v>
      </c>
      <c r="S65" s="2"/>
      <c r="T65" s="7">
        <v>140</v>
      </c>
      <c r="U65" s="2"/>
      <c r="V65" s="6">
        <f t="shared" si="35"/>
        <v>4.576165369541697E-4</v>
      </c>
      <c r="W65" s="2"/>
      <c r="X65" s="7">
        <f t="shared" si="36"/>
        <v>4.6699999999999875</v>
      </c>
      <c r="Y65" s="2"/>
      <c r="Z65" s="6">
        <f t="shared" si="37"/>
        <v>3.3357142857142766E-2</v>
      </c>
    </row>
    <row r="66" spans="1:26" s="28" customFormat="1" outlineLevel="1" collapsed="1" x14ac:dyDescent="0.35">
      <c r="A66" s="27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SUM(OSRRefD22_13x_0)</f>
        <v>1937.15</v>
      </c>
      <c r="E66" s="1"/>
      <c r="F66" s="5">
        <f t="shared" si="30"/>
        <v>0</v>
      </c>
      <c r="G66" s="1"/>
      <c r="H66" s="1">
        <f>SUM(OSRRefH22_13x_0)</f>
        <v>6502</v>
      </c>
      <c r="I66" s="1"/>
      <c r="J66" s="5">
        <f t="shared" si="31"/>
        <v>0.16320281124497993</v>
      </c>
      <c r="K66" s="1"/>
      <c r="L66" s="1">
        <f t="shared" si="32"/>
        <v>-4564.8500000000004</v>
      </c>
      <c r="M66" s="1"/>
      <c r="N66" s="5">
        <f t="shared" si="33"/>
        <v>-0.70206859427868351</v>
      </c>
      <c r="O66" s="14"/>
      <c r="P66" s="1">
        <f>SUM(OSRRefP22_13x_0)</f>
        <v>4687.4800000000005</v>
      </c>
      <c r="Q66" s="1"/>
      <c r="R66" s="5">
        <f t="shared" si="34"/>
        <v>0</v>
      </c>
      <c r="S66" s="1"/>
      <c r="T66" s="1">
        <f>SUM(OSRRefT22_13x_0)</f>
        <v>43984</v>
      </c>
      <c r="U66" s="1"/>
      <c r="V66" s="5">
        <f t="shared" si="35"/>
        <v>0.14377004115280143</v>
      </c>
      <c r="W66" s="1"/>
      <c r="X66" s="1">
        <f t="shared" si="36"/>
        <v>-39296.519999999997</v>
      </c>
      <c r="Y66" s="1"/>
      <c r="Z66" s="5">
        <f t="shared" si="37"/>
        <v>-0.89342761004001447</v>
      </c>
    </row>
    <row r="67" spans="1:26" s="24" customFormat="1" hidden="1" outlineLevel="2" x14ac:dyDescent="0.35">
      <c r="A67" s="29"/>
      <c r="B67" s="11" t="str">
        <f>CONCATENATE("          ", "6282", " - ", "JANITORIAL/EXTERMINATOR EXPENS")</f>
        <v xml:space="preserve">          6282 - JANITORIAL/EXTERMINATOR EXPENS</v>
      </c>
      <c r="C67" s="11"/>
      <c r="D67" s="7">
        <v>1937.15</v>
      </c>
      <c r="E67" s="2"/>
      <c r="F67" s="6">
        <f t="shared" si="30"/>
        <v>0</v>
      </c>
      <c r="G67" s="2"/>
      <c r="H67" s="7">
        <v>850</v>
      </c>
      <c r="I67" s="2"/>
      <c r="J67" s="6">
        <f t="shared" si="31"/>
        <v>2.1335341365461849E-2</v>
      </c>
      <c r="K67" s="2"/>
      <c r="L67" s="7">
        <f t="shared" si="32"/>
        <v>1087.1500000000001</v>
      </c>
      <c r="M67" s="2"/>
      <c r="N67" s="6">
        <f t="shared" si="33"/>
        <v>1.2790000000000001</v>
      </c>
      <c r="O67" s="11"/>
      <c r="P67" s="7">
        <v>4089.61</v>
      </c>
      <c r="Q67" s="2"/>
      <c r="R67" s="6">
        <f t="shared" si="34"/>
        <v>0</v>
      </c>
      <c r="S67" s="2"/>
      <c r="T67" s="7">
        <v>5950</v>
      </c>
      <c r="U67" s="2"/>
      <c r="V67" s="6">
        <f t="shared" si="35"/>
        <v>1.9448702820552211E-2</v>
      </c>
      <c r="W67" s="2"/>
      <c r="X67" s="7">
        <f t="shared" si="36"/>
        <v>-1860.3899999999999</v>
      </c>
      <c r="Y67" s="2"/>
      <c r="Z67" s="6">
        <f t="shared" si="37"/>
        <v>-0.31267058823529409</v>
      </c>
    </row>
    <row r="68" spans="1:26" s="24" customFormat="1" hidden="1" outlineLevel="2" x14ac:dyDescent="0.35">
      <c r="A68" s="29"/>
      <c r="B68" s="11" t="str">
        <f>CONCATENATE("          ", "6285", " - ", "JANITORIAL SERVICES")</f>
        <v xml:space="preserve">          6285 - JANITORIAL SERVICES</v>
      </c>
      <c r="C68" s="11"/>
      <c r="D68" s="7"/>
      <c r="E68" s="2"/>
      <c r="F68" s="6">
        <f t="shared" si="30"/>
        <v>0</v>
      </c>
      <c r="G68" s="2"/>
      <c r="H68" s="7">
        <v>4152</v>
      </c>
      <c r="I68" s="2"/>
      <c r="J68" s="6">
        <f t="shared" si="31"/>
        <v>0.10421686746987951</v>
      </c>
      <c r="K68" s="2"/>
      <c r="L68" s="7">
        <f t="shared" si="32"/>
        <v>-4152</v>
      </c>
      <c r="M68" s="2"/>
      <c r="N68" s="6">
        <f t="shared" si="33"/>
        <v>-1</v>
      </c>
      <c r="O68" s="11"/>
      <c r="P68" s="7"/>
      <c r="Q68" s="2"/>
      <c r="R68" s="6">
        <f t="shared" si="34"/>
        <v>0</v>
      </c>
      <c r="S68" s="2"/>
      <c r="T68" s="7">
        <v>27534</v>
      </c>
      <c r="U68" s="2"/>
      <c r="V68" s="6">
        <f t="shared" si="35"/>
        <v>9.0000098060686484E-2</v>
      </c>
      <c r="W68" s="2"/>
      <c r="X68" s="7">
        <f t="shared" si="36"/>
        <v>-27534</v>
      </c>
      <c r="Y68" s="2"/>
      <c r="Z68" s="6">
        <f t="shared" si="37"/>
        <v>-1</v>
      </c>
    </row>
    <row r="69" spans="1:26" s="24" customFormat="1" hidden="1" outlineLevel="2" x14ac:dyDescent="0.35">
      <c r="A69" s="29"/>
      <c r="B69" s="11" t="str">
        <f>CONCATENATE("          ", "6286", " - ", "LAUNDRY EXPENSE")</f>
        <v xml:space="preserve">          6286 - LAUNDRY EXPENSE</v>
      </c>
      <c r="C69" s="11"/>
      <c r="D69" s="7"/>
      <c r="E69" s="2"/>
      <c r="F69" s="6">
        <f t="shared" si="30"/>
        <v>0</v>
      </c>
      <c r="G69" s="2"/>
      <c r="H69" s="7">
        <v>1500</v>
      </c>
      <c r="I69" s="2"/>
      <c r="J69" s="6">
        <f t="shared" si="31"/>
        <v>3.7650602409638557E-2</v>
      </c>
      <c r="K69" s="2"/>
      <c r="L69" s="7">
        <f t="shared" si="32"/>
        <v>-1500</v>
      </c>
      <c r="M69" s="2"/>
      <c r="N69" s="6">
        <f t="shared" si="33"/>
        <v>-1</v>
      </c>
      <c r="O69" s="11"/>
      <c r="P69" s="7">
        <v>597.87</v>
      </c>
      <c r="Q69" s="2"/>
      <c r="R69" s="6">
        <f t="shared" si="34"/>
        <v>0</v>
      </c>
      <c r="S69" s="2"/>
      <c r="T69" s="7">
        <v>10500</v>
      </c>
      <c r="U69" s="2"/>
      <c r="V69" s="6">
        <f t="shared" si="35"/>
        <v>3.4321240271562727E-2</v>
      </c>
      <c r="W69" s="2"/>
      <c r="X69" s="7">
        <f t="shared" si="36"/>
        <v>-9902.1299999999992</v>
      </c>
      <c r="Y69" s="2"/>
      <c r="Z69" s="6">
        <f t="shared" si="37"/>
        <v>-0.9430599999999999</v>
      </c>
    </row>
    <row r="70" spans="1:26" s="28" customFormat="1" outlineLevel="1" collapsed="1" x14ac:dyDescent="0.35">
      <c r="A70" s="27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SUM(OSRRefD22_14x_0)</f>
        <v>0</v>
      </c>
      <c r="E70" s="1"/>
      <c r="F70" s="5">
        <f t="shared" ref="F70:F77" si="38">IF(D$12=0,0,D70/D$12)</f>
        <v>0</v>
      </c>
      <c r="G70" s="1"/>
      <c r="H70" s="1">
        <f>SUM(OSRRefH22_14x_0)</f>
        <v>5700</v>
      </c>
      <c r="I70" s="1"/>
      <c r="J70" s="5">
        <f t="shared" ref="J70:J77" si="39">IF(H$12=0,0,H70/H$12)</f>
        <v>0.14307228915662651</v>
      </c>
      <c r="K70" s="1"/>
      <c r="L70" s="1">
        <f t="shared" ref="L70:L77" si="40">+D70-H70</f>
        <v>-5700</v>
      </c>
      <c r="M70" s="1"/>
      <c r="N70" s="5">
        <f t="shared" ref="N70:N77" si="41">IF(H70=0,0,L70/H70)</f>
        <v>-1</v>
      </c>
      <c r="O70" s="14"/>
      <c r="P70" s="1">
        <f>SUM(OSRRefP22_14x_0)</f>
        <v>57.16</v>
      </c>
      <c r="Q70" s="1"/>
      <c r="R70" s="5">
        <f t="shared" ref="R70:R77" si="42">IF(P$12=0,0,P70/P$12)</f>
        <v>0</v>
      </c>
      <c r="S70" s="1"/>
      <c r="T70" s="1">
        <f>SUM(OSRRefT22_14x_0)</f>
        <v>35740</v>
      </c>
      <c r="U70" s="1"/>
      <c r="V70" s="5">
        <f t="shared" ref="V70:V77" si="43">IF(T$12=0,0,T70/T$12)</f>
        <v>0.11682296450530018</v>
      </c>
      <c r="W70" s="1"/>
      <c r="X70" s="1">
        <f t="shared" ref="X70:X77" si="44">+P70-T70</f>
        <v>-35682.839999999997</v>
      </c>
      <c r="Y70" s="1"/>
      <c r="Z70" s="5">
        <f t="shared" ref="Z70:Z77" si="45">IF(T70=0,0,X70/T70)</f>
        <v>-0.99840067151650802</v>
      </c>
    </row>
    <row r="71" spans="1:26" s="24" customFormat="1" hidden="1" outlineLevel="2" x14ac:dyDescent="0.35">
      <c r="A71" s="29"/>
      <c r="B71" s="11" t="str">
        <f>CONCATENATE("          ", "6235", " - ", "COVID-19 EXPENSES")</f>
        <v xml:space="preserve">          6235 - COVID-19 EXPENSES</v>
      </c>
      <c r="C71" s="11"/>
      <c r="D71" s="7"/>
      <c r="E71" s="2"/>
      <c r="F71" s="6">
        <f t="shared" si="38"/>
        <v>0</v>
      </c>
      <c r="G71" s="2"/>
      <c r="H71" s="7">
        <v>3000</v>
      </c>
      <c r="I71" s="2"/>
      <c r="J71" s="6">
        <f t="shared" si="39"/>
        <v>7.5301204819277115E-2</v>
      </c>
      <c r="K71" s="2"/>
      <c r="L71" s="7">
        <f t="shared" si="40"/>
        <v>-3000</v>
      </c>
      <c r="M71" s="2"/>
      <c r="N71" s="6">
        <f t="shared" si="41"/>
        <v>-1</v>
      </c>
      <c r="O71" s="11"/>
      <c r="P71" s="7"/>
      <c r="Q71" s="2"/>
      <c r="R71" s="6">
        <f t="shared" si="42"/>
        <v>0</v>
      </c>
      <c r="S71" s="2"/>
      <c r="T71" s="7">
        <v>18000</v>
      </c>
      <c r="U71" s="2"/>
      <c r="V71" s="6">
        <f t="shared" si="43"/>
        <v>5.8836411894107536E-2</v>
      </c>
      <c r="W71" s="2"/>
      <c r="X71" s="7">
        <f t="shared" si="44"/>
        <v>-18000</v>
      </c>
      <c r="Y71" s="2"/>
      <c r="Z71" s="6">
        <f t="shared" si="45"/>
        <v>-1</v>
      </c>
    </row>
    <row r="72" spans="1:26" s="24" customFormat="1" hidden="1" outlineLevel="2" x14ac:dyDescent="0.35">
      <c r="A72" s="29"/>
      <c r="B72" s="11" t="str">
        <f>CONCATENATE("          ", "6237", " - ", "JANITORIAL SUPPLIES")</f>
        <v xml:space="preserve">          6237 - JANITORIAL SUPPLIES</v>
      </c>
      <c r="C72" s="11"/>
      <c r="D72" s="7"/>
      <c r="E72" s="2"/>
      <c r="F72" s="6">
        <f t="shared" si="38"/>
        <v>0</v>
      </c>
      <c r="G72" s="2"/>
      <c r="H72" s="7">
        <v>2000</v>
      </c>
      <c r="I72" s="2"/>
      <c r="J72" s="6">
        <f t="shared" si="39"/>
        <v>5.0200803212851405E-2</v>
      </c>
      <c r="K72" s="2"/>
      <c r="L72" s="7">
        <f t="shared" si="40"/>
        <v>-2000</v>
      </c>
      <c r="M72" s="2"/>
      <c r="N72" s="6">
        <f t="shared" si="41"/>
        <v>-1</v>
      </c>
      <c r="O72" s="11"/>
      <c r="P72" s="7"/>
      <c r="Q72" s="2"/>
      <c r="R72" s="6">
        <f t="shared" si="42"/>
        <v>0</v>
      </c>
      <c r="S72" s="2"/>
      <c r="T72" s="7">
        <v>13000</v>
      </c>
      <c r="U72" s="2"/>
      <c r="V72" s="6">
        <f t="shared" si="43"/>
        <v>4.2492964145744327E-2</v>
      </c>
      <c r="W72" s="2"/>
      <c r="X72" s="7">
        <f t="shared" si="44"/>
        <v>-13000</v>
      </c>
      <c r="Y72" s="2"/>
      <c r="Z72" s="6">
        <f t="shared" si="45"/>
        <v>-1</v>
      </c>
    </row>
    <row r="73" spans="1:26" s="24" customFormat="1" hidden="1" outlineLevel="2" x14ac:dyDescent="0.35">
      <c r="A73" s="29"/>
      <c r="B73" s="11" t="str">
        <f>CONCATENATE("          ", "6239", " - ", "KITCHEN SUPPLIES")</f>
        <v xml:space="preserve">          6239 - KITCHEN SUPPLIES</v>
      </c>
      <c r="C73" s="11"/>
      <c r="D73" s="7"/>
      <c r="E73" s="2"/>
      <c r="F73" s="6">
        <f t="shared" si="38"/>
        <v>0</v>
      </c>
      <c r="G73" s="2"/>
      <c r="H73" s="7">
        <v>300</v>
      </c>
      <c r="I73" s="2"/>
      <c r="J73" s="6">
        <f t="shared" si="39"/>
        <v>7.5301204819277108E-3</v>
      </c>
      <c r="K73" s="2"/>
      <c r="L73" s="7">
        <f t="shared" si="40"/>
        <v>-300</v>
      </c>
      <c r="M73" s="2"/>
      <c r="N73" s="6">
        <f t="shared" si="41"/>
        <v>-1</v>
      </c>
      <c r="O73" s="11"/>
      <c r="P73" s="7"/>
      <c r="Q73" s="2"/>
      <c r="R73" s="6">
        <f t="shared" si="42"/>
        <v>0</v>
      </c>
      <c r="S73" s="2"/>
      <c r="T73" s="7">
        <v>1800</v>
      </c>
      <c r="U73" s="2"/>
      <c r="V73" s="6">
        <f t="shared" si="43"/>
        <v>5.8836411894107529E-3</v>
      </c>
      <c r="W73" s="2"/>
      <c r="X73" s="7">
        <f t="shared" si="44"/>
        <v>-1800</v>
      </c>
      <c r="Y73" s="2"/>
      <c r="Z73" s="6">
        <f t="shared" si="45"/>
        <v>-1</v>
      </c>
    </row>
    <row r="74" spans="1:26" s="24" customFormat="1" hidden="1" outlineLevel="2" x14ac:dyDescent="0.35">
      <c r="A74" s="29"/>
      <c r="B74" s="11" t="str">
        <f>CONCATENATE("          ", "6241", " - ", "OFFICE EXPENSE")</f>
        <v xml:space="preserve">          6241 - OFFICE EXPENSE</v>
      </c>
      <c r="C74" s="11"/>
      <c r="D74" s="7"/>
      <c r="E74" s="2"/>
      <c r="F74" s="6">
        <f t="shared" si="38"/>
        <v>0</v>
      </c>
      <c r="G74" s="2"/>
      <c r="H74" s="7">
        <v>250</v>
      </c>
      <c r="I74" s="2"/>
      <c r="J74" s="6">
        <f t="shared" si="39"/>
        <v>6.2751004016064257E-3</v>
      </c>
      <c r="K74" s="2"/>
      <c r="L74" s="7">
        <f t="shared" si="40"/>
        <v>-250</v>
      </c>
      <c r="M74" s="2"/>
      <c r="N74" s="6">
        <f t="shared" si="41"/>
        <v>-1</v>
      </c>
      <c r="O74" s="11"/>
      <c r="P74" s="7">
        <v>57.16</v>
      </c>
      <c r="Q74" s="2"/>
      <c r="R74" s="6">
        <f t="shared" si="42"/>
        <v>0</v>
      </c>
      <c r="S74" s="2"/>
      <c r="T74" s="7">
        <v>1500</v>
      </c>
      <c r="U74" s="2"/>
      <c r="V74" s="6">
        <f t="shared" si="43"/>
        <v>4.9030343245089611E-3</v>
      </c>
      <c r="W74" s="2"/>
      <c r="X74" s="7">
        <f t="shared" si="44"/>
        <v>-1442.84</v>
      </c>
      <c r="Y74" s="2"/>
      <c r="Z74" s="6">
        <f t="shared" si="45"/>
        <v>-0.96189333333333327</v>
      </c>
    </row>
    <row r="75" spans="1:26" s="24" customFormat="1" hidden="1" outlineLevel="2" x14ac:dyDescent="0.35">
      <c r="A75" s="29"/>
      <c r="B75" s="11" t="str">
        <f>CONCATENATE("          ", "6244", " - ", "SAFETY SUPPLY EXPENSE")</f>
        <v xml:space="preserve">          6244 - SAFETY SUPPLY EXPENSE</v>
      </c>
      <c r="C75" s="11"/>
      <c r="D75" s="7"/>
      <c r="E75" s="2"/>
      <c r="F75" s="6">
        <f t="shared" si="38"/>
        <v>0</v>
      </c>
      <c r="G75" s="2"/>
      <c r="H75" s="7"/>
      <c r="I75" s="2"/>
      <c r="J75" s="6">
        <f t="shared" si="39"/>
        <v>0</v>
      </c>
      <c r="K75" s="2"/>
      <c r="L75" s="7">
        <f t="shared" si="40"/>
        <v>0</v>
      </c>
      <c r="M75" s="2"/>
      <c r="N75" s="6">
        <f t="shared" si="41"/>
        <v>0</v>
      </c>
      <c r="O75" s="11"/>
      <c r="P75" s="7"/>
      <c r="Q75" s="2"/>
      <c r="R75" s="6">
        <f t="shared" si="42"/>
        <v>0</v>
      </c>
      <c r="S75" s="2"/>
      <c r="T75" s="7">
        <v>40</v>
      </c>
      <c r="U75" s="2"/>
      <c r="V75" s="6">
        <f t="shared" si="43"/>
        <v>1.3074758198690562E-4</v>
      </c>
      <c r="W75" s="2"/>
      <c r="X75" s="7">
        <f t="shared" si="44"/>
        <v>-40</v>
      </c>
      <c r="Y75" s="2"/>
      <c r="Z75" s="6">
        <f t="shared" si="45"/>
        <v>-1</v>
      </c>
    </row>
    <row r="76" spans="1:26" s="24" customFormat="1" hidden="1" outlineLevel="2" x14ac:dyDescent="0.35">
      <c r="A76" s="29"/>
      <c r="B76" s="11" t="str">
        <f>CONCATENATE("          ", "6245", " - ", "PRINTING")</f>
        <v xml:space="preserve">          6245 - PRINTING</v>
      </c>
      <c r="C76" s="11"/>
      <c r="D76" s="7"/>
      <c r="E76" s="2"/>
      <c r="F76" s="6">
        <f t="shared" si="38"/>
        <v>0</v>
      </c>
      <c r="G76" s="2"/>
      <c r="H76" s="7"/>
      <c r="I76" s="2"/>
      <c r="J76" s="6">
        <f t="shared" si="39"/>
        <v>0</v>
      </c>
      <c r="K76" s="2"/>
      <c r="L76" s="7">
        <f t="shared" si="40"/>
        <v>0</v>
      </c>
      <c r="M76" s="2"/>
      <c r="N76" s="6">
        <f t="shared" si="41"/>
        <v>0</v>
      </c>
      <c r="O76" s="11"/>
      <c r="P76" s="7"/>
      <c r="Q76" s="2"/>
      <c r="R76" s="6">
        <f t="shared" si="42"/>
        <v>0</v>
      </c>
      <c r="S76" s="2"/>
      <c r="T76" s="7">
        <v>500</v>
      </c>
      <c r="U76" s="2"/>
      <c r="V76" s="6">
        <f t="shared" si="43"/>
        <v>1.6343447748363204E-3</v>
      </c>
      <c r="W76" s="2"/>
      <c r="X76" s="7">
        <f t="shared" si="44"/>
        <v>-500</v>
      </c>
      <c r="Y76" s="2"/>
      <c r="Z76" s="6">
        <f t="shared" si="45"/>
        <v>-1</v>
      </c>
    </row>
    <row r="77" spans="1:26" s="24" customFormat="1" hidden="1" outlineLevel="2" x14ac:dyDescent="0.35">
      <c r="A77" s="29"/>
      <c r="B77" s="11" t="str">
        <f>CONCATENATE("          ", "6248", " - ", "UNIFORMS")</f>
        <v xml:space="preserve">          6248 - UNIFORMS</v>
      </c>
      <c r="C77" s="11"/>
      <c r="D77" s="7"/>
      <c r="E77" s="2"/>
      <c r="F77" s="6">
        <f t="shared" si="38"/>
        <v>0</v>
      </c>
      <c r="G77" s="2"/>
      <c r="H77" s="7">
        <v>150</v>
      </c>
      <c r="I77" s="2"/>
      <c r="J77" s="6">
        <f t="shared" si="39"/>
        <v>3.7650602409638554E-3</v>
      </c>
      <c r="K77" s="2"/>
      <c r="L77" s="7">
        <f t="shared" si="40"/>
        <v>-150</v>
      </c>
      <c r="M77" s="2"/>
      <c r="N77" s="6">
        <f t="shared" si="41"/>
        <v>-1</v>
      </c>
      <c r="O77" s="11"/>
      <c r="P77" s="7"/>
      <c r="Q77" s="2"/>
      <c r="R77" s="6">
        <f t="shared" si="42"/>
        <v>0</v>
      </c>
      <c r="S77" s="2"/>
      <c r="T77" s="7">
        <v>900</v>
      </c>
      <c r="U77" s="2"/>
      <c r="V77" s="6">
        <f t="shared" si="43"/>
        <v>2.9418205947053765E-3</v>
      </c>
      <c r="W77" s="2"/>
      <c r="X77" s="7">
        <f t="shared" si="44"/>
        <v>-900</v>
      </c>
      <c r="Y77" s="2"/>
      <c r="Z77" s="6">
        <f t="shared" si="45"/>
        <v>-1</v>
      </c>
    </row>
    <row r="78" spans="1:26" s="28" customFormat="1" outlineLevel="1" collapsed="1" x14ac:dyDescent="0.35">
      <c r="A78" s="27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SUM(OSRRefD22_15x_0)</f>
        <v>0</v>
      </c>
      <c r="E78" s="1"/>
      <c r="F78" s="5">
        <f t="shared" ref="F78:F80" si="46">IF(D$12=0,0,D78/D$12)</f>
        <v>0</v>
      </c>
      <c r="G78" s="1"/>
      <c r="H78" s="1">
        <f>SUM(OSRRefH22_15x_0)</f>
        <v>140</v>
      </c>
      <c r="I78" s="1"/>
      <c r="J78" s="5">
        <f t="shared" ref="J78:J80" si="47">IF(H$12=0,0,H78/H$12)</f>
        <v>3.5140562248995983E-3</v>
      </c>
      <c r="K78" s="1"/>
      <c r="L78" s="1">
        <f t="shared" ref="L78:L80" si="48">+D78-H78</f>
        <v>-140</v>
      </c>
      <c r="M78" s="1"/>
      <c r="N78" s="5">
        <f t="shared" ref="N78:N80" si="49">IF(H78=0,0,L78/H78)</f>
        <v>-1</v>
      </c>
      <c r="O78" s="14"/>
      <c r="P78" s="1">
        <f>SUM(OSRRefP22_15x_0)</f>
        <v>579.63</v>
      </c>
      <c r="Q78" s="1"/>
      <c r="R78" s="5">
        <f t="shared" ref="R78:R80" si="50">IF(P$12=0,0,P78/P$12)</f>
        <v>0</v>
      </c>
      <c r="S78" s="1"/>
      <c r="T78" s="1">
        <f>SUM(OSRRefT22_15x_0)</f>
        <v>980</v>
      </c>
      <c r="U78" s="1"/>
      <c r="V78" s="5">
        <f t="shared" ref="V78:V80" si="51">IF(T$12=0,0,T78/T$12)</f>
        <v>3.203315758679188E-3</v>
      </c>
      <c r="W78" s="1"/>
      <c r="X78" s="1">
        <f t="shared" ref="X78:X80" si="52">+P78-T78</f>
        <v>-400.37</v>
      </c>
      <c r="Y78" s="1"/>
      <c r="Z78" s="5">
        <f t="shared" ref="Z78:Z80" si="53">IF(T78=0,0,X78/T78)</f>
        <v>-0.40854081632653061</v>
      </c>
    </row>
    <row r="79" spans="1:26" s="24" customFormat="1" hidden="1" outlineLevel="2" x14ac:dyDescent="0.35">
      <c r="A79" s="29"/>
      <c r="B79" s="11" t="str">
        <f>CONCATENATE("          ", "6303", " - ", "DATA PHONE LINES")</f>
        <v xml:space="preserve">          6303 - DATA PHONE LINES</v>
      </c>
      <c r="C79" s="11"/>
      <c r="D79" s="7"/>
      <c r="E79" s="2"/>
      <c r="F79" s="6">
        <f t="shared" si="46"/>
        <v>0</v>
      </c>
      <c r="G79" s="2"/>
      <c r="H79" s="7">
        <v>140</v>
      </c>
      <c r="I79" s="2"/>
      <c r="J79" s="6">
        <f t="shared" si="47"/>
        <v>3.5140562248995983E-3</v>
      </c>
      <c r="K79" s="2"/>
      <c r="L79" s="7">
        <f t="shared" si="48"/>
        <v>-140</v>
      </c>
      <c r="M79" s="2"/>
      <c r="N79" s="6">
        <f t="shared" si="49"/>
        <v>-1</v>
      </c>
      <c r="O79" s="11"/>
      <c r="P79" s="7"/>
      <c r="Q79" s="2"/>
      <c r="R79" s="6">
        <f t="shared" si="50"/>
        <v>0</v>
      </c>
      <c r="S79" s="2"/>
      <c r="T79" s="7">
        <v>980</v>
      </c>
      <c r="U79" s="2"/>
      <c r="V79" s="6">
        <f t="shared" si="51"/>
        <v>3.203315758679188E-3</v>
      </c>
      <c r="W79" s="2"/>
      <c r="X79" s="7">
        <f t="shared" si="52"/>
        <v>-980</v>
      </c>
      <c r="Y79" s="2"/>
      <c r="Z79" s="6">
        <f t="shared" si="53"/>
        <v>-1</v>
      </c>
    </row>
    <row r="80" spans="1:26" s="24" customFormat="1" hidden="1" outlineLevel="2" x14ac:dyDescent="0.35">
      <c r="A80" s="29"/>
      <c r="B80" s="11" t="str">
        <f>CONCATENATE("          ", "6309", " - ", "TELEPHONE")</f>
        <v xml:space="preserve">          6309 - TELEPHONE</v>
      </c>
      <c r="C80" s="11"/>
      <c r="D80" s="7"/>
      <c r="E80" s="2"/>
      <c r="F80" s="6">
        <f t="shared" si="46"/>
        <v>0</v>
      </c>
      <c r="G80" s="2"/>
      <c r="H80" s="7"/>
      <c r="I80" s="2"/>
      <c r="J80" s="6">
        <f t="shared" si="47"/>
        <v>0</v>
      </c>
      <c r="K80" s="2"/>
      <c r="L80" s="7">
        <f t="shared" si="48"/>
        <v>0</v>
      </c>
      <c r="M80" s="2"/>
      <c r="N80" s="6">
        <f t="shared" si="49"/>
        <v>0</v>
      </c>
      <c r="O80" s="11"/>
      <c r="P80" s="7">
        <v>579.63</v>
      </c>
      <c r="Q80" s="2"/>
      <c r="R80" s="6">
        <f t="shared" si="50"/>
        <v>0</v>
      </c>
      <c r="S80" s="2"/>
      <c r="T80" s="7"/>
      <c r="U80" s="2"/>
      <c r="V80" s="6">
        <f t="shared" si="51"/>
        <v>0</v>
      </c>
      <c r="W80" s="2"/>
      <c r="X80" s="7">
        <f t="shared" si="52"/>
        <v>579.63</v>
      </c>
      <c r="Y80" s="2"/>
      <c r="Z80" s="6">
        <f t="shared" si="53"/>
        <v>0</v>
      </c>
    </row>
    <row r="81" spans="1:26" s="28" customFormat="1" outlineLevel="1" collapsed="1" x14ac:dyDescent="0.35">
      <c r="A81" s="27"/>
      <c r="B81" s="14" t="str">
        <f>CONCATENATE("     ","Training                                          ")</f>
        <v xml:space="preserve">     Training                                          </v>
      </c>
      <c r="C81" s="14"/>
      <c r="D81" s="1">
        <f>SUM(OSRRefD22_16x_0)</f>
        <v>0</v>
      </c>
      <c r="E81" s="1"/>
      <c r="F81" s="5">
        <f t="shared" ref="F81:F82" si="54">IF(D$12=0,0,D81/D$12)</f>
        <v>0</v>
      </c>
      <c r="G81" s="1"/>
      <c r="H81" s="1">
        <f>SUM(OSRRefH22_16x_0)</f>
        <v>200</v>
      </c>
      <c r="I81" s="1"/>
      <c r="J81" s="5">
        <f t="shared" ref="J81:J82" si="55">IF(H$12=0,0,H81/H$12)</f>
        <v>5.0200803212851405E-3</v>
      </c>
      <c r="K81" s="1"/>
      <c r="L81" s="1">
        <f t="shared" ref="L81:L82" si="56">+D81-H81</f>
        <v>-200</v>
      </c>
      <c r="M81" s="1"/>
      <c r="N81" s="5">
        <f t="shared" ref="N81:N82" si="57">IF(H81=0,0,L81/H81)</f>
        <v>-1</v>
      </c>
      <c r="O81" s="14"/>
      <c r="P81" s="1">
        <f>SUM(OSRRefP22_16x_0)</f>
        <v>0</v>
      </c>
      <c r="Q81" s="1"/>
      <c r="R81" s="5">
        <f t="shared" ref="R81:R82" si="58">IF(P$12=0,0,P81/P$12)</f>
        <v>0</v>
      </c>
      <c r="S81" s="1"/>
      <c r="T81" s="1">
        <f>SUM(OSRRefT22_16x_0)</f>
        <v>1400</v>
      </c>
      <c r="U81" s="1"/>
      <c r="V81" s="5">
        <f t="shared" ref="V81:V82" si="59">IF(T$12=0,0,T81/T$12)</f>
        <v>4.5761653695416968E-3</v>
      </c>
      <c r="W81" s="1"/>
      <c r="X81" s="1">
        <f t="shared" ref="X81:X82" si="60">+P81-T81</f>
        <v>-1400</v>
      </c>
      <c r="Y81" s="1"/>
      <c r="Z81" s="5">
        <f t="shared" ref="Z81:Z82" si="61">IF(T81=0,0,X81/T81)</f>
        <v>-1</v>
      </c>
    </row>
    <row r="82" spans="1:26" s="24" customFormat="1" hidden="1" outlineLevel="2" x14ac:dyDescent="0.35">
      <c r="A82" s="29"/>
      <c r="B82" s="11" t="str">
        <f>CONCATENATE("          ", "6376", " - ", "TRAINING")</f>
        <v xml:space="preserve">          6376 - TRAINING</v>
      </c>
      <c r="C82" s="11"/>
      <c r="D82" s="7"/>
      <c r="E82" s="2"/>
      <c r="F82" s="6">
        <f t="shared" si="54"/>
        <v>0</v>
      </c>
      <c r="G82" s="2"/>
      <c r="H82" s="7">
        <v>200</v>
      </c>
      <c r="I82" s="2"/>
      <c r="J82" s="6">
        <f t="shared" si="55"/>
        <v>5.0200803212851405E-3</v>
      </c>
      <c r="K82" s="2"/>
      <c r="L82" s="7">
        <f t="shared" si="56"/>
        <v>-200</v>
      </c>
      <c r="M82" s="2"/>
      <c r="N82" s="6">
        <f t="shared" si="57"/>
        <v>-1</v>
      </c>
      <c r="O82" s="11"/>
      <c r="P82" s="7"/>
      <c r="Q82" s="2"/>
      <c r="R82" s="6">
        <f t="shared" si="58"/>
        <v>0</v>
      </c>
      <c r="S82" s="2"/>
      <c r="T82" s="7">
        <v>1400</v>
      </c>
      <c r="U82" s="2"/>
      <c r="V82" s="6">
        <f t="shared" si="59"/>
        <v>4.5761653695416968E-3</v>
      </c>
      <c r="W82" s="2"/>
      <c r="X82" s="7">
        <f t="shared" si="60"/>
        <v>-1400</v>
      </c>
      <c r="Y82" s="2"/>
      <c r="Z82" s="6">
        <f t="shared" si="61"/>
        <v>-1</v>
      </c>
    </row>
    <row r="83" spans="1:26" s="55" customFormat="1" x14ac:dyDescent="0.3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35">
      <c r="A84" s="10"/>
      <c r="B84" s="25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3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35">
      <c r="A86" s="10"/>
      <c r="B86" s="26" t="s">
        <v>3</v>
      </c>
      <c r="C86" s="26"/>
      <c r="D86" s="19">
        <f>+D19-D21+D84</f>
        <v>-41216.369999999995</v>
      </c>
      <c r="E86" s="13"/>
      <c r="F86" s="21">
        <f>IF(D$12=0,0,D86/D$12)</f>
        <v>0</v>
      </c>
      <c r="G86" s="13"/>
      <c r="H86" s="19">
        <f>+H19-H21+H84</f>
        <v>-74258.015838234554</v>
      </c>
      <c r="I86" s="13"/>
      <c r="J86" s="21">
        <f>IF(H$12=0,0,H86/H$12)</f>
        <v>-1.8639060200360078</v>
      </c>
      <c r="K86" s="16"/>
      <c r="L86" s="19">
        <f>+D86-H86</f>
        <v>33041.645838234559</v>
      </c>
      <c r="M86" s="16"/>
      <c r="N86" s="21">
        <f>IF(H86=0,0,L86/H86)</f>
        <v>-0.44495729471432788</v>
      </c>
      <c r="O86" s="25"/>
      <c r="P86" s="19">
        <f>+P19-P21+P84</f>
        <v>-290086.99999999988</v>
      </c>
      <c r="Q86" s="13"/>
      <c r="R86" s="21">
        <f>IF(P$12=0,0,P86/P$12)</f>
        <v>0</v>
      </c>
      <c r="S86" s="13"/>
      <c r="T86" s="19">
        <f>+T19-T21+T84</f>
        <v>-420126.93838455423</v>
      </c>
      <c r="U86" s="13"/>
      <c r="V86" s="21">
        <f>IF(T$12=0,0,T86/T$12)</f>
        <v>-1.3732645330335538</v>
      </c>
      <c r="W86" s="16"/>
      <c r="X86" s="19">
        <f>+P86-T86</f>
        <v>130039.93838455435</v>
      </c>
      <c r="Y86" s="16"/>
      <c r="Z86" s="21">
        <f>IF(T86=0,0,X86/T86)</f>
        <v>-0.30952535175339091</v>
      </c>
    </row>
    <row r="87" spans="1:26" x14ac:dyDescent="0.3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35">
      <c r="A88" s="52"/>
      <c r="B88" s="10" t="s">
        <v>14</v>
      </c>
      <c r="C88" s="10"/>
      <c r="D88" s="4"/>
      <c r="E88" s="4"/>
      <c r="F88" s="12">
        <f>IF(D$12=0,0,D88/D$12)</f>
        <v>0</v>
      </c>
      <c r="G88" s="4"/>
      <c r="H88" s="4">
        <v>2617</v>
      </c>
      <c r="I88" s="4"/>
      <c r="J88" s="12">
        <f>IF(H$12=0,0,H88/H$12)</f>
        <v>6.5687751004016068E-2</v>
      </c>
      <c r="K88" s="4"/>
      <c r="L88" s="4">
        <f>+D88-H88</f>
        <v>-2617</v>
      </c>
      <c r="M88" s="4"/>
      <c r="N88" s="12">
        <f>IF(H88=0,0,L88/H88)</f>
        <v>-1</v>
      </c>
      <c r="O88" s="10"/>
      <c r="P88" s="4">
        <v>0</v>
      </c>
      <c r="Q88" s="4"/>
      <c r="R88" s="12">
        <f>IF(P$12=0,0,P88/P$12)</f>
        <v>0</v>
      </c>
      <c r="S88" s="4"/>
      <c r="T88" s="4">
        <v>53092</v>
      </c>
      <c r="U88" s="4"/>
      <c r="V88" s="12">
        <f>IF(T$12=0,0,T88/T$12)</f>
        <v>0.17354126557121985</v>
      </c>
      <c r="W88" s="4"/>
      <c r="X88" s="4">
        <f>+P88-T88</f>
        <v>-53092</v>
      </c>
      <c r="Y88" s="4"/>
      <c r="Z88" s="12">
        <f>IF(T88=0,0,X88/T88)</f>
        <v>-1</v>
      </c>
    </row>
    <row r="89" spans="1:26" x14ac:dyDescent="0.3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" thickBot="1" x14ac:dyDescent="0.4">
      <c r="A90" s="10"/>
      <c r="B90" s="26" t="s">
        <v>4</v>
      </c>
      <c r="C90" s="26"/>
      <c r="D90" s="33">
        <f>+D86-D88</f>
        <v>-41216.369999999995</v>
      </c>
      <c r="E90" s="13"/>
      <c r="F90" s="31">
        <f>IF(D$12=0,0,D90/D$12)</f>
        <v>0</v>
      </c>
      <c r="G90" s="13"/>
      <c r="H90" s="33">
        <f>+H86-H88</f>
        <v>-76875.015838234554</v>
      </c>
      <c r="I90" s="13"/>
      <c r="J90" s="31">
        <f>IF(H$12=0,0,H90/H$12)</f>
        <v>-1.9295937710400239</v>
      </c>
      <c r="K90" s="16"/>
      <c r="L90" s="33">
        <f>D90-H90</f>
        <v>35658.645838234559</v>
      </c>
      <c r="M90" s="16"/>
      <c r="N90" s="31">
        <f>IF(H90=0,0,L90/H90)</f>
        <v>-0.46385220802126165</v>
      </c>
      <c r="O90" s="25"/>
      <c r="P90" s="33">
        <f>+P86-P88</f>
        <v>-290086.99999999988</v>
      </c>
      <c r="Q90" s="13"/>
      <c r="R90" s="31">
        <f>IF(P$12=0,0,P90/P$12)</f>
        <v>0</v>
      </c>
      <c r="S90" s="13"/>
      <c r="T90" s="33">
        <f>+T86-T88</f>
        <v>-473218.93838455423</v>
      </c>
      <c r="U90" s="13"/>
      <c r="V90" s="31">
        <f>IF(T$12=0,0,T90/T$12)</f>
        <v>-1.5468057986047736</v>
      </c>
      <c r="W90" s="16"/>
      <c r="X90" s="33">
        <f>P90-T90</f>
        <v>183131.93838455435</v>
      </c>
      <c r="Y90" s="16"/>
      <c r="Z90" s="31">
        <f>IF(T90=0,0,X90/T90)</f>
        <v>-0.38699198939442053</v>
      </c>
    </row>
    <row r="91" spans="1:26" ht="15" thickTop="1" x14ac:dyDescent="0.3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3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" thickBot="1" x14ac:dyDescent="0.4">
      <c r="A93" s="10"/>
      <c r="B93" s="26" t="s">
        <v>5</v>
      </c>
      <c r="C93" s="26"/>
      <c r="D93" s="34">
        <f>SUM(D90:D92)</f>
        <v>-41216.369999999995</v>
      </c>
      <c r="E93" s="13"/>
      <c r="F93" s="32">
        <f>IF(D$12=0,0,D93/D$12)</f>
        <v>0</v>
      </c>
      <c r="G93" s="13"/>
      <c r="H93" s="34">
        <f>SUM(H90:H92)</f>
        <v>-76875.015838234554</v>
      </c>
      <c r="I93" s="13"/>
      <c r="J93" s="32">
        <f>IF(H$12=0,0,H93/H$12)</f>
        <v>-1.9295937710400239</v>
      </c>
      <c r="K93" s="16"/>
      <c r="L93" s="34">
        <f>+D93-H93</f>
        <v>35658.645838234559</v>
      </c>
      <c r="M93" s="16"/>
      <c r="N93" s="32">
        <f>IF(H93=0,0,L93/H93)</f>
        <v>-0.46385220802126165</v>
      </c>
      <c r="O93" s="25"/>
      <c r="P93" s="34">
        <f>SUM(P90:P92)</f>
        <v>-290086.99999999988</v>
      </c>
      <c r="Q93" s="13"/>
      <c r="R93" s="32">
        <f>IF(P$12=0,0,P93/P$12)</f>
        <v>0</v>
      </c>
      <c r="S93" s="13"/>
      <c r="T93" s="34">
        <f>SUM(T90:T92)</f>
        <v>-473218.93838455423</v>
      </c>
      <c r="U93" s="13"/>
      <c r="V93" s="32">
        <f>IF(T$12=0,0,T93/T$12)</f>
        <v>-1.5468057986047736</v>
      </c>
      <c r="W93" s="16"/>
      <c r="X93" s="34">
        <f>+P93-T93</f>
        <v>183131.93838455435</v>
      </c>
      <c r="Y93" s="16"/>
      <c r="Z93" s="32">
        <f>IF(T93=0,0,X93/T93)</f>
        <v>-0.38699198939442053</v>
      </c>
    </row>
    <row r="94" spans="1:26" ht="15" thickTop="1" x14ac:dyDescent="0.35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35">
      <c r="A95" s="9"/>
      <c r="B95" s="60">
        <v>44238.490899270837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35">
      <c r="A96" s="9"/>
      <c r="B96" s="59" t="s">
        <v>314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35">
      <c r="A97" s="9"/>
      <c r="B97" s="58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35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">
        <v>298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33984</v>
      </c>
      <c r="E12" s="4"/>
      <c r="F12" s="12"/>
      <c r="G12" s="4"/>
      <c r="H12" s="4">
        <f>SUM(OSRRefH13x_0)</f>
        <v>34931</v>
      </c>
      <c r="I12" s="4"/>
      <c r="J12" s="12"/>
      <c r="K12" s="4"/>
      <c r="L12" s="4">
        <f t="shared" ref="L12:L13" si="0">+D12-H12</f>
        <v>-947</v>
      </c>
      <c r="M12" s="4"/>
      <c r="N12" s="12">
        <f t="shared" ref="N12:N13" si="1">IF(H12=0,0,L12/H12)</f>
        <v>-2.7110589447768459E-2</v>
      </c>
      <c r="O12" s="10"/>
      <c r="P12" s="4">
        <f>SUM(OSRRefP13x_0)</f>
        <v>369656</v>
      </c>
      <c r="Q12" s="4"/>
      <c r="R12" s="12"/>
      <c r="S12" s="4"/>
      <c r="T12" s="4">
        <f>SUM(OSRRefT13x_0)</f>
        <v>409741</v>
      </c>
      <c r="U12" s="4"/>
      <c r="V12" s="12"/>
      <c r="W12" s="4"/>
      <c r="X12" s="4">
        <f t="shared" ref="X12:X13" si="2">+P12-T12</f>
        <v>-40085</v>
      </c>
      <c r="Y12" s="4"/>
      <c r="Z12" s="12">
        <f t="shared" ref="Z12:Z13" si="3">IF(T12=0,0,X12/T12)</f>
        <v>-9.7830092668295343E-2</v>
      </c>
    </row>
    <row r="13" spans="1:26" s="24" customFormat="1" hidden="1" outlineLevel="1" x14ac:dyDescent="0.3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--33984</f>
        <v>33984</v>
      </c>
      <c r="E13" s="2"/>
      <c r="F13" s="22"/>
      <c r="G13" s="2"/>
      <c r="H13" s="2">
        <v>34931</v>
      </c>
      <c r="I13" s="2"/>
      <c r="J13" s="22"/>
      <c r="K13" s="2"/>
      <c r="L13" s="2">
        <f t="shared" si="0"/>
        <v>-947</v>
      </c>
      <c r="M13" s="2"/>
      <c r="N13" s="22">
        <f t="shared" si="1"/>
        <v>-2.7110589447768459E-2</v>
      </c>
      <c r="O13" s="11"/>
      <c r="P13" s="2">
        <f>--369656</f>
        <v>369656</v>
      </c>
      <c r="Q13" s="2"/>
      <c r="R13" s="22"/>
      <c r="S13" s="2"/>
      <c r="T13" s="2">
        <v>409741</v>
      </c>
      <c r="U13" s="2"/>
      <c r="V13" s="22"/>
      <c r="W13" s="2"/>
      <c r="X13" s="2">
        <f t="shared" si="2"/>
        <v>-40085</v>
      </c>
      <c r="Y13" s="2"/>
      <c r="Z13" s="22">
        <f t="shared" si="3"/>
        <v>-9.7830092668295343E-2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5">
      <c r="A17" s="10"/>
      <c r="B17" s="26" t="s">
        <v>6</v>
      </c>
      <c r="C17" s="26"/>
      <c r="D17" s="19">
        <f>D12-D15</f>
        <v>33984</v>
      </c>
      <c r="E17" s="13"/>
      <c r="F17" s="21">
        <f>IF(D$12=0,0,D17/D$12)</f>
        <v>1</v>
      </c>
      <c r="G17" s="13"/>
      <c r="H17" s="19">
        <f>H12-H15</f>
        <v>34931</v>
      </c>
      <c r="I17" s="13"/>
      <c r="J17" s="21">
        <f>IF(H$12=0,0,H17/H$12)</f>
        <v>1</v>
      </c>
      <c r="K17" s="16"/>
      <c r="L17" s="19">
        <f>+D17-H17</f>
        <v>-947</v>
      </c>
      <c r="M17" s="16"/>
      <c r="N17" s="21">
        <f>IF(H17=0,0,L17/H17)</f>
        <v>-2.7110589447768459E-2</v>
      </c>
      <c r="O17" s="25"/>
      <c r="P17" s="19">
        <f>P12-P15</f>
        <v>369656</v>
      </c>
      <c r="Q17" s="13"/>
      <c r="R17" s="21">
        <f>IF(P$12=0,0,P17/P$12)</f>
        <v>1</v>
      </c>
      <c r="S17" s="13"/>
      <c r="T17" s="19">
        <f>T12-T15</f>
        <v>409741</v>
      </c>
      <c r="U17" s="13"/>
      <c r="V17" s="21">
        <f>IF(T$12=0,0,T17/T$12)</f>
        <v>1</v>
      </c>
      <c r="W17" s="16"/>
      <c r="X17" s="19">
        <f>+P17-T17</f>
        <v>-40085</v>
      </c>
      <c r="Y17" s="16"/>
      <c r="Z17" s="21">
        <f>IF(T17=0,0,X17/T17)</f>
        <v>-9.7830092668295343E-2</v>
      </c>
    </row>
    <row r="18" spans="1:26" x14ac:dyDescent="0.3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5">
      <c r="A19" s="10"/>
      <c r="B19" s="25" t="s">
        <v>9</v>
      </c>
      <c r="C19" s="10"/>
      <c r="D19" s="20">
        <f>SUM(OSRRefD22x_0)</f>
        <v>23351.099999999995</v>
      </c>
      <c r="E19" s="20"/>
      <c r="F19" s="30">
        <f t="shared" ref="F19:F30" si="4">IF(D$12=0,0,D19/D$12)</f>
        <v>0.68712040960451959</v>
      </c>
      <c r="G19" s="20"/>
      <c r="H19" s="20">
        <f>SUM(OSRRefH22x_0)</f>
        <v>33726.490498519226</v>
      </c>
      <c r="I19" s="20"/>
      <c r="J19" s="30">
        <f t="shared" ref="J19:J30" si="5">IF(H$12=0,0,H19/H$12)</f>
        <v>0.96551746295609131</v>
      </c>
      <c r="K19" s="4"/>
      <c r="L19" s="20">
        <f t="shared" ref="L19:L30" si="6">+D19-H19</f>
        <v>-10375.390498519231</v>
      </c>
      <c r="M19" s="4"/>
      <c r="N19" s="30">
        <f t="shared" ref="N19:N30" si="7">IF(H19=0,0,L19/H19)</f>
        <v>-0.30763326824576565</v>
      </c>
      <c r="O19" s="10"/>
      <c r="P19" s="20">
        <f>SUM(OSRRefP22x_0)</f>
        <v>309046.28999999998</v>
      </c>
      <c r="Q19" s="20"/>
      <c r="R19" s="30">
        <f t="shared" ref="R19:R30" si="8">IF(P$12=0,0,P19/P$12)</f>
        <v>0.83603753219209209</v>
      </c>
      <c r="S19" s="20"/>
      <c r="T19" s="20">
        <f>SUM(OSRRefT22x_0)</f>
        <v>366943.9588032692</v>
      </c>
      <c r="U19" s="20"/>
      <c r="V19" s="30">
        <f t="shared" ref="V19:V30" si="9">IF(T$12=0,0,T19/T$12)</f>
        <v>0.89555099148796236</v>
      </c>
      <c r="W19" s="4"/>
      <c r="X19" s="20">
        <f t="shared" ref="X19:X30" si="10">+P19-T19</f>
        <v>-57897.668803269218</v>
      </c>
      <c r="Y19" s="4"/>
      <c r="Z19" s="30">
        <f t="shared" ref="Z19:Z30" si="11">IF(T19=0,0,X19/T19)</f>
        <v>-0.15778340919439984</v>
      </c>
    </row>
    <row r="20" spans="1:26" s="28" customFormat="1" outlineLevel="1" collapsed="1" x14ac:dyDescent="0.3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4647.2599999999993</v>
      </c>
      <c r="E20" s="1"/>
      <c r="F20" s="5">
        <f t="shared" si="4"/>
        <v>0.13674846986817324</v>
      </c>
      <c r="G20" s="1"/>
      <c r="H20" s="1">
        <f>SUM(OSRRefH22_0x_0)</f>
        <v>4072.9885369807685</v>
      </c>
      <c r="I20" s="1"/>
      <c r="J20" s="5">
        <f t="shared" si="5"/>
        <v>0.11660097154335028</v>
      </c>
      <c r="K20" s="1"/>
      <c r="L20" s="1">
        <f t="shared" si="6"/>
        <v>574.27146301923085</v>
      </c>
      <c r="M20" s="1"/>
      <c r="N20" s="5">
        <f t="shared" si="7"/>
        <v>0.1409951090716616</v>
      </c>
      <c r="O20" s="14"/>
      <c r="P20" s="1">
        <f>SUM(OSRRefP22_0x_0)</f>
        <v>29892.89</v>
      </c>
      <c r="Q20" s="1"/>
      <c r="R20" s="5">
        <f t="shared" si="8"/>
        <v>8.0866778843032436E-2</v>
      </c>
      <c r="S20" s="1"/>
      <c r="T20" s="1">
        <f>SUM(OSRRefT22_0x_0)</f>
        <v>29853.523091730771</v>
      </c>
      <c r="U20" s="1"/>
      <c r="V20" s="5">
        <f t="shared" si="9"/>
        <v>7.2859496832708398E-2</v>
      </c>
      <c r="W20" s="1"/>
      <c r="X20" s="1">
        <f t="shared" si="10"/>
        <v>39.366908269228588</v>
      </c>
      <c r="Y20" s="1"/>
      <c r="Z20" s="5">
        <f t="shared" si="11"/>
        <v>1.3186687597395485E-3</v>
      </c>
    </row>
    <row r="21" spans="1:26" s="24" customFormat="1" hidden="1" outlineLevel="2" x14ac:dyDescent="0.35">
      <c r="A21" s="29"/>
      <c r="B21" s="11" t="str">
        <f>CONCATENATE("          ", "6111", " - ", "F.I.C.A.")</f>
        <v xml:space="preserve">          6111 - F.I.C.A.</v>
      </c>
      <c r="C21" s="11"/>
      <c r="D21" s="7">
        <v>829.91</v>
      </c>
      <c r="E21" s="2"/>
      <c r="F21" s="6">
        <f t="shared" si="4"/>
        <v>2.4420609698681733E-2</v>
      </c>
      <c r="G21" s="2"/>
      <c r="H21" s="7">
        <v>907.65624928846103</v>
      </c>
      <c r="I21" s="2"/>
      <c r="J21" s="6">
        <f t="shared" si="5"/>
        <v>2.5984261810095933E-2</v>
      </c>
      <c r="K21" s="2"/>
      <c r="L21" s="7">
        <f t="shared" si="6"/>
        <v>-77.746249288461058</v>
      </c>
      <c r="M21" s="2"/>
      <c r="N21" s="6">
        <f t="shared" si="7"/>
        <v>-8.5656050238632389E-2</v>
      </c>
      <c r="O21" s="11"/>
      <c r="P21" s="7">
        <v>7120.78</v>
      </c>
      <c r="Q21" s="2"/>
      <c r="R21" s="6">
        <f t="shared" si="8"/>
        <v>1.9263260977773929E-2</v>
      </c>
      <c r="S21" s="2"/>
      <c r="T21" s="7">
        <v>7396.4684965384604</v>
      </c>
      <c r="U21" s="2"/>
      <c r="V21" s="6">
        <f t="shared" si="9"/>
        <v>1.8051570373817754E-2</v>
      </c>
      <c r="W21" s="2"/>
      <c r="X21" s="7">
        <f t="shared" si="10"/>
        <v>-275.68849653846064</v>
      </c>
      <c r="Y21" s="2"/>
      <c r="Z21" s="6">
        <f t="shared" si="11"/>
        <v>-3.7272990031321375E-2</v>
      </c>
    </row>
    <row r="22" spans="1:26" s="24" customFormat="1" hidden="1" outlineLevel="2" x14ac:dyDescent="0.35">
      <c r="A22" s="29"/>
      <c r="B22" s="11" t="str">
        <f>CONCATENATE("          ", "6112", " - ", "COMPENSATION INSURANCE")</f>
        <v xml:space="preserve">          6112 - COMPENSATION INSURANCE</v>
      </c>
      <c r="C22" s="11"/>
      <c r="D22" s="7">
        <v>-13.7</v>
      </c>
      <c r="E22" s="2"/>
      <c r="F22" s="6">
        <f t="shared" si="4"/>
        <v>-4.031308851224105E-4</v>
      </c>
      <c r="G22" s="2"/>
      <c r="H22" s="7">
        <v>335.73358846153798</v>
      </c>
      <c r="I22" s="2"/>
      <c r="J22" s="6">
        <f t="shared" si="5"/>
        <v>9.611336304759039E-3</v>
      </c>
      <c r="K22" s="2"/>
      <c r="L22" s="7">
        <f t="shared" si="6"/>
        <v>-349.43358846153797</v>
      </c>
      <c r="M22" s="2"/>
      <c r="N22" s="6">
        <f t="shared" si="7"/>
        <v>-1.0408061643840245</v>
      </c>
      <c r="O22" s="11"/>
      <c r="P22" s="7">
        <v>653.82000000000005</v>
      </c>
      <c r="Q22" s="2"/>
      <c r="R22" s="6">
        <f t="shared" si="8"/>
        <v>1.7687255177786917E-3</v>
      </c>
      <c r="S22" s="2"/>
      <c r="T22" s="7">
        <v>2478.7333509615401</v>
      </c>
      <c r="U22" s="2"/>
      <c r="V22" s="6">
        <f t="shared" si="9"/>
        <v>6.0495126212937933E-3</v>
      </c>
      <c r="W22" s="2"/>
      <c r="X22" s="7">
        <f t="shared" si="10"/>
        <v>-1824.9133509615399</v>
      </c>
      <c r="Y22" s="2"/>
      <c r="Z22" s="6">
        <f t="shared" si="11"/>
        <v>-0.73622818293610603</v>
      </c>
    </row>
    <row r="23" spans="1:26" s="24" customFormat="1" hidden="1" outlineLevel="2" x14ac:dyDescent="0.35">
      <c r="A23" s="29"/>
      <c r="B23" s="11" t="str">
        <f>CONCATENATE("          ", "6113", " - ", "GROUP INSURANCE")</f>
        <v xml:space="preserve">          6113 - GROUP INSURANCE</v>
      </c>
      <c r="C23" s="11"/>
      <c r="D23" s="7">
        <v>1207.95</v>
      </c>
      <c r="E23" s="2"/>
      <c r="F23" s="6">
        <f t="shared" si="4"/>
        <v>3.5544668079096044E-2</v>
      </c>
      <c r="G23" s="2"/>
      <c r="H23" s="7">
        <v>1025</v>
      </c>
      <c r="I23" s="2"/>
      <c r="J23" s="6">
        <f t="shared" si="5"/>
        <v>2.9343563024247801E-2</v>
      </c>
      <c r="K23" s="2"/>
      <c r="L23" s="7">
        <f t="shared" si="6"/>
        <v>182.95000000000005</v>
      </c>
      <c r="M23" s="2"/>
      <c r="N23" s="6">
        <f t="shared" si="7"/>
        <v>0.17848780487804883</v>
      </c>
      <c r="O23" s="11"/>
      <c r="P23" s="7">
        <v>8610.9500000000007</v>
      </c>
      <c r="Q23" s="2"/>
      <c r="R23" s="6">
        <f t="shared" si="8"/>
        <v>2.3294495422771445E-2</v>
      </c>
      <c r="S23" s="2"/>
      <c r="T23" s="7">
        <v>7507.5</v>
      </c>
      <c r="U23" s="2"/>
      <c r="V23" s="6">
        <f t="shared" si="9"/>
        <v>1.8322550098720899E-2</v>
      </c>
      <c r="W23" s="2"/>
      <c r="X23" s="7">
        <f t="shared" si="10"/>
        <v>1103.4500000000007</v>
      </c>
      <c r="Y23" s="2"/>
      <c r="Z23" s="6">
        <f t="shared" si="11"/>
        <v>0.14697968697968708</v>
      </c>
    </row>
    <row r="24" spans="1:26" s="24" customFormat="1" hidden="1" outlineLevel="2" x14ac:dyDescent="0.3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7">
        <v>69.959999999999994</v>
      </c>
      <c r="E24" s="2"/>
      <c r="F24" s="6">
        <f t="shared" si="4"/>
        <v>2.0586158192090393E-3</v>
      </c>
      <c r="G24" s="2"/>
      <c r="H24" s="7">
        <v>47.184179999999998</v>
      </c>
      <c r="I24" s="2"/>
      <c r="J24" s="6">
        <f t="shared" si="5"/>
        <v>1.3507823995877587E-3</v>
      </c>
      <c r="K24" s="2"/>
      <c r="L24" s="7">
        <f t="shared" si="6"/>
        <v>22.775819999999996</v>
      </c>
      <c r="M24" s="2"/>
      <c r="N24" s="6">
        <f t="shared" si="7"/>
        <v>0.48270034575147852</v>
      </c>
      <c r="O24" s="11"/>
      <c r="P24" s="7">
        <v>284.56</v>
      </c>
      <c r="Q24" s="2"/>
      <c r="R24" s="6">
        <f t="shared" si="8"/>
        <v>7.6979678403705067E-4</v>
      </c>
      <c r="S24" s="2"/>
      <c r="T24" s="7">
        <v>348.36252500000001</v>
      </c>
      <c r="U24" s="2"/>
      <c r="V24" s="6">
        <f t="shared" si="9"/>
        <v>8.5020177380345141E-4</v>
      </c>
      <c r="W24" s="2"/>
      <c r="X24" s="7">
        <f t="shared" si="10"/>
        <v>-63.802525000000003</v>
      </c>
      <c r="Y24" s="2"/>
      <c r="Z24" s="6">
        <f t="shared" si="11"/>
        <v>-0.18314979488680649</v>
      </c>
    </row>
    <row r="25" spans="1:26" s="24" customFormat="1" hidden="1" outlineLevel="2" x14ac:dyDescent="0.35">
      <c r="A25" s="29"/>
      <c r="B25" s="11" t="str">
        <f>CONCATENATE("          ", "6115", " - ", "P.E.R.S.")</f>
        <v xml:space="preserve">          6115 - P.E.R.S.</v>
      </c>
      <c r="C25" s="11"/>
      <c r="D25" s="7">
        <v>960.53</v>
      </c>
      <c r="E25" s="2"/>
      <c r="F25" s="6">
        <f t="shared" si="4"/>
        <v>2.8264183145009416E-2</v>
      </c>
      <c r="G25" s="2"/>
      <c r="H25" s="7">
        <v>700.15494230769207</v>
      </c>
      <c r="I25" s="2"/>
      <c r="J25" s="6">
        <f t="shared" si="5"/>
        <v>2.0043942123262777E-2</v>
      </c>
      <c r="K25" s="2"/>
      <c r="L25" s="7">
        <f t="shared" si="6"/>
        <v>260.37505769230791</v>
      </c>
      <c r="M25" s="2"/>
      <c r="N25" s="6">
        <f t="shared" si="7"/>
        <v>0.37188205346964864</v>
      </c>
      <c r="O25" s="11"/>
      <c r="P25" s="7">
        <v>5780.23</v>
      </c>
      <c r="Q25" s="2"/>
      <c r="R25" s="6">
        <f t="shared" si="8"/>
        <v>1.5636781223624125E-2</v>
      </c>
      <c r="S25" s="2"/>
      <c r="T25" s="7">
        <v>4586.3078923076919</v>
      </c>
      <c r="U25" s="2"/>
      <c r="V25" s="6">
        <f t="shared" si="9"/>
        <v>1.1193187629033199E-2</v>
      </c>
      <c r="W25" s="2"/>
      <c r="X25" s="7">
        <f t="shared" si="10"/>
        <v>1193.9221076923077</v>
      </c>
      <c r="Y25" s="2"/>
      <c r="Z25" s="6">
        <f t="shared" si="11"/>
        <v>0.26032314788433492</v>
      </c>
    </row>
    <row r="26" spans="1:26" s="24" customFormat="1" hidden="1" outlineLevel="2" x14ac:dyDescent="0.35">
      <c r="A26" s="29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35">
      <c r="A27" s="29"/>
      <c r="B27" s="11" t="str">
        <f>CONCATENATE("          ", "6117", " - ", "RETIREMENT STAFF HOURLY")</f>
        <v xml:space="preserve">          6117 - RETIREMENT STAFF HOURLY</v>
      </c>
      <c r="C27" s="11"/>
      <c r="D27" s="7">
        <v>85.33</v>
      </c>
      <c r="E27" s="2"/>
      <c r="F27" s="6">
        <f t="shared" si="4"/>
        <v>2.5108874764595101E-3</v>
      </c>
      <c r="G27" s="2"/>
      <c r="H27" s="7"/>
      <c r="I27" s="2"/>
      <c r="J27" s="6">
        <f t="shared" si="5"/>
        <v>0</v>
      </c>
      <c r="K27" s="2"/>
      <c r="L27" s="7">
        <f t="shared" si="6"/>
        <v>85.33</v>
      </c>
      <c r="M27" s="2"/>
      <c r="N27" s="6">
        <f t="shared" si="7"/>
        <v>0</v>
      </c>
      <c r="O27" s="11"/>
      <c r="P27" s="7">
        <v>609.94000000000005</v>
      </c>
      <c r="Q27" s="2"/>
      <c r="R27" s="6">
        <f t="shared" si="8"/>
        <v>1.6500205596554636E-3</v>
      </c>
      <c r="S27" s="2"/>
      <c r="T27" s="7"/>
      <c r="U27" s="2"/>
      <c r="V27" s="6">
        <f t="shared" si="9"/>
        <v>0</v>
      </c>
      <c r="W27" s="2"/>
      <c r="X27" s="7">
        <f t="shared" si="10"/>
        <v>609.94000000000005</v>
      </c>
      <c r="Y27" s="2"/>
      <c r="Z27" s="6">
        <f t="shared" si="11"/>
        <v>0</v>
      </c>
    </row>
    <row r="28" spans="1:26" s="24" customFormat="1" hidden="1" outlineLevel="2" x14ac:dyDescent="0.35">
      <c r="A28" s="29"/>
      <c r="B28" s="11" t="str">
        <f>CONCATENATE("          ", "6118", " - ", "VACATION")</f>
        <v xml:space="preserve">          6118 - VACATION</v>
      </c>
      <c r="C28" s="11"/>
      <c r="D28" s="7">
        <v>520.02</v>
      </c>
      <c r="E28" s="2"/>
      <c r="F28" s="6">
        <f t="shared" si="4"/>
        <v>1.5301906779661017E-2</v>
      </c>
      <c r="G28" s="2"/>
      <c r="H28" s="7">
        <v>244.24009615384603</v>
      </c>
      <c r="I28" s="2"/>
      <c r="J28" s="6">
        <f t="shared" si="5"/>
        <v>6.9920728336963162E-3</v>
      </c>
      <c r="K28" s="2"/>
      <c r="L28" s="7">
        <f t="shared" si="6"/>
        <v>275.77990384615396</v>
      </c>
      <c r="M28" s="2"/>
      <c r="N28" s="6">
        <f t="shared" si="7"/>
        <v>1.1291344385667172</v>
      </c>
      <c r="O28" s="11"/>
      <c r="P28" s="7">
        <v>3900.15</v>
      </c>
      <c r="Q28" s="2"/>
      <c r="R28" s="6">
        <f t="shared" si="8"/>
        <v>1.05507552968165E-2</v>
      </c>
      <c r="S28" s="2"/>
      <c r="T28" s="7">
        <v>1599.874846153846</v>
      </c>
      <c r="U28" s="2"/>
      <c r="V28" s="6">
        <f t="shared" si="9"/>
        <v>3.9046003357092554E-3</v>
      </c>
      <c r="W28" s="2"/>
      <c r="X28" s="7">
        <f t="shared" si="10"/>
        <v>2300.2751538461544</v>
      </c>
      <c r="Y28" s="2"/>
      <c r="Z28" s="6">
        <f t="shared" si="11"/>
        <v>1.4377844363114369</v>
      </c>
    </row>
    <row r="29" spans="1:26" s="24" customFormat="1" hidden="1" outlineLevel="2" x14ac:dyDescent="0.35">
      <c r="A29" s="29"/>
      <c r="B29" s="11" t="str">
        <f>CONCATENATE("          ", "6119", " - ", "SICK LEAVE")</f>
        <v xml:space="preserve">          6119 - SICK LEAVE</v>
      </c>
      <c r="C29" s="11"/>
      <c r="D29" s="7">
        <v>299.26</v>
      </c>
      <c r="E29" s="2"/>
      <c r="F29" s="6">
        <f t="shared" si="4"/>
        <v>8.8059086629001873E-3</v>
      </c>
      <c r="G29" s="2"/>
      <c r="H29" s="7">
        <v>463.01948076923094</v>
      </c>
      <c r="I29" s="2"/>
      <c r="J29" s="6">
        <f t="shared" si="5"/>
        <v>1.3255259819908704E-2</v>
      </c>
      <c r="K29" s="2"/>
      <c r="L29" s="7">
        <f t="shared" si="6"/>
        <v>-163.75948076923095</v>
      </c>
      <c r="M29" s="2"/>
      <c r="N29" s="6">
        <f t="shared" si="7"/>
        <v>-0.35367730208061965</v>
      </c>
      <c r="O29" s="11"/>
      <c r="P29" s="7">
        <v>2244.46</v>
      </c>
      <c r="Q29" s="2"/>
      <c r="R29" s="6">
        <f t="shared" si="8"/>
        <v>6.0717531975674685E-3</v>
      </c>
      <c r="S29" s="2"/>
      <c r="T29" s="7">
        <v>3486.2759807692328</v>
      </c>
      <c r="U29" s="2"/>
      <c r="V29" s="6">
        <f t="shared" si="9"/>
        <v>8.5084870217264873E-3</v>
      </c>
      <c r="W29" s="2"/>
      <c r="X29" s="7">
        <f t="shared" si="10"/>
        <v>-1241.8159807692327</v>
      </c>
      <c r="Y29" s="2"/>
      <c r="Z29" s="6">
        <f t="shared" si="11"/>
        <v>-0.35620128401172391</v>
      </c>
    </row>
    <row r="30" spans="1:26" s="24" customFormat="1" hidden="1" outlineLevel="2" x14ac:dyDescent="0.35">
      <c r="A30" s="29"/>
      <c r="B30" s="11" t="str">
        <f>CONCATENATE("          ", "6156", " - ", "EMPLOYEE MEALS")</f>
        <v xml:space="preserve">          6156 - EMPLOYEE MEALS</v>
      </c>
      <c r="C30" s="11"/>
      <c r="D30" s="7">
        <v>688</v>
      </c>
      <c r="E30" s="2"/>
      <c r="F30" s="6">
        <f t="shared" si="4"/>
        <v>2.0244821092278719E-2</v>
      </c>
      <c r="G30" s="2"/>
      <c r="H30" s="7">
        <v>350</v>
      </c>
      <c r="I30" s="2"/>
      <c r="J30" s="6">
        <f t="shared" si="5"/>
        <v>1.0019753227791932E-2</v>
      </c>
      <c r="K30" s="2"/>
      <c r="L30" s="7">
        <f t="shared" si="6"/>
        <v>338</v>
      </c>
      <c r="M30" s="2"/>
      <c r="N30" s="6">
        <f t="shared" si="7"/>
        <v>0.96571428571428575</v>
      </c>
      <c r="O30" s="11"/>
      <c r="P30" s="7">
        <v>688</v>
      </c>
      <c r="Q30" s="2"/>
      <c r="R30" s="6">
        <f t="shared" si="8"/>
        <v>1.8611898630077695E-3</v>
      </c>
      <c r="S30" s="2"/>
      <c r="T30" s="7">
        <v>2450</v>
      </c>
      <c r="U30" s="2"/>
      <c r="V30" s="6">
        <f t="shared" si="9"/>
        <v>5.9793869786035573E-3</v>
      </c>
      <c r="W30" s="2"/>
      <c r="X30" s="7">
        <f t="shared" si="10"/>
        <v>-1762</v>
      </c>
      <c r="Y30" s="2"/>
      <c r="Z30" s="6">
        <f t="shared" si="11"/>
        <v>-0.71918367346938772</v>
      </c>
    </row>
    <row r="31" spans="1:26" s="28" customFormat="1" outlineLevel="1" collapsed="1" x14ac:dyDescent="0.3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16962.05</v>
      </c>
      <c r="E31" s="1"/>
      <c r="F31" s="5">
        <f t="shared" ref="F31:F41" si="12">IF(D$12=0,0,D31/D$12)</f>
        <v>0.49911870291902072</v>
      </c>
      <c r="G31" s="1"/>
      <c r="H31" s="1">
        <f>SUM(OSRRefH22_1x_0)</f>
        <v>17440.501961538459</v>
      </c>
      <c r="I31" s="1"/>
      <c r="J31" s="5">
        <f t="shared" ref="J31:J41" si="13">IF(H$12=0,0,H31/H$12)</f>
        <v>0.4992843594955329</v>
      </c>
      <c r="K31" s="1"/>
      <c r="L31" s="1">
        <f t="shared" ref="L31:L41" si="14">+D31-H31</f>
        <v>-478.45196153845973</v>
      </c>
      <c r="M31" s="1"/>
      <c r="N31" s="5">
        <f t="shared" ref="N31:N41" si="15">IF(H31=0,0,L31/H31)</f>
        <v>-2.7433382513507347E-2</v>
      </c>
      <c r="O31" s="14"/>
      <c r="P31" s="1">
        <f>SUM(OSRRefP22_1x_0)</f>
        <v>102177.42</v>
      </c>
      <c r="Q31" s="1"/>
      <c r="R31" s="5">
        <f t="shared" ref="R31:R41" si="16">IF(P$12=0,0,P31/P$12)</f>
        <v>0.27641217780855715</v>
      </c>
      <c r="S31" s="1"/>
      <c r="T31" s="1">
        <f>SUM(OSRRefT22_1x_0)</f>
        <v>128899.43571153848</v>
      </c>
      <c r="U31" s="1"/>
      <c r="V31" s="5">
        <f t="shared" ref="V31:V41" si="17">IF(T$12=0,0,T31/T$12)</f>
        <v>0.31458759487466104</v>
      </c>
      <c r="W31" s="1"/>
      <c r="X31" s="1">
        <f t="shared" ref="X31:X41" si="18">+P31-T31</f>
        <v>-26722.015711538479</v>
      </c>
      <c r="Y31" s="1"/>
      <c r="Z31" s="5">
        <f t="shared" ref="Z31:Z41" si="19">IF(T31=0,0,X31/T31)</f>
        <v>-0.20730902012122965</v>
      </c>
    </row>
    <row r="32" spans="1:26" s="24" customFormat="1" hidden="1" outlineLevel="2" x14ac:dyDescent="0.35">
      <c r="A32" s="29"/>
      <c r="B32" s="11" t="str">
        <f>CONCATENATE("          ", "6001", " - ", "ADMINISTRATIVE SALARIES")</f>
        <v xml:space="preserve">          6001 - ADMINISTRATIVE SALARIES</v>
      </c>
      <c r="C32" s="11"/>
      <c r="D32" s="7">
        <v>5257.72</v>
      </c>
      <c r="E32" s="2"/>
      <c r="F32" s="6">
        <f t="shared" si="12"/>
        <v>0.15471162900188323</v>
      </c>
      <c r="G32" s="2"/>
      <c r="H32" s="7">
        <v>5024.0384615384601</v>
      </c>
      <c r="I32" s="2"/>
      <c r="J32" s="6">
        <f t="shared" si="13"/>
        <v>0.14382750169014513</v>
      </c>
      <c r="K32" s="2"/>
      <c r="L32" s="7">
        <f t="shared" si="14"/>
        <v>233.68153846154019</v>
      </c>
      <c r="M32" s="2"/>
      <c r="N32" s="6">
        <f t="shared" si="15"/>
        <v>4.651268899521567E-2</v>
      </c>
      <c r="O32" s="11"/>
      <c r="P32" s="7">
        <v>30912.609999999997</v>
      </c>
      <c r="Q32" s="2"/>
      <c r="R32" s="6">
        <f t="shared" si="16"/>
        <v>8.3625343562663657E-2</v>
      </c>
      <c r="S32" s="2"/>
      <c r="T32" s="7">
        <v>31149.038461538461</v>
      </c>
      <c r="U32" s="2"/>
      <c r="V32" s="6">
        <f t="shared" si="17"/>
        <v>7.602128774405896E-2</v>
      </c>
      <c r="W32" s="2"/>
      <c r="X32" s="7">
        <f t="shared" si="18"/>
        <v>-236.42846153846403</v>
      </c>
      <c r="Y32" s="2"/>
      <c r="Z32" s="6">
        <f t="shared" si="19"/>
        <v>-7.5902330606575892E-3</v>
      </c>
    </row>
    <row r="33" spans="1:26" s="24" customFormat="1" hidden="1" outlineLevel="2" x14ac:dyDescent="0.35">
      <c r="A33" s="29"/>
      <c r="B33" s="11" t="str">
        <f>CONCATENATE("          ", "6002", " - ", "STAFF SALARIES")</f>
        <v xml:space="preserve">          6002 - STAFF SALARIES</v>
      </c>
      <c r="C33" s="11"/>
      <c r="D33" s="7">
        <v>2853.3</v>
      </c>
      <c r="E33" s="2"/>
      <c r="F33" s="6">
        <f t="shared" si="12"/>
        <v>8.3960098870056496E-2</v>
      </c>
      <c r="G33" s="2"/>
      <c r="H33" s="7">
        <v>2710.2312499999998</v>
      </c>
      <c r="I33" s="2"/>
      <c r="J33" s="6">
        <f t="shared" si="13"/>
        <v>7.7588138043571606E-2</v>
      </c>
      <c r="K33" s="2"/>
      <c r="L33" s="7">
        <f t="shared" si="14"/>
        <v>143.06875000000036</v>
      </c>
      <c r="M33" s="2"/>
      <c r="N33" s="6">
        <f t="shared" si="15"/>
        <v>5.2788392134435161E-2</v>
      </c>
      <c r="O33" s="11"/>
      <c r="P33" s="7">
        <v>16547.09</v>
      </c>
      <c r="Q33" s="2"/>
      <c r="R33" s="6">
        <f t="shared" si="16"/>
        <v>4.476348280563551E-2</v>
      </c>
      <c r="S33" s="2"/>
      <c r="T33" s="7">
        <v>19513.665000000001</v>
      </c>
      <c r="U33" s="2"/>
      <c r="V33" s="6">
        <f t="shared" si="17"/>
        <v>4.7624389553400807E-2</v>
      </c>
      <c r="W33" s="2"/>
      <c r="X33" s="7">
        <f t="shared" si="18"/>
        <v>-2966.5750000000007</v>
      </c>
      <c r="Y33" s="2"/>
      <c r="Z33" s="6">
        <f t="shared" si="19"/>
        <v>-0.15202551647781187</v>
      </c>
    </row>
    <row r="34" spans="1:26" s="24" customFormat="1" hidden="1" outlineLevel="2" x14ac:dyDescent="0.35">
      <c r="A34" s="29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35">
      <c r="A35" s="29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12"/>
        <v>0</v>
      </c>
      <c r="G35" s="2"/>
      <c r="H35" s="7">
        <v>3607.2359999999999</v>
      </c>
      <c r="I35" s="2"/>
      <c r="J35" s="6">
        <f t="shared" si="13"/>
        <v>0.10326747015544931</v>
      </c>
      <c r="K35" s="2"/>
      <c r="L35" s="7">
        <f t="shared" si="14"/>
        <v>-3607.2359999999999</v>
      </c>
      <c r="M35" s="2"/>
      <c r="N35" s="6">
        <f t="shared" si="15"/>
        <v>-1</v>
      </c>
      <c r="O35" s="11"/>
      <c r="P35" s="7"/>
      <c r="Q35" s="2"/>
      <c r="R35" s="6">
        <f t="shared" si="16"/>
        <v>0</v>
      </c>
      <c r="S35" s="2"/>
      <c r="T35" s="7">
        <v>21067.236000000001</v>
      </c>
      <c r="U35" s="2"/>
      <c r="V35" s="6">
        <f t="shared" si="17"/>
        <v>5.1415982291252278E-2</v>
      </c>
      <c r="W35" s="2"/>
      <c r="X35" s="7">
        <f t="shared" si="18"/>
        <v>-21067.236000000001</v>
      </c>
      <c r="Y35" s="2"/>
      <c r="Z35" s="6">
        <f t="shared" si="19"/>
        <v>-1</v>
      </c>
    </row>
    <row r="36" spans="1:26" s="24" customFormat="1" hidden="1" outlineLevel="2" x14ac:dyDescent="0.35">
      <c r="A36" s="29"/>
      <c r="B36" s="11" t="str">
        <f>CONCATENATE("          ", "6005", " - ", "TEMPORARY WAGES-HOURLY")</f>
        <v xml:space="preserve">          6005 - TEMPORARY WAGES-HOURLY</v>
      </c>
      <c r="C36" s="11"/>
      <c r="D36" s="7">
        <v>5996.43</v>
      </c>
      <c r="E36" s="2"/>
      <c r="F36" s="6">
        <f t="shared" si="12"/>
        <v>0.17644862288135593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5996.43</v>
      </c>
      <c r="M36" s="2"/>
      <c r="N36" s="6">
        <f t="shared" si="15"/>
        <v>0</v>
      </c>
      <c r="O36" s="11"/>
      <c r="P36" s="7">
        <v>45162.579999999994</v>
      </c>
      <c r="Q36" s="2"/>
      <c r="R36" s="6">
        <f t="shared" si="16"/>
        <v>0.12217461640011253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45162.579999999994</v>
      </c>
      <c r="Y36" s="2"/>
      <c r="Z36" s="6">
        <f t="shared" si="19"/>
        <v>0</v>
      </c>
    </row>
    <row r="37" spans="1:26" s="24" customFormat="1" hidden="1" outlineLevel="2" x14ac:dyDescent="0.35">
      <c r="A37" s="29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/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0</v>
      </c>
      <c r="Y37" s="2"/>
      <c r="Z37" s="6">
        <f t="shared" si="19"/>
        <v>0</v>
      </c>
    </row>
    <row r="38" spans="1:26" s="24" customFormat="1" hidden="1" outlineLevel="2" x14ac:dyDescent="0.35">
      <c r="A38" s="29"/>
      <c r="B38" s="11" t="str">
        <f>CONCATENATE("          ", "6007", " - ", "STUDENT HOURLY")</f>
        <v xml:space="preserve">          6007 - STUDENT HOURLY</v>
      </c>
      <c r="C38" s="11"/>
      <c r="D38" s="7">
        <v>2263.8000000000002</v>
      </c>
      <c r="E38" s="2"/>
      <c r="F38" s="6">
        <f t="shared" si="12"/>
        <v>6.6613700564971762E-2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2263.8000000000002</v>
      </c>
      <c r="M38" s="2"/>
      <c r="N38" s="6">
        <f t="shared" si="15"/>
        <v>0</v>
      </c>
      <c r="O38" s="11"/>
      <c r="P38" s="7">
        <v>6191.78</v>
      </c>
      <c r="Q38" s="2"/>
      <c r="R38" s="6">
        <f t="shared" si="16"/>
        <v>1.6750113619148615E-2</v>
      </c>
      <c r="S38" s="2"/>
      <c r="T38" s="7">
        <v>20952</v>
      </c>
      <c r="U38" s="2"/>
      <c r="V38" s="6">
        <f t="shared" si="17"/>
        <v>5.1134741214572135E-2</v>
      </c>
      <c r="W38" s="2"/>
      <c r="X38" s="7">
        <f t="shared" si="18"/>
        <v>-14760.220000000001</v>
      </c>
      <c r="Y38" s="2"/>
      <c r="Z38" s="6">
        <f t="shared" si="19"/>
        <v>-0.70447785414280262</v>
      </c>
    </row>
    <row r="39" spans="1:26" s="24" customFormat="1" hidden="1" outlineLevel="2" x14ac:dyDescent="0.3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7">
        <v>590.79999999999995</v>
      </c>
      <c r="E39" s="2"/>
      <c r="F39" s="6">
        <f t="shared" si="12"/>
        <v>1.7384651600753295E-2</v>
      </c>
      <c r="G39" s="2"/>
      <c r="H39" s="7">
        <v>6098.9962500000001</v>
      </c>
      <c r="I39" s="2"/>
      <c r="J39" s="6">
        <f t="shared" si="13"/>
        <v>0.17460124960636683</v>
      </c>
      <c r="K39" s="2"/>
      <c r="L39" s="7">
        <f t="shared" si="14"/>
        <v>-5508.19625</v>
      </c>
      <c r="M39" s="2"/>
      <c r="N39" s="6">
        <f t="shared" si="15"/>
        <v>-0.90313160136801196</v>
      </c>
      <c r="O39" s="11"/>
      <c r="P39" s="7">
        <v>3363.36</v>
      </c>
      <c r="Q39" s="2"/>
      <c r="R39" s="6">
        <f t="shared" si="16"/>
        <v>9.0986214209968184E-3</v>
      </c>
      <c r="S39" s="2"/>
      <c r="T39" s="7">
        <v>36217.496250000004</v>
      </c>
      <c r="U39" s="2"/>
      <c r="V39" s="6">
        <f t="shared" si="17"/>
        <v>8.83911940713768E-2</v>
      </c>
      <c r="W39" s="2"/>
      <c r="X39" s="7">
        <f t="shared" si="18"/>
        <v>-32854.136250000003</v>
      </c>
      <c r="Y39" s="2"/>
      <c r="Z39" s="6">
        <f t="shared" si="19"/>
        <v>-0.90713438673994473</v>
      </c>
    </row>
    <row r="40" spans="1:26" s="24" customFormat="1" hidden="1" outlineLevel="2" x14ac:dyDescent="0.35">
      <c r="A40" s="29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35">
      <c r="A41" s="29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8" customFormat="1" outlineLevel="1" collapsed="1" x14ac:dyDescent="0.35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2.8627866365119807E-3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4"/>
      <c r="P42" s="1">
        <f>SUM(OSRRefP22_2x_0)</f>
        <v>0</v>
      </c>
      <c r="Q42" s="1"/>
      <c r="R42" s="5">
        <f t="shared" ref="R42:R50" si="24">IF(P$12=0,0,P42/P$12)</f>
        <v>0</v>
      </c>
      <c r="S42" s="1"/>
      <c r="T42" s="1">
        <f>SUM(OSRRefT22_2x_0)</f>
        <v>700</v>
      </c>
      <c r="U42" s="1"/>
      <c r="V42" s="5">
        <f t="shared" ref="V42:V50" si="25">IF(T$12=0,0,T42/T$12)</f>
        <v>1.7083962796010162E-3</v>
      </c>
      <c r="W42" s="1"/>
      <c r="X42" s="1">
        <f t="shared" ref="X42:X50" si="26">+P42-T42</f>
        <v>-700</v>
      </c>
      <c r="Y42" s="1"/>
      <c r="Z42" s="5">
        <f t="shared" ref="Z42:Z50" si="27">IF(T42=0,0,X42/T42)</f>
        <v>-1</v>
      </c>
    </row>
    <row r="43" spans="1:26" s="24" customFormat="1" hidden="1" outlineLevel="2" x14ac:dyDescent="0.35">
      <c r="A43" s="29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0"/>
        <v>0</v>
      </c>
      <c r="G43" s="2"/>
      <c r="H43" s="7">
        <v>100</v>
      </c>
      <c r="I43" s="2"/>
      <c r="J43" s="6">
        <f t="shared" si="21"/>
        <v>2.8627866365119807E-3</v>
      </c>
      <c r="K43" s="2"/>
      <c r="L43" s="7">
        <f t="shared" si="22"/>
        <v>-100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700</v>
      </c>
      <c r="U43" s="2"/>
      <c r="V43" s="6">
        <f t="shared" si="25"/>
        <v>1.7083962796010162E-3</v>
      </c>
      <c r="W43" s="2"/>
      <c r="X43" s="7">
        <f t="shared" si="26"/>
        <v>-700</v>
      </c>
      <c r="Y43" s="2"/>
      <c r="Z43" s="6">
        <f t="shared" si="27"/>
        <v>-1</v>
      </c>
    </row>
    <row r="44" spans="1:26" s="28" customFormat="1" outlineLevel="1" collapsed="1" x14ac:dyDescent="0.3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51.31</v>
      </c>
      <c r="E44" s="1"/>
      <c r="F44" s="5">
        <f t="shared" si="20"/>
        <v>1.5098281544256122E-3</v>
      </c>
      <c r="G44" s="1"/>
      <c r="H44" s="1">
        <f>SUM(OSRRefH22_3x_0)</f>
        <v>2000</v>
      </c>
      <c r="I44" s="1"/>
      <c r="J44" s="5">
        <f t="shared" si="21"/>
        <v>5.7255732730239615E-2</v>
      </c>
      <c r="K44" s="1"/>
      <c r="L44" s="1">
        <f t="shared" si="22"/>
        <v>-1948.69</v>
      </c>
      <c r="M44" s="1"/>
      <c r="N44" s="5">
        <f t="shared" si="23"/>
        <v>-0.97434500000000002</v>
      </c>
      <c r="O44" s="14"/>
      <c r="P44" s="1">
        <f>SUM(OSRRefP22_3x_0)</f>
        <v>670.89</v>
      </c>
      <c r="Q44" s="1"/>
      <c r="R44" s="5">
        <f t="shared" si="24"/>
        <v>1.8149035860367476E-3</v>
      </c>
      <c r="S44" s="1"/>
      <c r="T44" s="1">
        <f>SUM(OSRRefT22_3x_0)</f>
        <v>11700</v>
      </c>
      <c r="U44" s="1"/>
      <c r="V44" s="5">
        <f t="shared" si="25"/>
        <v>2.8554623530474128E-2</v>
      </c>
      <c r="W44" s="1"/>
      <c r="X44" s="1">
        <f t="shared" si="26"/>
        <v>-11029.11</v>
      </c>
      <c r="Y44" s="1"/>
      <c r="Z44" s="5">
        <f t="shared" si="27"/>
        <v>-0.94265897435897439</v>
      </c>
    </row>
    <row r="45" spans="1:26" s="24" customFormat="1" hidden="1" outlineLevel="2" x14ac:dyDescent="0.35">
      <c r="A45" s="29"/>
      <c r="B45" s="11" t="str">
        <f>CONCATENATE("          ", "6381", " - ", "BANK/CREDIT CARD FEES")</f>
        <v xml:space="preserve">          6381 - BANK/CREDIT CARD FEES</v>
      </c>
      <c r="C45" s="11"/>
      <c r="D45" s="7">
        <v>51.31</v>
      </c>
      <c r="E45" s="2"/>
      <c r="F45" s="6">
        <f t="shared" si="20"/>
        <v>1.5098281544256122E-3</v>
      </c>
      <c r="G45" s="2"/>
      <c r="H45" s="7">
        <v>2000</v>
      </c>
      <c r="I45" s="2"/>
      <c r="J45" s="6">
        <f t="shared" si="21"/>
        <v>5.7255732730239615E-2</v>
      </c>
      <c r="K45" s="2"/>
      <c r="L45" s="7">
        <f t="shared" si="22"/>
        <v>-1948.69</v>
      </c>
      <c r="M45" s="2"/>
      <c r="N45" s="6">
        <f t="shared" si="23"/>
        <v>-0.97434500000000002</v>
      </c>
      <c r="O45" s="11"/>
      <c r="P45" s="7">
        <v>670.89</v>
      </c>
      <c r="Q45" s="2"/>
      <c r="R45" s="6">
        <f t="shared" si="24"/>
        <v>1.8149035860367476E-3</v>
      </c>
      <c r="S45" s="2"/>
      <c r="T45" s="7">
        <v>11700</v>
      </c>
      <c r="U45" s="2"/>
      <c r="V45" s="6">
        <f t="shared" si="25"/>
        <v>2.8554623530474128E-2</v>
      </c>
      <c r="W45" s="2"/>
      <c r="X45" s="7">
        <f t="shared" si="26"/>
        <v>-11029.11</v>
      </c>
      <c r="Y45" s="2"/>
      <c r="Z45" s="6">
        <f t="shared" si="27"/>
        <v>-0.94265897435897439</v>
      </c>
    </row>
    <row r="46" spans="1:26" s="28" customFormat="1" outlineLevel="1" collapsed="1" x14ac:dyDescent="0.35">
      <c r="A46" s="27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5.7255732730239614E-4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140</v>
      </c>
      <c r="U46" s="1"/>
      <c r="V46" s="5">
        <f t="shared" si="25"/>
        <v>3.4167925592020328E-4</v>
      </c>
      <c r="W46" s="1"/>
      <c r="X46" s="1">
        <f t="shared" si="26"/>
        <v>-140</v>
      </c>
      <c r="Y46" s="1"/>
      <c r="Z46" s="5">
        <f t="shared" si="27"/>
        <v>-1</v>
      </c>
    </row>
    <row r="47" spans="1:26" s="24" customFormat="1" hidden="1" outlineLevel="2" x14ac:dyDescent="0.35">
      <c r="A47" s="29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0"/>
        <v>0</v>
      </c>
      <c r="G47" s="2"/>
      <c r="H47" s="7">
        <v>20</v>
      </c>
      <c r="I47" s="2"/>
      <c r="J47" s="6">
        <f t="shared" si="21"/>
        <v>5.7255732730239614E-4</v>
      </c>
      <c r="K47" s="2"/>
      <c r="L47" s="7">
        <f t="shared" si="22"/>
        <v>-20</v>
      </c>
      <c r="M47" s="2"/>
      <c r="N47" s="6">
        <f t="shared" si="23"/>
        <v>-1</v>
      </c>
      <c r="O47" s="11"/>
      <c r="P47" s="7"/>
      <c r="Q47" s="2"/>
      <c r="R47" s="6">
        <f t="shared" si="24"/>
        <v>0</v>
      </c>
      <c r="S47" s="2"/>
      <c r="T47" s="7">
        <v>140</v>
      </c>
      <c r="U47" s="2"/>
      <c r="V47" s="6">
        <f t="shared" si="25"/>
        <v>3.4167925592020328E-4</v>
      </c>
      <c r="W47" s="2"/>
      <c r="X47" s="7">
        <f t="shared" si="26"/>
        <v>-140</v>
      </c>
      <c r="Y47" s="2"/>
      <c r="Z47" s="6">
        <f t="shared" si="27"/>
        <v>-1</v>
      </c>
    </row>
    <row r="48" spans="1:26" s="28" customFormat="1" outlineLevel="1" collapsed="1" x14ac:dyDescent="0.35">
      <c r="A48" s="27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0</v>
      </c>
      <c r="E48" s="1"/>
      <c r="F48" s="5">
        <f t="shared" si="20"/>
        <v>0</v>
      </c>
      <c r="G48" s="1"/>
      <c r="H48" s="1">
        <f>SUM(OSRRefH22_5x_0)</f>
        <v>10</v>
      </c>
      <c r="I48" s="1"/>
      <c r="J48" s="5">
        <f t="shared" si="21"/>
        <v>2.8627866365119807E-4</v>
      </c>
      <c r="K48" s="1"/>
      <c r="L48" s="1">
        <f t="shared" si="22"/>
        <v>-10</v>
      </c>
      <c r="M48" s="1"/>
      <c r="N48" s="5">
        <f t="shared" si="23"/>
        <v>-1</v>
      </c>
      <c r="O48" s="14"/>
      <c r="P48" s="1">
        <f>SUM(OSRRefP22_5x_0)</f>
        <v>2.12</v>
      </c>
      <c r="Q48" s="1"/>
      <c r="R48" s="5">
        <f t="shared" si="24"/>
        <v>5.7350617871751037E-6</v>
      </c>
      <c r="S48" s="1"/>
      <c r="T48" s="1">
        <f>SUM(OSRRefT22_5x_0)</f>
        <v>70</v>
      </c>
      <c r="U48" s="1"/>
      <c r="V48" s="5">
        <f t="shared" si="25"/>
        <v>1.7083962796010164E-4</v>
      </c>
      <c r="W48" s="1"/>
      <c r="X48" s="1">
        <f t="shared" si="26"/>
        <v>-67.88</v>
      </c>
      <c r="Y48" s="1"/>
      <c r="Z48" s="5">
        <f t="shared" si="27"/>
        <v>-0.96971428571428564</v>
      </c>
    </row>
    <row r="49" spans="1:26" s="24" customFormat="1" hidden="1" outlineLevel="2" x14ac:dyDescent="0.35">
      <c r="A49" s="29"/>
      <c r="B49" s="11" t="str">
        <f>CONCATENATE("          ", "6305", " - ", "FREIGHT OUT")</f>
        <v xml:space="preserve">          6305 - FREIGHT OUT</v>
      </c>
      <c r="C49" s="11"/>
      <c r="D49" s="7"/>
      <c r="E49" s="2"/>
      <c r="F49" s="6">
        <f t="shared" si="20"/>
        <v>0</v>
      </c>
      <c r="G49" s="2"/>
      <c r="H49" s="7"/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>
        <v>1.62</v>
      </c>
      <c r="Q49" s="2"/>
      <c r="R49" s="6">
        <f t="shared" si="24"/>
        <v>4.3824528751055041E-6</v>
      </c>
      <c r="S49" s="2"/>
      <c r="T49" s="7"/>
      <c r="U49" s="2"/>
      <c r="V49" s="6">
        <f t="shared" si="25"/>
        <v>0</v>
      </c>
      <c r="W49" s="2"/>
      <c r="X49" s="7">
        <f t="shared" si="26"/>
        <v>1.62</v>
      </c>
      <c r="Y49" s="2"/>
      <c r="Z49" s="6">
        <f t="shared" si="27"/>
        <v>0</v>
      </c>
    </row>
    <row r="50" spans="1:26" s="24" customFormat="1" hidden="1" outlineLevel="2" x14ac:dyDescent="0.35">
      <c r="A50" s="29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0"/>
        <v>0</v>
      </c>
      <c r="G50" s="2"/>
      <c r="H50" s="7">
        <v>10</v>
      </c>
      <c r="I50" s="2"/>
      <c r="J50" s="6">
        <f t="shared" si="21"/>
        <v>2.8627866365119807E-4</v>
      </c>
      <c r="K50" s="2"/>
      <c r="L50" s="7">
        <f t="shared" si="22"/>
        <v>-10</v>
      </c>
      <c r="M50" s="2"/>
      <c r="N50" s="6">
        <f t="shared" si="23"/>
        <v>-1</v>
      </c>
      <c r="O50" s="11"/>
      <c r="P50" s="7">
        <v>0.5</v>
      </c>
      <c r="Q50" s="2"/>
      <c r="R50" s="6">
        <f t="shared" si="24"/>
        <v>1.3526089120695998E-6</v>
      </c>
      <c r="S50" s="2"/>
      <c r="T50" s="7">
        <v>70</v>
      </c>
      <c r="U50" s="2"/>
      <c r="V50" s="6">
        <f t="shared" si="25"/>
        <v>1.7083962796010164E-4</v>
      </c>
      <c r="W50" s="2"/>
      <c r="X50" s="7">
        <f t="shared" si="26"/>
        <v>-69.5</v>
      </c>
      <c r="Y50" s="2"/>
      <c r="Z50" s="6">
        <f t="shared" si="27"/>
        <v>-0.99285714285714288</v>
      </c>
    </row>
    <row r="51" spans="1:26" s="28" customFormat="1" outlineLevel="1" collapsed="1" x14ac:dyDescent="0.35">
      <c r="A51" s="27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ref="F51:F61" si="28">IF(D$12=0,0,D51/D$12)</f>
        <v>0</v>
      </c>
      <c r="G51" s="1"/>
      <c r="H51" s="1">
        <f>SUM(OSRRefH22_6x_0)</f>
        <v>50</v>
      </c>
      <c r="I51" s="1"/>
      <c r="J51" s="5">
        <f t="shared" ref="J51:J61" si="29">IF(H$12=0,0,H51/H$12)</f>
        <v>1.4313933182559903E-3</v>
      </c>
      <c r="K51" s="1"/>
      <c r="L51" s="1">
        <f t="shared" ref="L51:L61" si="30">+D51-H51</f>
        <v>-50</v>
      </c>
      <c r="M51" s="1"/>
      <c r="N51" s="5">
        <f t="shared" ref="N51:N61" si="31">IF(H51=0,0,L51/H51)</f>
        <v>-1</v>
      </c>
      <c r="O51" s="14"/>
      <c r="P51" s="1">
        <f>SUM(OSRRefP22_6x_0)</f>
        <v>0</v>
      </c>
      <c r="Q51" s="1"/>
      <c r="R51" s="5">
        <f t="shared" ref="R51:R61" si="32">IF(P$12=0,0,P51/P$12)</f>
        <v>0</v>
      </c>
      <c r="S51" s="1"/>
      <c r="T51" s="1">
        <f>SUM(OSRRefT22_6x_0)</f>
        <v>350</v>
      </c>
      <c r="U51" s="1"/>
      <c r="V51" s="5">
        <f t="shared" ref="V51:V61" si="33">IF(T$12=0,0,T51/T$12)</f>
        <v>8.5419813980050811E-4</v>
      </c>
      <c r="W51" s="1"/>
      <c r="X51" s="1">
        <f t="shared" ref="X51:X61" si="34">+P51-T51</f>
        <v>-350</v>
      </c>
      <c r="Y51" s="1"/>
      <c r="Z51" s="5">
        <f t="shared" ref="Z51:Z61" si="35">IF(T51=0,0,X51/T51)</f>
        <v>-1</v>
      </c>
    </row>
    <row r="52" spans="1:26" s="24" customFormat="1" hidden="1" outlineLevel="2" x14ac:dyDescent="0.35">
      <c r="A52" s="29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8"/>
        <v>0</v>
      </c>
      <c r="G52" s="2"/>
      <c r="H52" s="7">
        <v>50</v>
      </c>
      <c r="I52" s="2"/>
      <c r="J52" s="6">
        <f t="shared" si="29"/>
        <v>1.4313933182559903E-3</v>
      </c>
      <c r="K52" s="2"/>
      <c r="L52" s="7">
        <f t="shared" si="30"/>
        <v>-50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350</v>
      </c>
      <c r="U52" s="2"/>
      <c r="V52" s="6">
        <f t="shared" si="33"/>
        <v>8.5419813980050811E-4</v>
      </c>
      <c r="W52" s="2"/>
      <c r="X52" s="7">
        <f t="shared" si="34"/>
        <v>-350</v>
      </c>
      <c r="Y52" s="2"/>
      <c r="Z52" s="6">
        <f t="shared" si="35"/>
        <v>-1</v>
      </c>
    </row>
    <row r="53" spans="1:26" s="28" customFormat="1" outlineLevel="1" collapsed="1" x14ac:dyDescent="0.35">
      <c r="A53" s="27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SUM(OSRRefD22_7x_0)</f>
        <v>29.01</v>
      </c>
      <c r="E53" s="1"/>
      <c r="F53" s="5">
        <f t="shared" si="28"/>
        <v>8.5363700564971754E-4</v>
      </c>
      <c r="G53" s="1"/>
      <c r="H53" s="1">
        <f>SUM(OSRRefH22_7x_0)</f>
        <v>33</v>
      </c>
      <c r="I53" s="1"/>
      <c r="J53" s="5">
        <f t="shared" si="29"/>
        <v>9.447195900489536E-4</v>
      </c>
      <c r="K53" s="1"/>
      <c r="L53" s="1">
        <f t="shared" si="30"/>
        <v>-3.9899999999999984</v>
      </c>
      <c r="M53" s="1"/>
      <c r="N53" s="5">
        <f t="shared" si="31"/>
        <v>-0.12090909090909085</v>
      </c>
      <c r="O53" s="14"/>
      <c r="P53" s="1">
        <f>SUM(OSRRefP22_7x_0)</f>
        <v>203.07</v>
      </c>
      <c r="Q53" s="1"/>
      <c r="R53" s="5">
        <f t="shared" si="32"/>
        <v>5.4934858354794723E-4</v>
      </c>
      <c r="S53" s="1"/>
      <c r="T53" s="1">
        <f>SUM(OSRRefT22_7x_0)</f>
        <v>231</v>
      </c>
      <c r="U53" s="1"/>
      <c r="V53" s="5">
        <f t="shared" si="33"/>
        <v>5.6377077226833533E-4</v>
      </c>
      <c r="W53" s="1"/>
      <c r="X53" s="1">
        <f t="shared" si="34"/>
        <v>-27.930000000000007</v>
      </c>
      <c r="Y53" s="1"/>
      <c r="Z53" s="5">
        <f t="shared" si="35"/>
        <v>-0.12090909090909094</v>
      </c>
    </row>
    <row r="54" spans="1:26" s="24" customFormat="1" hidden="1" outlineLevel="2" x14ac:dyDescent="0.35">
      <c r="A54" s="29"/>
      <c r="B54" s="11" t="str">
        <f>CONCATENATE("          ", "6314", " - ", "LIABILITY INSURANCE")</f>
        <v xml:space="preserve">          6314 - LIABILITY INSURANCE</v>
      </c>
      <c r="C54" s="11"/>
      <c r="D54" s="7">
        <v>29.01</v>
      </c>
      <c r="E54" s="2"/>
      <c r="F54" s="6">
        <f t="shared" si="28"/>
        <v>8.5363700564971754E-4</v>
      </c>
      <c r="G54" s="2"/>
      <c r="H54" s="7">
        <v>33</v>
      </c>
      <c r="I54" s="2"/>
      <c r="J54" s="6">
        <f t="shared" si="29"/>
        <v>9.447195900489536E-4</v>
      </c>
      <c r="K54" s="2"/>
      <c r="L54" s="7">
        <f t="shared" si="30"/>
        <v>-3.9899999999999984</v>
      </c>
      <c r="M54" s="2"/>
      <c r="N54" s="6">
        <f t="shared" si="31"/>
        <v>-0.12090909090909085</v>
      </c>
      <c r="O54" s="11"/>
      <c r="P54" s="7">
        <v>203.07</v>
      </c>
      <c r="Q54" s="2"/>
      <c r="R54" s="6">
        <f t="shared" si="32"/>
        <v>5.4934858354794723E-4</v>
      </c>
      <c r="S54" s="2"/>
      <c r="T54" s="7">
        <v>231</v>
      </c>
      <c r="U54" s="2"/>
      <c r="V54" s="6">
        <f t="shared" si="33"/>
        <v>5.6377077226833533E-4</v>
      </c>
      <c r="W54" s="2"/>
      <c r="X54" s="7">
        <f t="shared" si="34"/>
        <v>-27.930000000000007</v>
      </c>
      <c r="Y54" s="2"/>
      <c r="Z54" s="6">
        <f t="shared" si="35"/>
        <v>-0.12090909090909094</v>
      </c>
    </row>
    <row r="55" spans="1:26" s="28" customFormat="1" outlineLevel="1" collapsed="1" x14ac:dyDescent="0.35">
      <c r="A55" s="27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800</v>
      </c>
      <c r="E55" s="1"/>
      <c r="F55" s="5">
        <f t="shared" si="28"/>
        <v>2.3540489642184557E-2</v>
      </c>
      <c r="G55" s="1"/>
      <c r="H55" s="1">
        <f>SUM(OSRRefH22_8x_0)</f>
        <v>800</v>
      </c>
      <c r="I55" s="1"/>
      <c r="J55" s="5">
        <f t="shared" si="29"/>
        <v>2.2902293092095845E-2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SUM(OSRRefP22_8x_0)</f>
        <v>5600</v>
      </c>
      <c r="Q55" s="1"/>
      <c r="R55" s="5">
        <f t="shared" si="32"/>
        <v>1.5149219815179518E-2</v>
      </c>
      <c r="S55" s="1"/>
      <c r="T55" s="1">
        <f>SUM(OSRRefT22_8x_0)</f>
        <v>5600</v>
      </c>
      <c r="U55" s="1"/>
      <c r="V55" s="5">
        <f t="shared" si="33"/>
        <v>1.366717023680813E-2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35">
      <c r="A56" s="29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8"/>
        <v>2.3540489642184557E-2</v>
      </c>
      <c r="G56" s="2"/>
      <c r="H56" s="7">
        <v>800</v>
      </c>
      <c r="I56" s="2"/>
      <c r="J56" s="6">
        <f t="shared" si="29"/>
        <v>2.2902293092095845E-2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5600</v>
      </c>
      <c r="Q56" s="2"/>
      <c r="R56" s="6">
        <f t="shared" si="32"/>
        <v>1.5149219815179518E-2</v>
      </c>
      <c r="S56" s="2"/>
      <c r="T56" s="7">
        <v>5600</v>
      </c>
      <c r="U56" s="2"/>
      <c r="V56" s="6">
        <f t="shared" si="33"/>
        <v>1.366717023680813E-2</v>
      </c>
      <c r="W56" s="2"/>
      <c r="X56" s="7">
        <f t="shared" si="34"/>
        <v>0</v>
      </c>
      <c r="Y56" s="2"/>
      <c r="Z56" s="6">
        <f t="shared" si="35"/>
        <v>0</v>
      </c>
    </row>
    <row r="57" spans="1:26" s="28" customFormat="1" outlineLevel="1" collapsed="1" x14ac:dyDescent="0.35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0</v>
      </c>
      <c r="E57" s="1"/>
      <c r="F57" s="5">
        <f t="shared" si="28"/>
        <v>0</v>
      </c>
      <c r="G57" s="1"/>
      <c r="H57" s="1">
        <f>SUM(OSRRefH22_9x_0)</f>
        <v>1500</v>
      </c>
      <c r="I57" s="1"/>
      <c r="J57" s="5">
        <f t="shared" si="29"/>
        <v>4.294179954767971E-2</v>
      </c>
      <c r="K57" s="1"/>
      <c r="L57" s="1">
        <f t="shared" si="30"/>
        <v>-1500</v>
      </c>
      <c r="M57" s="1"/>
      <c r="N57" s="5">
        <f t="shared" si="31"/>
        <v>-1</v>
      </c>
      <c r="O57" s="14"/>
      <c r="P57" s="1">
        <f>SUM(OSRRefP22_9x_0)</f>
        <v>126914.90000000001</v>
      </c>
      <c r="Q57" s="1"/>
      <c r="R57" s="5">
        <f t="shared" si="32"/>
        <v>0.34333244962884413</v>
      </c>
      <c r="S57" s="1"/>
      <c r="T57" s="1">
        <f>SUM(OSRRefT22_9x_0)</f>
        <v>135500</v>
      </c>
      <c r="U57" s="1"/>
      <c r="V57" s="5">
        <f t="shared" si="33"/>
        <v>0.33069670840848242</v>
      </c>
      <c r="W57" s="1"/>
      <c r="X57" s="1">
        <f t="shared" si="34"/>
        <v>-8585.0999999999913</v>
      </c>
      <c r="Y57" s="1"/>
      <c r="Z57" s="5">
        <f t="shared" si="35"/>
        <v>-6.3358671586715806E-2</v>
      </c>
    </row>
    <row r="58" spans="1:26" s="24" customFormat="1" hidden="1" outlineLevel="2" x14ac:dyDescent="0.35">
      <c r="A58" s="29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28"/>
        <v>0</v>
      </c>
      <c r="G58" s="2"/>
      <c r="H58" s="7"/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/>
      <c r="Q58" s="2"/>
      <c r="R58" s="6">
        <f t="shared" si="32"/>
        <v>0</v>
      </c>
      <c r="S58" s="2"/>
      <c r="T58" s="7">
        <v>125000</v>
      </c>
      <c r="U58" s="2"/>
      <c r="V58" s="6">
        <f t="shared" si="33"/>
        <v>0.30507076421446716</v>
      </c>
      <c r="W58" s="2"/>
      <c r="X58" s="7">
        <f t="shared" si="34"/>
        <v>-125000</v>
      </c>
      <c r="Y58" s="2"/>
      <c r="Z58" s="6">
        <f t="shared" si="35"/>
        <v>-1</v>
      </c>
    </row>
    <row r="59" spans="1:26" s="24" customFormat="1" hidden="1" outlineLevel="2" x14ac:dyDescent="0.35">
      <c r="A59" s="29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8"/>
        <v>0</v>
      </c>
      <c r="G59" s="2"/>
      <c r="H59" s="7">
        <v>1500</v>
      </c>
      <c r="I59" s="2"/>
      <c r="J59" s="6">
        <f t="shared" si="29"/>
        <v>4.294179954767971E-2</v>
      </c>
      <c r="K59" s="2"/>
      <c r="L59" s="7">
        <f t="shared" si="30"/>
        <v>-1500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10500</v>
      </c>
      <c r="U59" s="2"/>
      <c r="V59" s="6">
        <f t="shared" si="33"/>
        <v>2.5625944194015243E-2</v>
      </c>
      <c r="W59" s="2"/>
      <c r="X59" s="7">
        <f t="shared" si="34"/>
        <v>-10500</v>
      </c>
      <c r="Y59" s="2"/>
      <c r="Z59" s="6">
        <f t="shared" si="35"/>
        <v>-1</v>
      </c>
    </row>
    <row r="60" spans="1:26" s="24" customFormat="1" hidden="1" outlineLevel="2" x14ac:dyDescent="0.35">
      <c r="A60" s="29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120352.90000000001</v>
      </c>
      <c r="Q60" s="2"/>
      <c r="R60" s="6">
        <f t="shared" si="32"/>
        <v>0.32558081026684271</v>
      </c>
      <c r="S60" s="2"/>
      <c r="T60" s="7"/>
      <c r="U60" s="2"/>
      <c r="V60" s="6">
        <f t="shared" si="33"/>
        <v>0</v>
      </c>
      <c r="W60" s="2"/>
      <c r="X60" s="7">
        <f t="shared" si="34"/>
        <v>120352.90000000001</v>
      </c>
      <c r="Y60" s="2"/>
      <c r="Z60" s="6">
        <f t="shared" si="35"/>
        <v>0</v>
      </c>
    </row>
    <row r="61" spans="1:26" s="24" customFormat="1" hidden="1" outlineLevel="2" x14ac:dyDescent="0.35">
      <c r="A61" s="29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6562</v>
      </c>
      <c r="Q61" s="2"/>
      <c r="R61" s="6">
        <f t="shared" si="32"/>
        <v>1.7751639362001428E-2</v>
      </c>
      <c r="S61" s="2"/>
      <c r="T61" s="7"/>
      <c r="U61" s="2"/>
      <c r="V61" s="6">
        <f t="shared" si="33"/>
        <v>0</v>
      </c>
      <c r="W61" s="2"/>
      <c r="X61" s="7">
        <f t="shared" si="34"/>
        <v>6562</v>
      </c>
      <c r="Y61" s="2"/>
      <c r="Z61" s="6">
        <f t="shared" si="35"/>
        <v>0</v>
      </c>
    </row>
    <row r="62" spans="1:26" s="28" customFormat="1" outlineLevel="1" collapsed="1" x14ac:dyDescent="0.35">
      <c r="A62" s="27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SUM(OSRRefD22_10x_0)</f>
        <v>774.92</v>
      </c>
      <c r="E62" s="1"/>
      <c r="F62" s="5">
        <f t="shared" ref="F62:F64" si="36">IF(D$12=0,0,D62/D$12)</f>
        <v>2.2802495291902071E-2</v>
      </c>
      <c r="G62" s="1"/>
      <c r="H62" s="1">
        <f>SUM(OSRRefH22_10x_0)</f>
        <v>7000</v>
      </c>
      <c r="I62" s="1"/>
      <c r="J62" s="5">
        <f t="shared" ref="J62:J64" si="37">IF(H$12=0,0,H62/H$12)</f>
        <v>0.20039506455583866</v>
      </c>
      <c r="K62" s="1"/>
      <c r="L62" s="1">
        <f t="shared" ref="L62:L64" si="38">+D62-H62</f>
        <v>-6225.08</v>
      </c>
      <c r="M62" s="1"/>
      <c r="N62" s="5">
        <f t="shared" ref="N62:N64" si="39">IF(H62=0,0,L62/H62)</f>
        <v>-0.8892971428571429</v>
      </c>
      <c r="O62" s="14"/>
      <c r="P62" s="1">
        <f>SUM(OSRRefP22_10x_0)</f>
        <v>42046.62</v>
      </c>
      <c r="Q62" s="1"/>
      <c r="R62" s="5">
        <f t="shared" ref="R62:R64" si="40">IF(P$12=0,0,P62/P$12)</f>
        <v>0.11374526586880776</v>
      </c>
      <c r="S62" s="1"/>
      <c r="T62" s="1">
        <f>SUM(OSRRefT22_10x_0)</f>
        <v>49000</v>
      </c>
      <c r="U62" s="1"/>
      <c r="V62" s="5">
        <f t="shared" ref="V62:V64" si="41">IF(T$12=0,0,T62/T$12)</f>
        <v>0.11958773957207114</v>
      </c>
      <c r="W62" s="1"/>
      <c r="X62" s="1">
        <f t="shared" ref="X62:X64" si="42">+P62-T62</f>
        <v>-6953.3799999999974</v>
      </c>
      <c r="Y62" s="1"/>
      <c r="Z62" s="5">
        <f t="shared" ref="Z62:Z64" si="43">IF(T62=0,0,X62/T62)</f>
        <v>-0.14190571428571422</v>
      </c>
    </row>
    <row r="63" spans="1:26" s="24" customFormat="1" hidden="1" outlineLevel="2" x14ac:dyDescent="0.35">
      <c r="A63" s="29"/>
      <c r="B63" s="11" t="str">
        <f>CONCATENATE("          ", "6234", " - ", "EXPENDABLE SUPPLIES &amp; EQUIPMEN")</f>
        <v xml:space="preserve">          6234 - EXPENDABLE SUPPLIES &amp; EQUIPMEN</v>
      </c>
      <c r="C63" s="11"/>
      <c r="D63" s="7"/>
      <c r="E63" s="2"/>
      <c r="F63" s="6">
        <f t="shared" si="36"/>
        <v>0</v>
      </c>
      <c r="G63" s="2"/>
      <c r="H63" s="7">
        <v>7000</v>
      </c>
      <c r="I63" s="2"/>
      <c r="J63" s="6">
        <f t="shared" si="37"/>
        <v>0.20039506455583866</v>
      </c>
      <c r="K63" s="2"/>
      <c r="L63" s="7">
        <f t="shared" si="38"/>
        <v>-7000</v>
      </c>
      <c r="M63" s="2"/>
      <c r="N63" s="6">
        <f t="shared" si="39"/>
        <v>-1</v>
      </c>
      <c r="O63" s="11"/>
      <c r="P63" s="7"/>
      <c r="Q63" s="2"/>
      <c r="R63" s="6">
        <f t="shared" si="40"/>
        <v>0</v>
      </c>
      <c r="S63" s="2"/>
      <c r="T63" s="7">
        <v>49000</v>
      </c>
      <c r="U63" s="2"/>
      <c r="V63" s="6">
        <f t="shared" si="41"/>
        <v>0.11958773957207114</v>
      </c>
      <c r="W63" s="2"/>
      <c r="X63" s="7">
        <f t="shared" si="42"/>
        <v>-49000</v>
      </c>
      <c r="Y63" s="2"/>
      <c r="Z63" s="6">
        <f t="shared" si="43"/>
        <v>-1</v>
      </c>
    </row>
    <row r="64" spans="1:26" s="24" customFormat="1" hidden="1" outlineLevel="2" x14ac:dyDescent="0.35">
      <c r="A64" s="29"/>
      <c r="B64" s="11" t="str">
        <f>CONCATENATE("          ", "6241", " - ", "OFFICE EXPENSE")</f>
        <v xml:space="preserve">          6241 - OFFICE EXPENSE</v>
      </c>
      <c r="C64" s="11"/>
      <c r="D64" s="7">
        <v>774.92</v>
      </c>
      <c r="E64" s="2"/>
      <c r="F64" s="6">
        <f t="shared" si="36"/>
        <v>2.2802495291902071E-2</v>
      </c>
      <c r="G64" s="2"/>
      <c r="H64" s="7"/>
      <c r="I64" s="2"/>
      <c r="J64" s="6">
        <f t="shared" si="37"/>
        <v>0</v>
      </c>
      <c r="K64" s="2"/>
      <c r="L64" s="7">
        <f t="shared" si="38"/>
        <v>774.92</v>
      </c>
      <c r="M64" s="2"/>
      <c r="N64" s="6">
        <f t="shared" si="39"/>
        <v>0</v>
      </c>
      <c r="O64" s="11"/>
      <c r="P64" s="7">
        <v>42046.62</v>
      </c>
      <c r="Q64" s="2"/>
      <c r="R64" s="6">
        <f t="shared" si="40"/>
        <v>0.11374526586880776</v>
      </c>
      <c r="S64" s="2"/>
      <c r="T64" s="7"/>
      <c r="U64" s="2"/>
      <c r="V64" s="6">
        <f t="shared" si="41"/>
        <v>0</v>
      </c>
      <c r="W64" s="2"/>
      <c r="X64" s="7">
        <f t="shared" si="42"/>
        <v>42046.62</v>
      </c>
      <c r="Y64" s="2"/>
      <c r="Z64" s="6">
        <f t="shared" si="43"/>
        <v>0</v>
      </c>
    </row>
    <row r="65" spans="1:26" s="28" customFormat="1" outlineLevel="1" collapsed="1" x14ac:dyDescent="0.35">
      <c r="A65" s="27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SUM(OSRRefD22_11x_0)</f>
        <v>86.55</v>
      </c>
      <c r="E65" s="1"/>
      <c r="F65" s="5">
        <f t="shared" ref="F65:F66" si="44">IF(D$12=0,0,D65/D$12)</f>
        <v>2.5467867231638418E-3</v>
      </c>
      <c r="G65" s="1"/>
      <c r="H65" s="1">
        <f>SUM(OSRRefH22_11x_0)</f>
        <v>700</v>
      </c>
      <c r="I65" s="1"/>
      <c r="J65" s="5">
        <f t="shared" ref="J65:J66" si="45">IF(H$12=0,0,H65/H$12)</f>
        <v>2.0039506455583864E-2</v>
      </c>
      <c r="K65" s="1"/>
      <c r="L65" s="1">
        <f t="shared" ref="L65:L66" si="46">+D65-H65</f>
        <v>-613.45000000000005</v>
      </c>
      <c r="M65" s="1"/>
      <c r="N65" s="5">
        <f t="shared" ref="N65:N66" si="47">IF(H65=0,0,L65/H65)</f>
        <v>-0.87635714285714295</v>
      </c>
      <c r="O65" s="14"/>
      <c r="P65" s="1">
        <f>SUM(OSRRefP22_11x_0)</f>
        <v>1538.38</v>
      </c>
      <c r="Q65" s="1"/>
      <c r="R65" s="5">
        <f t="shared" ref="R65:R66" si="48">IF(P$12=0,0,P65/P$12)</f>
        <v>4.1616529962992619E-3</v>
      </c>
      <c r="S65" s="1"/>
      <c r="T65" s="1">
        <f>SUM(OSRRefT22_11x_0)</f>
        <v>4900</v>
      </c>
      <c r="U65" s="1"/>
      <c r="V65" s="5">
        <f t="shared" ref="V65:V66" si="49">IF(T$12=0,0,T65/T$12)</f>
        <v>1.1958773957207115E-2</v>
      </c>
      <c r="W65" s="1"/>
      <c r="X65" s="1">
        <f t="shared" ref="X65:X66" si="50">+P65-T65</f>
        <v>-3361.62</v>
      </c>
      <c r="Y65" s="1"/>
      <c r="Z65" s="5">
        <f t="shared" ref="Z65:Z66" si="51">IF(T65=0,0,X65/T65)</f>
        <v>-0.68604489795918366</v>
      </c>
    </row>
    <row r="66" spans="1:26" s="24" customFormat="1" hidden="1" outlineLevel="2" x14ac:dyDescent="0.35">
      <c r="A66" s="29"/>
      <c r="B66" s="11" t="str">
        <f>CONCATENATE("          ", "6309", " - ", "TELEPHONE")</f>
        <v xml:space="preserve">          6309 - TELEPHONE</v>
      </c>
      <c r="C66" s="11"/>
      <c r="D66" s="7">
        <v>86.55</v>
      </c>
      <c r="E66" s="2"/>
      <c r="F66" s="6">
        <f t="shared" si="44"/>
        <v>2.5467867231638418E-3</v>
      </c>
      <c r="G66" s="2"/>
      <c r="H66" s="7">
        <v>700</v>
      </c>
      <c r="I66" s="2"/>
      <c r="J66" s="6">
        <f t="shared" si="45"/>
        <v>2.0039506455583864E-2</v>
      </c>
      <c r="K66" s="2"/>
      <c r="L66" s="7">
        <f t="shared" si="46"/>
        <v>-613.45000000000005</v>
      </c>
      <c r="M66" s="2"/>
      <c r="N66" s="6">
        <f t="shared" si="47"/>
        <v>-0.87635714285714295</v>
      </c>
      <c r="O66" s="11"/>
      <c r="P66" s="7">
        <v>1538.38</v>
      </c>
      <c r="Q66" s="2"/>
      <c r="R66" s="6">
        <f t="shared" si="48"/>
        <v>4.1616529962992619E-3</v>
      </c>
      <c r="S66" s="2"/>
      <c r="T66" s="7">
        <v>4900</v>
      </c>
      <c r="U66" s="2"/>
      <c r="V66" s="6">
        <f t="shared" si="49"/>
        <v>1.1958773957207115E-2</v>
      </c>
      <c r="W66" s="2"/>
      <c r="X66" s="7">
        <f t="shared" si="50"/>
        <v>-3361.62</v>
      </c>
      <c r="Y66" s="2"/>
      <c r="Z66" s="6">
        <f t="shared" si="51"/>
        <v>-0.68604489795918366</v>
      </c>
    </row>
    <row r="67" spans="1:26" s="55" customFormat="1" x14ac:dyDescent="0.3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35">
      <c r="A68" s="10"/>
      <c r="B68" s="25" t="s">
        <v>0</v>
      </c>
      <c r="C68" s="10"/>
      <c r="D68" s="4">
        <f>SUM(OSRRefD25x_0)</f>
        <v>237</v>
      </c>
      <c r="E68" s="4"/>
      <c r="F68" s="12">
        <f t="shared" ref="F68:F69" si="52">IF(D$12=0,0,D68/D$12)</f>
        <v>6.9738700564971751E-3</v>
      </c>
      <c r="G68" s="4"/>
      <c r="H68" s="4">
        <f>SUM(OSRRefH25x_0)</f>
        <v>4000</v>
      </c>
      <c r="I68" s="4"/>
      <c r="J68" s="12">
        <f t="shared" ref="J68:J69" si="53">IF(H$12=0,0,H68/H$12)</f>
        <v>0.11451146546047923</v>
      </c>
      <c r="K68" s="4"/>
      <c r="L68" s="4">
        <f t="shared" ref="L68:L69" si="54">+D68-H68</f>
        <v>-3763</v>
      </c>
      <c r="M68" s="4"/>
      <c r="N68" s="12">
        <f t="shared" ref="N68:N69" si="55">IF(H68=0,0,L68/H68)</f>
        <v>-0.94074999999999998</v>
      </c>
      <c r="O68" s="10"/>
      <c r="P68" s="4">
        <f>SUM(OSRRefP25x_0)</f>
        <v>1497.2</v>
      </c>
      <c r="Q68" s="4"/>
      <c r="R68" s="12">
        <f t="shared" ref="R68:R69" si="56">IF(P$12=0,0,P68/P$12)</f>
        <v>4.0502521263012098E-3</v>
      </c>
      <c r="S68" s="4"/>
      <c r="T68" s="4">
        <f>SUM(OSRRefT25x_0)</f>
        <v>19450</v>
      </c>
      <c r="U68" s="4"/>
      <c r="V68" s="12">
        <f t="shared" ref="V68:V69" si="57">IF(T$12=0,0,T68/T$12)</f>
        <v>4.7469010911771095E-2</v>
      </c>
      <c r="W68" s="4"/>
      <c r="X68" s="4">
        <f t="shared" ref="X68:X69" si="58">+P68-T68</f>
        <v>-17952.8</v>
      </c>
      <c r="Y68" s="4"/>
      <c r="Z68" s="12">
        <f t="shared" ref="Z68:Z69" si="59">IF(T68=0,0,X68/T68)</f>
        <v>-0.92302313624678656</v>
      </c>
    </row>
    <row r="69" spans="1:26" s="24" customFormat="1" hidden="1" outlineLevel="1" x14ac:dyDescent="0.35">
      <c r="A69" s="51"/>
      <c r="B69" s="11" t="str">
        <f>CONCATENATE("          ", "9150", " - ", "MISC. INCOME")</f>
        <v xml:space="preserve">          9150 - MISC. INCOME</v>
      </c>
      <c r="C69" s="11"/>
      <c r="D69" s="2">
        <f>--237</f>
        <v>237</v>
      </c>
      <c r="E69" s="2"/>
      <c r="F69" s="22">
        <f t="shared" si="52"/>
        <v>6.9738700564971751E-3</v>
      </c>
      <c r="G69" s="2"/>
      <c r="H69" s="2">
        <v>4000</v>
      </c>
      <c r="I69" s="2"/>
      <c r="J69" s="22">
        <f t="shared" si="53"/>
        <v>0.11451146546047923</v>
      </c>
      <c r="K69" s="2"/>
      <c r="L69" s="2">
        <f t="shared" si="54"/>
        <v>-3763</v>
      </c>
      <c r="M69" s="2"/>
      <c r="N69" s="22">
        <f t="shared" si="55"/>
        <v>-0.94074999999999998</v>
      </c>
      <c r="O69" s="11"/>
      <c r="P69" s="2">
        <f>--1497.2</f>
        <v>1497.2</v>
      </c>
      <c r="Q69" s="2"/>
      <c r="R69" s="22">
        <f t="shared" si="56"/>
        <v>4.0502521263012098E-3</v>
      </c>
      <c r="S69" s="2"/>
      <c r="T69" s="2">
        <v>19450</v>
      </c>
      <c r="U69" s="2"/>
      <c r="V69" s="22">
        <f t="shared" si="57"/>
        <v>4.7469010911771095E-2</v>
      </c>
      <c r="W69" s="2"/>
      <c r="X69" s="2">
        <f t="shared" si="58"/>
        <v>-17952.8</v>
      </c>
      <c r="Y69" s="2"/>
      <c r="Z69" s="22">
        <f t="shared" si="59"/>
        <v>-0.92302313624678656</v>
      </c>
    </row>
    <row r="70" spans="1:26" x14ac:dyDescent="0.3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35">
      <c r="A71" s="10"/>
      <c r="B71" s="26" t="s">
        <v>3</v>
      </c>
      <c r="C71" s="26"/>
      <c r="D71" s="19">
        <f>+D17-D19+D68</f>
        <v>10869.900000000005</v>
      </c>
      <c r="E71" s="13"/>
      <c r="F71" s="21">
        <f>IF(D$12=0,0,D71/D$12)</f>
        <v>0.31985346045197754</v>
      </c>
      <c r="G71" s="13"/>
      <c r="H71" s="19">
        <f>+H17-H19+H68</f>
        <v>5204.5095014807739</v>
      </c>
      <c r="I71" s="13"/>
      <c r="J71" s="21">
        <f>IF(H$12=0,0,H71/H$12)</f>
        <v>0.14899400250438791</v>
      </c>
      <c r="K71" s="16"/>
      <c r="L71" s="19">
        <f>+D71-H71</f>
        <v>5665.3904985192312</v>
      </c>
      <c r="M71" s="16"/>
      <c r="N71" s="21">
        <f>IF(H71=0,0,L71/H71)</f>
        <v>1.0885541657494002</v>
      </c>
      <c r="O71" s="25"/>
      <c r="P71" s="19">
        <f>+P17-P19+P68</f>
        <v>62106.910000000018</v>
      </c>
      <c r="Q71" s="13"/>
      <c r="R71" s="21">
        <f>IF(P$12=0,0,P71/P$12)</f>
        <v>0.16801271993420916</v>
      </c>
      <c r="S71" s="13"/>
      <c r="T71" s="19">
        <f>+T17-T19+T68</f>
        <v>62247.041196730803</v>
      </c>
      <c r="U71" s="13"/>
      <c r="V71" s="21">
        <f>IF(T$12=0,0,T71/T$12)</f>
        <v>0.1519180194238087</v>
      </c>
      <c r="W71" s="16"/>
      <c r="X71" s="19">
        <f>+P71-T71</f>
        <v>-140.13119673078472</v>
      </c>
      <c r="Y71" s="16"/>
      <c r="Z71" s="21">
        <f>IF(T71=0,0,X71/T71)</f>
        <v>-2.2512105641760908E-3</v>
      </c>
    </row>
    <row r="72" spans="1:26" x14ac:dyDescent="0.3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35">
      <c r="A73" s="52"/>
      <c r="B73" s="10" t="s">
        <v>14</v>
      </c>
      <c r="C73" s="10"/>
      <c r="D73" s="4">
        <v>4995.91</v>
      </c>
      <c r="E73" s="4"/>
      <c r="F73" s="12">
        <f>IF(D$12=0,0,D73/D$12)</f>
        <v>0.1470077095103578</v>
      </c>
      <c r="G73" s="4"/>
      <c r="H73" s="4">
        <v>9</v>
      </c>
      <c r="I73" s="4"/>
      <c r="J73" s="12">
        <f>IF(H$12=0,0,H73/H$12)</f>
        <v>2.5765079728607825E-4</v>
      </c>
      <c r="K73" s="4"/>
      <c r="L73" s="4">
        <f>+D73-H73</f>
        <v>4986.91</v>
      </c>
      <c r="M73" s="4"/>
      <c r="N73" s="12">
        <f>IF(H73=0,0,L73/H73)</f>
        <v>554.10111111111109</v>
      </c>
      <c r="O73" s="10"/>
      <c r="P73" s="4">
        <v>67102.34</v>
      </c>
      <c r="Q73" s="4"/>
      <c r="R73" s="12">
        <f>IF(P$12=0,0,P73/P$12)</f>
        <v>0.18152644620944877</v>
      </c>
      <c r="S73" s="4"/>
      <c r="T73" s="4">
        <v>71108</v>
      </c>
      <c r="U73" s="4"/>
      <c r="V73" s="12">
        <f>IF(T$12=0,0,T73/T$12)</f>
        <v>0.17354377521409867</v>
      </c>
      <c r="W73" s="4"/>
      <c r="X73" s="4">
        <f>+P73-T73</f>
        <v>-4005.6600000000035</v>
      </c>
      <c r="Y73" s="4"/>
      <c r="Z73" s="12">
        <f>IF(T73=0,0,X73/T73)</f>
        <v>-5.6332058277549689E-2</v>
      </c>
    </row>
    <row r="74" spans="1:26" x14ac:dyDescent="0.3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" thickBot="1" x14ac:dyDescent="0.4">
      <c r="A75" s="10"/>
      <c r="B75" s="26" t="s">
        <v>4</v>
      </c>
      <c r="C75" s="26"/>
      <c r="D75" s="33">
        <f>+D71-D73</f>
        <v>5873.9900000000052</v>
      </c>
      <c r="E75" s="13"/>
      <c r="F75" s="31">
        <f>IF(D$12=0,0,D75/D$12)</f>
        <v>0.17284575094161975</v>
      </c>
      <c r="G75" s="13"/>
      <c r="H75" s="33">
        <f>+H71-H73</f>
        <v>5195.5095014807739</v>
      </c>
      <c r="I75" s="13"/>
      <c r="J75" s="31">
        <f>IF(H$12=0,0,H75/H$12)</f>
        <v>0.14873635170710184</v>
      </c>
      <c r="K75" s="16"/>
      <c r="L75" s="33">
        <f>D75-H75</f>
        <v>678.48049851923133</v>
      </c>
      <c r="M75" s="16"/>
      <c r="N75" s="31">
        <f>IF(H75=0,0,L75/H75)</f>
        <v>0.130589790727138</v>
      </c>
      <c r="O75" s="25"/>
      <c r="P75" s="33">
        <f>+P71-P73</f>
        <v>-4995.4299999999785</v>
      </c>
      <c r="Q75" s="13"/>
      <c r="R75" s="31">
        <f>IF(P$12=0,0,P75/P$12)</f>
        <v>-1.3513726275239625E-2</v>
      </c>
      <c r="S75" s="13"/>
      <c r="T75" s="33">
        <f>+T71-T73</f>
        <v>-8860.9588032691972</v>
      </c>
      <c r="U75" s="13"/>
      <c r="V75" s="31">
        <f>IF(T$12=0,0,T75/T$12)</f>
        <v>-2.1625755790289958E-2</v>
      </c>
      <c r="W75" s="16"/>
      <c r="X75" s="33">
        <f>P75-T75</f>
        <v>3865.5288032692188</v>
      </c>
      <c r="Y75" s="16"/>
      <c r="Z75" s="31">
        <f>IF(T75=0,0,X75/T75)</f>
        <v>-0.43624272373809653</v>
      </c>
    </row>
    <row r="76" spans="1:26" ht="15" thickTop="1" x14ac:dyDescent="0.3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3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" thickBot="1" x14ac:dyDescent="0.4">
      <c r="A78" s="10"/>
      <c r="B78" s="26" t="s">
        <v>5</v>
      </c>
      <c r="C78" s="26"/>
      <c r="D78" s="34">
        <f>SUM(D75:D77)</f>
        <v>5873.9900000000052</v>
      </c>
      <c r="E78" s="13"/>
      <c r="F78" s="32">
        <f>IF(D$12=0,0,D78/D$12)</f>
        <v>0.17284575094161975</v>
      </c>
      <c r="G78" s="13"/>
      <c r="H78" s="34">
        <f>SUM(H75:H77)</f>
        <v>5195.5095014807739</v>
      </c>
      <c r="I78" s="13"/>
      <c r="J78" s="32">
        <f>IF(H$12=0,0,H78/H$12)</f>
        <v>0.14873635170710184</v>
      </c>
      <c r="K78" s="16"/>
      <c r="L78" s="34">
        <f>+D78-H78</f>
        <v>678.48049851923133</v>
      </c>
      <c r="M78" s="16"/>
      <c r="N78" s="32">
        <f>IF(H78=0,0,L78/H78)</f>
        <v>0.130589790727138</v>
      </c>
      <c r="O78" s="25"/>
      <c r="P78" s="34">
        <f>SUM(P75:P77)</f>
        <v>-4995.4299999999785</v>
      </c>
      <c r="Q78" s="13"/>
      <c r="R78" s="32">
        <f>IF(P$12=0,0,P78/P$12)</f>
        <v>-1.3513726275239625E-2</v>
      </c>
      <c r="S78" s="13"/>
      <c r="T78" s="34">
        <f>SUM(T75:T77)</f>
        <v>-8860.9588032691972</v>
      </c>
      <c r="U78" s="13"/>
      <c r="V78" s="32">
        <f>IF(T$12=0,0,T78/T$12)</f>
        <v>-2.1625755790289958E-2</v>
      </c>
      <c r="W78" s="16"/>
      <c r="X78" s="34">
        <f>+P78-T78</f>
        <v>3865.5288032692188</v>
      </c>
      <c r="Y78" s="16"/>
      <c r="Z78" s="32">
        <f>IF(T78=0,0,X78/T78)</f>
        <v>-0.43624272373809653</v>
      </c>
    </row>
    <row r="79" spans="1:26" ht="15" thickTop="1" x14ac:dyDescent="0.3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35">
      <c r="A80" s="9"/>
      <c r="B80" s="60">
        <v>44238.490224340276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35">
      <c r="A81" s="9"/>
      <c r="B81" s="59" t="s">
        <v>314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35">
      <c r="A82" s="9"/>
      <c r="B82" s="58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3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",RIGHT(202107,2),", ",2021)</f>
        <v>Period 07, 2021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4">
        <v>44226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","501", " - ", "ID Card Services")</f>
        <v>Department 501 - ID Card Services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SUM(OSRRefD13x_0)</f>
        <v>33984</v>
      </c>
      <c r="E12" s="4"/>
      <c r="F12" s="12"/>
      <c r="G12" s="4"/>
      <c r="H12" s="4">
        <f>SUM(OSRRefH13x_0)</f>
        <v>34931</v>
      </c>
      <c r="I12" s="4"/>
      <c r="J12" s="12"/>
      <c r="K12" s="4"/>
      <c r="L12" s="4">
        <f t="shared" ref="L12:L13" si="0">+D12-H12</f>
        <v>-947</v>
      </c>
      <c r="M12" s="4"/>
      <c r="N12" s="12">
        <f t="shared" ref="N12:N13" si="1">IF(H12=0,0,L12/H12)</f>
        <v>-2.7110589447768459E-2</v>
      </c>
      <c r="O12" s="10"/>
      <c r="P12" s="4">
        <f>SUM(OSRRefP13x_0)</f>
        <v>369656</v>
      </c>
      <c r="Q12" s="4"/>
      <c r="R12" s="12"/>
      <c r="S12" s="4"/>
      <c r="T12" s="4">
        <f>SUM(OSRRefT13x_0)</f>
        <v>409741</v>
      </c>
      <c r="U12" s="4"/>
      <c r="V12" s="12"/>
      <c r="W12" s="4"/>
      <c r="X12" s="4">
        <f t="shared" ref="X12:X13" si="2">+P12-T12</f>
        <v>-40085</v>
      </c>
      <c r="Y12" s="4"/>
      <c r="Z12" s="12">
        <f t="shared" ref="Z12:Z13" si="3">IF(T12=0,0,X12/T12)</f>
        <v>-9.7830092668295343E-2</v>
      </c>
    </row>
    <row r="13" spans="1:26" s="24" customFormat="1" hidden="1" outlineLevel="1" x14ac:dyDescent="0.3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--33984</f>
        <v>33984</v>
      </c>
      <c r="E13" s="2"/>
      <c r="F13" s="22"/>
      <c r="G13" s="2"/>
      <c r="H13" s="2">
        <v>34931</v>
      </c>
      <c r="I13" s="2"/>
      <c r="J13" s="22"/>
      <c r="K13" s="2"/>
      <c r="L13" s="2">
        <f t="shared" si="0"/>
        <v>-947</v>
      </c>
      <c r="M13" s="2"/>
      <c r="N13" s="22">
        <f t="shared" si="1"/>
        <v>-2.7110589447768459E-2</v>
      </c>
      <c r="O13" s="11"/>
      <c r="P13" s="2">
        <f>--369656</f>
        <v>369656</v>
      </c>
      <c r="Q13" s="2"/>
      <c r="R13" s="22"/>
      <c r="S13" s="2"/>
      <c r="T13" s="2">
        <v>409741</v>
      </c>
      <c r="U13" s="2"/>
      <c r="V13" s="22"/>
      <c r="W13" s="2"/>
      <c r="X13" s="2">
        <f t="shared" si="2"/>
        <v>-40085</v>
      </c>
      <c r="Y13" s="2"/>
      <c r="Z13" s="22">
        <f t="shared" si="3"/>
        <v>-9.7830092668295343E-2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5">
      <c r="A17" s="10"/>
      <c r="B17" s="26" t="s">
        <v>6</v>
      </c>
      <c r="C17" s="26"/>
      <c r="D17" s="19">
        <f>D12-D15</f>
        <v>33984</v>
      </c>
      <c r="E17" s="13"/>
      <c r="F17" s="21">
        <f>IF(D$12=0,0,D17/D$12)</f>
        <v>1</v>
      </c>
      <c r="G17" s="13"/>
      <c r="H17" s="19">
        <f>H12-H15</f>
        <v>34931</v>
      </c>
      <c r="I17" s="13"/>
      <c r="J17" s="21">
        <f>IF(H$12=0,0,H17/H$12)</f>
        <v>1</v>
      </c>
      <c r="K17" s="16"/>
      <c r="L17" s="19">
        <f>+D17-H17</f>
        <v>-947</v>
      </c>
      <c r="M17" s="16"/>
      <c r="N17" s="21">
        <f>IF(H17=0,0,L17/H17)</f>
        <v>-2.7110589447768459E-2</v>
      </c>
      <c r="O17" s="25"/>
      <c r="P17" s="19">
        <f>P12-P15</f>
        <v>369656</v>
      </c>
      <c r="Q17" s="13"/>
      <c r="R17" s="21">
        <f>IF(P$12=0,0,P17/P$12)</f>
        <v>1</v>
      </c>
      <c r="S17" s="13"/>
      <c r="T17" s="19">
        <f>T12-T15</f>
        <v>409741</v>
      </c>
      <c r="U17" s="13"/>
      <c r="V17" s="21">
        <f>IF(T$12=0,0,T17/T$12)</f>
        <v>1</v>
      </c>
      <c r="W17" s="16"/>
      <c r="X17" s="19">
        <f>+P17-T17</f>
        <v>-40085</v>
      </c>
      <c r="Y17" s="16"/>
      <c r="Z17" s="21">
        <f>IF(T17=0,0,X17/T17)</f>
        <v>-9.7830092668295343E-2</v>
      </c>
    </row>
    <row r="18" spans="1:26" x14ac:dyDescent="0.3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5">
      <c r="A19" s="10"/>
      <c r="B19" s="25" t="s">
        <v>9</v>
      </c>
      <c r="C19" s="10"/>
      <c r="D19" s="20">
        <f>SUM(OSRRefD22x_0)</f>
        <v>23351.099999999995</v>
      </c>
      <c r="E19" s="20"/>
      <c r="F19" s="30">
        <f t="shared" ref="F19:F30" si="4">IF(D$12=0,0,D19/D$12)</f>
        <v>0.68712040960451959</v>
      </c>
      <c r="G19" s="20"/>
      <c r="H19" s="20">
        <f>SUM(OSRRefH22x_0)</f>
        <v>33726.490498519226</v>
      </c>
      <c r="I19" s="20"/>
      <c r="J19" s="30">
        <f t="shared" ref="J19:J30" si="5">IF(H$12=0,0,H19/H$12)</f>
        <v>0.96551746295609131</v>
      </c>
      <c r="K19" s="4"/>
      <c r="L19" s="20">
        <f t="shared" ref="L19:L30" si="6">+D19-H19</f>
        <v>-10375.390498519231</v>
      </c>
      <c r="M19" s="4"/>
      <c r="N19" s="30">
        <f t="shared" ref="N19:N30" si="7">IF(H19=0,0,L19/H19)</f>
        <v>-0.30763326824576565</v>
      </c>
      <c r="O19" s="10"/>
      <c r="P19" s="20">
        <f>SUM(OSRRefP22x_0)</f>
        <v>309046.28999999998</v>
      </c>
      <c r="Q19" s="20"/>
      <c r="R19" s="30">
        <f t="shared" ref="R19:R30" si="8">IF(P$12=0,0,P19/P$12)</f>
        <v>0.83603753219209209</v>
      </c>
      <c r="S19" s="20"/>
      <c r="T19" s="20">
        <f>SUM(OSRRefT22x_0)</f>
        <v>366943.9588032692</v>
      </c>
      <c r="U19" s="20"/>
      <c r="V19" s="30">
        <f t="shared" ref="V19:V30" si="9">IF(T$12=0,0,T19/T$12)</f>
        <v>0.89555099148796236</v>
      </c>
      <c r="W19" s="4"/>
      <c r="X19" s="20">
        <f t="shared" ref="X19:X30" si="10">+P19-T19</f>
        <v>-57897.668803269218</v>
      </c>
      <c r="Y19" s="4"/>
      <c r="Z19" s="30">
        <f t="shared" ref="Z19:Z30" si="11">IF(T19=0,0,X19/T19)</f>
        <v>-0.15778340919439984</v>
      </c>
    </row>
    <row r="20" spans="1:26" s="28" customFormat="1" outlineLevel="1" collapsed="1" x14ac:dyDescent="0.3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4647.2599999999993</v>
      </c>
      <c r="E20" s="1"/>
      <c r="F20" s="5">
        <f t="shared" si="4"/>
        <v>0.13674846986817324</v>
      </c>
      <c r="G20" s="1"/>
      <c r="H20" s="1">
        <f>SUM(OSRRefH22_0x_0)</f>
        <v>4072.9885369807685</v>
      </c>
      <c r="I20" s="1"/>
      <c r="J20" s="5">
        <f t="shared" si="5"/>
        <v>0.11660097154335028</v>
      </c>
      <c r="K20" s="1"/>
      <c r="L20" s="1">
        <f t="shared" si="6"/>
        <v>574.27146301923085</v>
      </c>
      <c r="M20" s="1"/>
      <c r="N20" s="5">
        <f t="shared" si="7"/>
        <v>0.1409951090716616</v>
      </c>
      <c r="O20" s="14"/>
      <c r="P20" s="1">
        <f>SUM(OSRRefP22_0x_0)</f>
        <v>29892.89</v>
      </c>
      <c r="Q20" s="1"/>
      <c r="R20" s="5">
        <f t="shared" si="8"/>
        <v>8.0866778843032436E-2</v>
      </c>
      <c r="S20" s="1"/>
      <c r="T20" s="1">
        <f>SUM(OSRRefT22_0x_0)</f>
        <v>29853.523091730771</v>
      </c>
      <c r="U20" s="1"/>
      <c r="V20" s="5">
        <f t="shared" si="9"/>
        <v>7.2859496832708398E-2</v>
      </c>
      <c r="W20" s="1"/>
      <c r="X20" s="1">
        <f t="shared" si="10"/>
        <v>39.366908269228588</v>
      </c>
      <c r="Y20" s="1"/>
      <c r="Z20" s="5">
        <f t="shared" si="11"/>
        <v>1.3186687597395485E-3</v>
      </c>
    </row>
    <row r="21" spans="1:26" s="24" customFormat="1" hidden="1" outlineLevel="2" x14ac:dyDescent="0.35">
      <c r="A21" s="29"/>
      <c r="B21" s="11" t="str">
        <f>CONCATENATE("          ", "6111", " - ", "F.I.C.A.")</f>
        <v xml:space="preserve">          6111 - F.I.C.A.</v>
      </c>
      <c r="C21" s="11"/>
      <c r="D21" s="7">
        <v>829.91</v>
      </c>
      <c r="E21" s="2"/>
      <c r="F21" s="6">
        <f t="shared" si="4"/>
        <v>2.4420609698681733E-2</v>
      </c>
      <c r="G21" s="2"/>
      <c r="H21" s="7">
        <v>907.65624928846103</v>
      </c>
      <c r="I21" s="2"/>
      <c r="J21" s="6">
        <f t="shared" si="5"/>
        <v>2.5984261810095933E-2</v>
      </c>
      <c r="K21" s="2"/>
      <c r="L21" s="7">
        <f t="shared" si="6"/>
        <v>-77.746249288461058</v>
      </c>
      <c r="M21" s="2"/>
      <c r="N21" s="6">
        <f t="shared" si="7"/>
        <v>-8.5656050238632389E-2</v>
      </c>
      <c r="O21" s="11"/>
      <c r="P21" s="7">
        <v>7120.78</v>
      </c>
      <c r="Q21" s="2"/>
      <c r="R21" s="6">
        <f t="shared" si="8"/>
        <v>1.9263260977773929E-2</v>
      </c>
      <c r="S21" s="2"/>
      <c r="T21" s="7">
        <v>7396.4684965384604</v>
      </c>
      <c r="U21" s="2"/>
      <c r="V21" s="6">
        <f t="shared" si="9"/>
        <v>1.8051570373817754E-2</v>
      </c>
      <c r="W21" s="2"/>
      <c r="X21" s="7">
        <f t="shared" si="10"/>
        <v>-275.68849653846064</v>
      </c>
      <c r="Y21" s="2"/>
      <c r="Z21" s="6">
        <f t="shared" si="11"/>
        <v>-3.7272990031321375E-2</v>
      </c>
    </row>
    <row r="22" spans="1:26" s="24" customFormat="1" hidden="1" outlineLevel="2" x14ac:dyDescent="0.35">
      <c r="A22" s="29"/>
      <c r="B22" s="11" t="str">
        <f>CONCATENATE("          ", "6112", " - ", "COMPENSATION INSURANCE")</f>
        <v xml:space="preserve">          6112 - COMPENSATION INSURANCE</v>
      </c>
      <c r="C22" s="11"/>
      <c r="D22" s="7">
        <v>-13.7</v>
      </c>
      <c r="E22" s="2"/>
      <c r="F22" s="6">
        <f t="shared" si="4"/>
        <v>-4.031308851224105E-4</v>
      </c>
      <c r="G22" s="2"/>
      <c r="H22" s="7">
        <v>335.73358846153798</v>
      </c>
      <c r="I22" s="2"/>
      <c r="J22" s="6">
        <f t="shared" si="5"/>
        <v>9.611336304759039E-3</v>
      </c>
      <c r="K22" s="2"/>
      <c r="L22" s="7">
        <f t="shared" si="6"/>
        <v>-349.43358846153797</v>
      </c>
      <c r="M22" s="2"/>
      <c r="N22" s="6">
        <f t="shared" si="7"/>
        <v>-1.0408061643840245</v>
      </c>
      <c r="O22" s="11"/>
      <c r="P22" s="7">
        <v>653.82000000000005</v>
      </c>
      <c r="Q22" s="2"/>
      <c r="R22" s="6">
        <f t="shared" si="8"/>
        <v>1.7687255177786917E-3</v>
      </c>
      <c r="S22" s="2"/>
      <c r="T22" s="7">
        <v>2478.7333509615401</v>
      </c>
      <c r="U22" s="2"/>
      <c r="V22" s="6">
        <f t="shared" si="9"/>
        <v>6.0495126212937933E-3</v>
      </c>
      <c r="W22" s="2"/>
      <c r="X22" s="7">
        <f t="shared" si="10"/>
        <v>-1824.9133509615399</v>
      </c>
      <c r="Y22" s="2"/>
      <c r="Z22" s="6">
        <f t="shared" si="11"/>
        <v>-0.73622818293610603</v>
      </c>
    </row>
    <row r="23" spans="1:26" s="24" customFormat="1" hidden="1" outlineLevel="2" x14ac:dyDescent="0.35">
      <c r="A23" s="29"/>
      <c r="B23" s="11" t="str">
        <f>CONCATENATE("          ", "6113", " - ", "GROUP INSURANCE")</f>
        <v xml:space="preserve">          6113 - GROUP INSURANCE</v>
      </c>
      <c r="C23" s="11"/>
      <c r="D23" s="7">
        <v>1207.95</v>
      </c>
      <c r="E23" s="2"/>
      <c r="F23" s="6">
        <f t="shared" si="4"/>
        <v>3.5544668079096044E-2</v>
      </c>
      <c r="G23" s="2"/>
      <c r="H23" s="7">
        <v>1025</v>
      </c>
      <c r="I23" s="2"/>
      <c r="J23" s="6">
        <f t="shared" si="5"/>
        <v>2.9343563024247801E-2</v>
      </c>
      <c r="K23" s="2"/>
      <c r="L23" s="7">
        <f t="shared" si="6"/>
        <v>182.95000000000005</v>
      </c>
      <c r="M23" s="2"/>
      <c r="N23" s="6">
        <f t="shared" si="7"/>
        <v>0.17848780487804883</v>
      </c>
      <c r="O23" s="11"/>
      <c r="P23" s="7">
        <v>8610.9500000000007</v>
      </c>
      <c r="Q23" s="2"/>
      <c r="R23" s="6">
        <f t="shared" si="8"/>
        <v>2.3294495422771445E-2</v>
      </c>
      <c r="S23" s="2"/>
      <c r="T23" s="7">
        <v>7507.5</v>
      </c>
      <c r="U23" s="2"/>
      <c r="V23" s="6">
        <f t="shared" si="9"/>
        <v>1.8322550098720899E-2</v>
      </c>
      <c r="W23" s="2"/>
      <c r="X23" s="7">
        <f t="shared" si="10"/>
        <v>1103.4500000000007</v>
      </c>
      <c r="Y23" s="2"/>
      <c r="Z23" s="6">
        <f t="shared" si="11"/>
        <v>0.14697968697968708</v>
      </c>
    </row>
    <row r="24" spans="1:26" s="24" customFormat="1" hidden="1" outlineLevel="2" x14ac:dyDescent="0.3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7">
        <v>69.959999999999994</v>
      </c>
      <c r="E24" s="2"/>
      <c r="F24" s="6">
        <f t="shared" si="4"/>
        <v>2.0586158192090393E-3</v>
      </c>
      <c r="G24" s="2"/>
      <c r="H24" s="7">
        <v>47.184179999999998</v>
      </c>
      <c r="I24" s="2"/>
      <c r="J24" s="6">
        <f t="shared" si="5"/>
        <v>1.3507823995877587E-3</v>
      </c>
      <c r="K24" s="2"/>
      <c r="L24" s="7">
        <f t="shared" si="6"/>
        <v>22.775819999999996</v>
      </c>
      <c r="M24" s="2"/>
      <c r="N24" s="6">
        <f t="shared" si="7"/>
        <v>0.48270034575147852</v>
      </c>
      <c r="O24" s="11"/>
      <c r="P24" s="7">
        <v>284.56</v>
      </c>
      <c r="Q24" s="2"/>
      <c r="R24" s="6">
        <f t="shared" si="8"/>
        <v>7.6979678403705067E-4</v>
      </c>
      <c r="S24" s="2"/>
      <c r="T24" s="7">
        <v>348.36252500000001</v>
      </c>
      <c r="U24" s="2"/>
      <c r="V24" s="6">
        <f t="shared" si="9"/>
        <v>8.5020177380345141E-4</v>
      </c>
      <c r="W24" s="2"/>
      <c r="X24" s="7">
        <f t="shared" si="10"/>
        <v>-63.802525000000003</v>
      </c>
      <c r="Y24" s="2"/>
      <c r="Z24" s="6">
        <f t="shared" si="11"/>
        <v>-0.18314979488680649</v>
      </c>
    </row>
    <row r="25" spans="1:26" s="24" customFormat="1" hidden="1" outlineLevel="2" x14ac:dyDescent="0.35">
      <c r="A25" s="29"/>
      <c r="B25" s="11" t="str">
        <f>CONCATENATE("          ", "6115", " - ", "P.E.R.S.")</f>
        <v xml:space="preserve">          6115 - P.E.R.S.</v>
      </c>
      <c r="C25" s="11"/>
      <c r="D25" s="7">
        <v>960.53</v>
      </c>
      <c r="E25" s="2"/>
      <c r="F25" s="6">
        <f t="shared" si="4"/>
        <v>2.8264183145009416E-2</v>
      </c>
      <c r="G25" s="2"/>
      <c r="H25" s="7">
        <v>700.15494230769207</v>
      </c>
      <c r="I25" s="2"/>
      <c r="J25" s="6">
        <f t="shared" si="5"/>
        <v>2.0043942123262777E-2</v>
      </c>
      <c r="K25" s="2"/>
      <c r="L25" s="7">
        <f t="shared" si="6"/>
        <v>260.37505769230791</v>
      </c>
      <c r="M25" s="2"/>
      <c r="N25" s="6">
        <f t="shared" si="7"/>
        <v>0.37188205346964864</v>
      </c>
      <c r="O25" s="11"/>
      <c r="P25" s="7">
        <v>5780.23</v>
      </c>
      <c r="Q25" s="2"/>
      <c r="R25" s="6">
        <f t="shared" si="8"/>
        <v>1.5636781223624125E-2</v>
      </c>
      <c r="S25" s="2"/>
      <c r="T25" s="7">
        <v>4586.3078923076919</v>
      </c>
      <c r="U25" s="2"/>
      <c r="V25" s="6">
        <f t="shared" si="9"/>
        <v>1.1193187629033199E-2</v>
      </c>
      <c r="W25" s="2"/>
      <c r="X25" s="7">
        <f t="shared" si="10"/>
        <v>1193.9221076923077</v>
      </c>
      <c r="Y25" s="2"/>
      <c r="Z25" s="6">
        <f t="shared" si="11"/>
        <v>0.26032314788433492</v>
      </c>
    </row>
    <row r="26" spans="1:26" s="24" customFormat="1" hidden="1" outlineLevel="2" x14ac:dyDescent="0.35">
      <c r="A26" s="29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35">
      <c r="A27" s="29"/>
      <c r="B27" s="11" t="str">
        <f>CONCATENATE("          ", "6117", " - ", "RETIREMENT STAFF HOURLY")</f>
        <v xml:space="preserve">          6117 - RETIREMENT STAFF HOURLY</v>
      </c>
      <c r="C27" s="11"/>
      <c r="D27" s="7">
        <v>85.33</v>
      </c>
      <c r="E27" s="2"/>
      <c r="F27" s="6">
        <f t="shared" si="4"/>
        <v>2.5108874764595101E-3</v>
      </c>
      <c r="G27" s="2"/>
      <c r="H27" s="7"/>
      <c r="I27" s="2"/>
      <c r="J27" s="6">
        <f t="shared" si="5"/>
        <v>0</v>
      </c>
      <c r="K27" s="2"/>
      <c r="L27" s="7">
        <f t="shared" si="6"/>
        <v>85.33</v>
      </c>
      <c r="M27" s="2"/>
      <c r="N27" s="6">
        <f t="shared" si="7"/>
        <v>0</v>
      </c>
      <c r="O27" s="11"/>
      <c r="P27" s="7">
        <v>609.94000000000005</v>
      </c>
      <c r="Q27" s="2"/>
      <c r="R27" s="6">
        <f t="shared" si="8"/>
        <v>1.6500205596554636E-3</v>
      </c>
      <c r="S27" s="2"/>
      <c r="T27" s="7"/>
      <c r="U27" s="2"/>
      <c r="V27" s="6">
        <f t="shared" si="9"/>
        <v>0</v>
      </c>
      <c r="W27" s="2"/>
      <c r="X27" s="7">
        <f t="shared" si="10"/>
        <v>609.94000000000005</v>
      </c>
      <c r="Y27" s="2"/>
      <c r="Z27" s="6">
        <f t="shared" si="11"/>
        <v>0</v>
      </c>
    </row>
    <row r="28" spans="1:26" s="24" customFormat="1" hidden="1" outlineLevel="2" x14ac:dyDescent="0.35">
      <c r="A28" s="29"/>
      <c r="B28" s="11" t="str">
        <f>CONCATENATE("          ", "6118", " - ", "VACATION")</f>
        <v xml:space="preserve">          6118 - VACATION</v>
      </c>
      <c r="C28" s="11"/>
      <c r="D28" s="7">
        <v>520.02</v>
      </c>
      <c r="E28" s="2"/>
      <c r="F28" s="6">
        <f t="shared" si="4"/>
        <v>1.5301906779661017E-2</v>
      </c>
      <c r="G28" s="2"/>
      <c r="H28" s="7">
        <v>244.24009615384603</v>
      </c>
      <c r="I28" s="2"/>
      <c r="J28" s="6">
        <f t="shared" si="5"/>
        <v>6.9920728336963162E-3</v>
      </c>
      <c r="K28" s="2"/>
      <c r="L28" s="7">
        <f t="shared" si="6"/>
        <v>275.77990384615396</v>
      </c>
      <c r="M28" s="2"/>
      <c r="N28" s="6">
        <f t="shared" si="7"/>
        <v>1.1291344385667172</v>
      </c>
      <c r="O28" s="11"/>
      <c r="P28" s="7">
        <v>3900.15</v>
      </c>
      <c r="Q28" s="2"/>
      <c r="R28" s="6">
        <f t="shared" si="8"/>
        <v>1.05507552968165E-2</v>
      </c>
      <c r="S28" s="2"/>
      <c r="T28" s="7">
        <v>1599.874846153846</v>
      </c>
      <c r="U28" s="2"/>
      <c r="V28" s="6">
        <f t="shared" si="9"/>
        <v>3.9046003357092554E-3</v>
      </c>
      <c r="W28" s="2"/>
      <c r="X28" s="7">
        <f t="shared" si="10"/>
        <v>2300.2751538461544</v>
      </c>
      <c r="Y28" s="2"/>
      <c r="Z28" s="6">
        <f t="shared" si="11"/>
        <v>1.4377844363114369</v>
      </c>
    </row>
    <row r="29" spans="1:26" s="24" customFormat="1" hidden="1" outlineLevel="2" x14ac:dyDescent="0.35">
      <c r="A29" s="29"/>
      <c r="B29" s="11" t="str">
        <f>CONCATENATE("          ", "6119", " - ", "SICK LEAVE")</f>
        <v xml:space="preserve">          6119 - SICK LEAVE</v>
      </c>
      <c r="C29" s="11"/>
      <c r="D29" s="7">
        <v>299.26</v>
      </c>
      <c r="E29" s="2"/>
      <c r="F29" s="6">
        <f t="shared" si="4"/>
        <v>8.8059086629001873E-3</v>
      </c>
      <c r="G29" s="2"/>
      <c r="H29" s="7">
        <v>463.01948076923094</v>
      </c>
      <c r="I29" s="2"/>
      <c r="J29" s="6">
        <f t="shared" si="5"/>
        <v>1.3255259819908704E-2</v>
      </c>
      <c r="K29" s="2"/>
      <c r="L29" s="7">
        <f t="shared" si="6"/>
        <v>-163.75948076923095</v>
      </c>
      <c r="M29" s="2"/>
      <c r="N29" s="6">
        <f t="shared" si="7"/>
        <v>-0.35367730208061965</v>
      </c>
      <c r="O29" s="11"/>
      <c r="P29" s="7">
        <v>2244.46</v>
      </c>
      <c r="Q29" s="2"/>
      <c r="R29" s="6">
        <f t="shared" si="8"/>
        <v>6.0717531975674685E-3</v>
      </c>
      <c r="S29" s="2"/>
      <c r="T29" s="7">
        <v>3486.2759807692328</v>
      </c>
      <c r="U29" s="2"/>
      <c r="V29" s="6">
        <f t="shared" si="9"/>
        <v>8.5084870217264873E-3</v>
      </c>
      <c r="W29" s="2"/>
      <c r="X29" s="7">
        <f t="shared" si="10"/>
        <v>-1241.8159807692327</v>
      </c>
      <c r="Y29" s="2"/>
      <c r="Z29" s="6">
        <f t="shared" si="11"/>
        <v>-0.35620128401172391</v>
      </c>
    </row>
    <row r="30" spans="1:26" s="24" customFormat="1" hidden="1" outlineLevel="2" x14ac:dyDescent="0.35">
      <c r="A30" s="29"/>
      <c r="B30" s="11" t="str">
        <f>CONCATENATE("          ", "6156", " - ", "EMPLOYEE MEALS")</f>
        <v xml:space="preserve">          6156 - EMPLOYEE MEALS</v>
      </c>
      <c r="C30" s="11"/>
      <c r="D30" s="7">
        <v>688</v>
      </c>
      <c r="E30" s="2"/>
      <c r="F30" s="6">
        <f t="shared" si="4"/>
        <v>2.0244821092278719E-2</v>
      </c>
      <c r="G30" s="2"/>
      <c r="H30" s="7">
        <v>350</v>
      </c>
      <c r="I30" s="2"/>
      <c r="J30" s="6">
        <f t="shared" si="5"/>
        <v>1.0019753227791932E-2</v>
      </c>
      <c r="K30" s="2"/>
      <c r="L30" s="7">
        <f t="shared" si="6"/>
        <v>338</v>
      </c>
      <c r="M30" s="2"/>
      <c r="N30" s="6">
        <f t="shared" si="7"/>
        <v>0.96571428571428575</v>
      </c>
      <c r="O30" s="11"/>
      <c r="P30" s="7">
        <v>688</v>
      </c>
      <c r="Q30" s="2"/>
      <c r="R30" s="6">
        <f t="shared" si="8"/>
        <v>1.8611898630077695E-3</v>
      </c>
      <c r="S30" s="2"/>
      <c r="T30" s="7">
        <v>2450</v>
      </c>
      <c r="U30" s="2"/>
      <c r="V30" s="6">
        <f t="shared" si="9"/>
        <v>5.9793869786035573E-3</v>
      </c>
      <c r="W30" s="2"/>
      <c r="X30" s="7">
        <f t="shared" si="10"/>
        <v>-1762</v>
      </c>
      <c r="Y30" s="2"/>
      <c r="Z30" s="6">
        <f t="shared" si="11"/>
        <v>-0.71918367346938772</v>
      </c>
    </row>
    <row r="31" spans="1:26" s="28" customFormat="1" outlineLevel="1" collapsed="1" x14ac:dyDescent="0.3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16962.05</v>
      </c>
      <c r="E31" s="1"/>
      <c r="F31" s="5">
        <f t="shared" ref="F31:F41" si="12">IF(D$12=0,0,D31/D$12)</f>
        <v>0.49911870291902072</v>
      </c>
      <c r="G31" s="1"/>
      <c r="H31" s="1">
        <f>SUM(OSRRefH22_1x_0)</f>
        <v>17440.501961538459</v>
      </c>
      <c r="I31" s="1"/>
      <c r="J31" s="5">
        <f t="shared" ref="J31:J41" si="13">IF(H$12=0,0,H31/H$12)</f>
        <v>0.4992843594955329</v>
      </c>
      <c r="K31" s="1"/>
      <c r="L31" s="1">
        <f t="shared" ref="L31:L41" si="14">+D31-H31</f>
        <v>-478.45196153845973</v>
      </c>
      <c r="M31" s="1"/>
      <c r="N31" s="5">
        <f t="shared" ref="N31:N41" si="15">IF(H31=0,0,L31/H31)</f>
        <v>-2.7433382513507347E-2</v>
      </c>
      <c r="O31" s="14"/>
      <c r="P31" s="1">
        <f>SUM(OSRRefP22_1x_0)</f>
        <v>102177.42</v>
      </c>
      <c r="Q31" s="1"/>
      <c r="R31" s="5">
        <f t="shared" ref="R31:R41" si="16">IF(P$12=0,0,P31/P$12)</f>
        <v>0.27641217780855715</v>
      </c>
      <c r="S31" s="1"/>
      <c r="T31" s="1">
        <f>SUM(OSRRefT22_1x_0)</f>
        <v>128899.43571153848</v>
      </c>
      <c r="U31" s="1"/>
      <c r="V31" s="5">
        <f t="shared" ref="V31:V41" si="17">IF(T$12=0,0,T31/T$12)</f>
        <v>0.31458759487466104</v>
      </c>
      <c r="W31" s="1"/>
      <c r="X31" s="1">
        <f t="shared" ref="X31:X41" si="18">+P31-T31</f>
        <v>-26722.015711538479</v>
      </c>
      <c r="Y31" s="1"/>
      <c r="Z31" s="5">
        <f t="shared" ref="Z31:Z41" si="19">IF(T31=0,0,X31/T31)</f>
        <v>-0.20730902012122965</v>
      </c>
    </row>
    <row r="32" spans="1:26" s="24" customFormat="1" hidden="1" outlineLevel="2" x14ac:dyDescent="0.35">
      <c r="A32" s="29"/>
      <c r="B32" s="11" t="str">
        <f>CONCATENATE("          ", "6001", " - ", "ADMINISTRATIVE SALARIES")</f>
        <v xml:space="preserve">          6001 - ADMINISTRATIVE SALARIES</v>
      </c>
      <c r="C32" s="11"/>
      <c r="D32" s="7">
        <v>5257.72</v>
      </c>
      <c r="E32" s="2"/>
      <c r="F32" s="6">
        <f t="shared" si="12"/>
        <v>0.15471162900188323</v>
      </c>
      <c r="G32" s="2"/>
      <c r="H32" s="7">
        <v>5024.0384615384601</v>
      </c>
      <c r="I32" s="2"/>
      <c r="J32" s="6">
        <f t="shared" si="13"/>
        <v>0.14382750169014513</v>
      </c>
      <c r="K32" s="2"/>
      <c r="L32" s="7">
        <f t="shared" si="14"/>
        <v>233.68153846154019</v>
      </c>
      <c r="M32" s="2"/>
      <c r="N32" s="6">
        <f t="shared" si="15"/>
        <v>4.651268899521567E-2</v>
      </c>
      <c r="O32" s="11"/>
      <c r="P32" s="7">
        <v>30912.609999999997</v>
      </c>
      <c r="Q32" s="2"/>
      <c r="R32" s="6">
        <f t="shared" si="16"/>
        <v>8.3625343562663657E-2</v>
      </c>
      <c r="S32" s="2"/>
      <c r="T32" s="7">
        <v>31149.038461538461</v>
      </c>
      <c r="U32" s="2"/>
      <c r="V32" s="6">
        <f t="shared" si="17"/>
        <v>7.602128774405896E-2</v>
      </c>
      <c r="W32" s="2"/>
      <c r="X32" s="7">
        <f t="shared" si="18"/>
        <v>-236.42846153846403</v>
      </c>
      <c r="Y32" s="2"/>
      <c r="Z32" s="6">
        <f t="shared" si="19"/>
        <v>-7.5902330606575892E-3</v>
      </c>
    </row>
    <row r="33" spans="1:26" s="24" customFormat="1" hidden="1" outlineLevel="2" x14ac:dyDescent="0.35">
      <c r="A33" s="29"/>
      <c r="B33" s="11" t="str">
        <f>CONCATENATE("          ", "6002", " - ", "STAFF SALARIES")</f>
        <v xml:space="preserve">          6002 - STAFF SALARIES</v>
      </c>
      <c r="C33" s="11"/>
      <c r="D33" s="7">
        <v>2853.3</v>
      </c>
      <c r="E33" s="2"/>
      <c r="F33" s="6">
        <f t="shared" si="12"/>
        <v>8.3960098870056496E-2</v>
      </c>
      <c r="G33" s="2"/>
      <c r="H33" s="7">
        <v>2710.2312499999998</v>
      </c>
      <c r="I33" s="2"/>
      <c r="J33" s="6">
        <f t="shared" si="13"/>
        <v>7.7588138043571606E-2</v>
      </c>
      <c r="K33" s="2"/>
      <c r="L33" s="7">
        <f t="shared" si="14"/>
        <v>143.06875000000036</v>
      </c>
      <c r="M33" s="2"/>
      <c r="N33" s="6">
        <f t="shared" si="15"/>
        <v>5.2788392134435161E-2</v>
      </c>
      <c r="O33" s="11"/>
      <c r="P33" s="7">
        <v>16547.09</v>
      </c>
      <c r="Q33" s="2"/>
      <c r="R33" s="6">
        <f t="shared" si="16"/>
        <v>4.476348280563551E-2</v>
      </c>
      <c r="S33" s="2"/>
      <c r="T33" s="7">
        <v>19513.665000000001</v>
      </c>
      <c r="U33" s="2"/>
      <c r="V33" s="6">
        <f t="shared" si="17"/>
        <v>4.7624389553400807E-2</v>
      </c>
      <c r="W33" s="2"/>
      <c r="X33" s="7">
        <f t="shared" si="18"/>
        <v>-2966.5750000000007</v>
      </c>
      <c r="Y33" s="2"/>
      <c r="Z33" s="6">
        <f t="shared" si="19"/>
        <v>-0.15202551647781187</v>
      </c>
    </row>
    <row r="34" spans="1:26" s="24" customFormat="1" hidden="1" outlineLevel="2" x14ac:dyDescent="0.35">
      <c r="A34" s="29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35">
      <c r="A35" s="29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12"/>
        <v>0</v>
      </c>
      <c r="G35" s="2"/>
      <c r="H35" s="7">
        <v>3607.2359999999999</v>
      </c>
      <c r="I35" s="2"/>
      <c r="J35" s="6">
        <f t="shared" si="13"/>
        <v>0.10326747015544931</v>
      </c>
      <c r="K35" s="2"/>
      <c r="L35" s="7">
        <f t="shared" si="14"/>
        <v>-3607.2359999999999</v>
      </c>
      <c r="M35" s="2"/>
      <c r="N35" s="6">
        <f t="shared" si="15"/>
        <v>-1</v>
      </c>
      <c r="O35" s="11"/>
      <c r="P35" s="7"/>
      <c r="Q35" s="2"/>
      <c r="R35" s="6">
        <f t="shared" si="16"/>
        <v>0</v>
      </c>
      <c r="S35" s="2"/>
      <c r="T35" s="7">
        <v>21067.236000000001</v>
      </c>
      <c r="U35" s="2"/>
      <c r="V35" s="6">
        <f t="shared" si="17"/>
        <v>5.1415982291252278E-2</v>
      </c>
      <c r="W35" s="2"/>
      <c r="X35" s="7">
        <f t="shared" si="18"/>
        <v>-21067.236000000001</v>
      </c>
      <c r="Y35" s="2"/>
      <c r="Z35" s="6">
        <f t="shared" si="19"/>
        <v>-1</v>
      </c>
    </row>
    <row r="36" spans="1:26" s="24" customFormat="1" hidden="1" outlineLevel="2" x14ac:dyDescent="0.35">
      <c r="A36" s="29"/>
      <c r="B36" s="11" t="str">
        <f>CONCATENATE("          ", "6005", " - ", "TEMPORARY WAGES-HOURLY")</f>
        <v xml:space="preserve">          6005 - TEMPORARY WAGES-HOURLY</v>
      </c>
      <c r="C36" s="11"/>
      <c r="D36" s="7">
        <v>5996.43</v>
      </c>
      <c r="E36" s="2"/>
      <c r="F36" s="6">
        <f t="shared" si="12"/>
        <v>0.17644862288135593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5996.43</v>
      </c>
      <c r="M36" s="2"/>
      <c r="N36" s="6">
        <f t="shared" si="15"/>
        <v>0</v>
      </c>
      <c r="O36" s="11"/>
      <c r="P36" s="7">
        <v>45162.579999999994</v>
      </c>
      <c r="Q36" s="2"/>
      <c r="R36" s="6">
        <f t="shared" si="16"/>
        <v>0.12217461640011253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45162.579999999994</v>
      </c>
      <c r="Y36" s="2"/>
      <c r="Z36" s="6">
        <f t="shared" si="19"/>
        <v>0</v>
      </c>
    </row>
    <row r="37" spans="1:26" s="24" customFormat="1" hidden="1" outlineLevel="2" x14ac:dyDescent="0.35">
      <c r="A37" s="29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/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0</v>
      </c>
      <c r="Y37" s="2"/>
      <c r="Z37" s="6">
        <f t="shared" si="19"/>
        <v>0</v>
      </c>
    </row>
    <row r="38" spans="1:26" s="24" customFormat="1" hidden="1" outlineLevel="2" x14ac:dyDescent="0.35">
      <c r="A38" s="29"/>
      <c r="B38" s="11" t="str">
        <f>CONCATENATE("          ", "6007", " - ", "STUDENT HOURLY")</f>
        <v xml:space="preserve">          6007 - STUDENT HOURLY</v>
      </c>
      <c r="C38" s="11"/>
      <c r="D38" s="7">
        <v>2263.8000000000002</v>
      </c>
      <c r="E38" s="2"/>
      <c r="F38" s="6">
        <f t="shared" si="12"/>
        <v>6.6613700564971762E-2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2263.8000000000002</v>
      </c>
      <c r="M38" s="2"/>
      <c r="N38" s="6">
        <f t="shared" si="15"/>
        <v>0</v>
      </c>
      <c r="O38" s="11"/>
      <c r="P38" s="7">
        <v>6191.78</v>
      </c>
      <c r="Q38" s="2"/>
      <c r="R38" s="6">
        <f t="shared" si="16"/>
        <v>1.6750113619148615E-2</v>
      </c>
      <c r="S38" s="2"/>
      <c r="T38" s="7">
        <v>20952</v>
      </c>
      <c r="U38" s="2"/>
      <c r="V38" s="6">
        <f t="shared" si="17"/>
        <v>5.1134741214572135E-2</v>
      </c>
      <c r="W38" s="2"/>
      <c r="X38" s="7">
        <f t="shared" si="18"/>
        <v>-14760.220000000001</v>
      </c>
      <c r="Y38" s="2"/>
      <c r="Z38" s="6">
        <f t="shared" si="19"/>
        <v>-0.70447785414280262</v>
      </c>
    </row>
    <row r="39" spans="1:26" s="24" customFormat="1" hidden="1" outlineLevel="2" x14ac:dyDescent="0.3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7">
        <v>590.79999999999995</v>
      </c>
      <c r="E39" s="2"/>
      <c r="F39" s="6">
        <f t="shared" si="12"/>
        <v>1.7384651600753295E-2</v>
      </c>
      <c r="G39" s="2"/>
      <c r="H39" s="7">
        <v>6098.9962500000001</v>
      </c>
      <c r="I39" s="2"/>
      <c r="J39" s="6">
        <f t="shared" si="13"/>
        <v>0.17460124960636683</v>
      </c>
      <c r="K39" s="2"/>
      <c r="L39" s="7">
        <f t="shared" si="14"/>
        <v>-5508.19625</v>
      </c>
      <c r="M39" s="2"/>
      <c r="N39" s="6">
        <f t="shared" si="15"/>
        <v>-0.90313160136801196</v>
      </c>
      <c r="O39" s="11"/>
      <c r="P39" s="7">
        <v>3363.36</v>
      </c>
      <c r="Q39" s="2"/>
      <c r="R39" s="6">
        <f t="shared" si="16"/>
        <v>9.0986214209968184E-3</v>
      </c>
      <c r="S39" s="2"/>
      <c r="T39" s="7">
        <v>36217.496250000004</v>
      </c>
      <c r="U39" s="2"/>
      <c r="V39" s="6">
        <f t="shared" si="17"/>
        <v>8.83911940713768E-2</v>
      </c>
      <c r="W39" s="2"/>
      <c r="X39" s="7">
        <f t="shared" si="18"/>
        <v>-32854.136250000003</v>
      </c>
      <c r="Y39" s="2"/>
      <c r="Z39" s="6">
        <f t="shared" si="19"/>
        <v>-0.90713438673994473</v>
      </c>
    </row>
    <row r="40" spans="1:26" s="24" customFormat="1" hidden="1" outlineLevel="2" x14ac:dyDescent="0.35">
      <c r="A40" s="29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35">
      <c r="A41" s="29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8" customFormat="1" outlineLevel="1" collapsed="1" x14ac:dyDescent="0.35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2.8627866365119807E-3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4"/>
      <c r="P42" s="1">
        <f>SUM(OSRRefP22_2x_0)</f>
        <v>0</v>
      </c>
      <c r="Q42" s="1"/>
      <c r="R42" s="5">
        <f t="shared" ref="R42:R50" si="24">IF(P$12=0,0,P42/P$12)</f>
        <v>0</v>
      </c>
      <c r="S42" s="1"/>
      <c r="T42" s="1">
        <f>SUM(OSRRefT22_2x_0)</f>
        <v>700</v>
      </c>
      <c r="U42" s="1"/>
      <c r="V42" s="5">
        <f t="shared" ref="V42:V50" si="25">IF(T$12=0,0,T42/T$12)</f>
        <v>1.7083962796010162E-3</v>
      </c>
      <c r="W42" s="1"/>
      <c r="X42" s="1">
        <f t="shared" ref="X42:X50" si="26">+P42-T42</f>
        <v>-700</v>
      </c>
      <c r="Y42" s="1"/>
      <c r="Z42" s="5">
        <f t="shared" ref="Z42:Z50" si="27">IF(T42=0,0,X42/T42)</f>
        <v>-1</v>
      </c>
    </row>
    <row r="43" spans="1:26" s="24" customFormat="1" hidden="1" outlineLevel="2" x14ac:dyDescent="0.35">
      <c r="A43" s="29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0"/>
        <v>0</v>
      </c>
      <c r="G43" s="2"/>
      <c r="H43" s="7">
        <v>100</v>
      </c>
      <c r="I43" s="2"/>
      <c r="J43" s="6">
        <f t="shared" si="21"/>
        <v>2.8627866365119807E-3</v>
      </c>
      <c r="K43" s="2"/>
      <c r="L43" s="7">
        <f t="shared" si="22"/>
        <v>-100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700</v>
      </c>
      <c r="U43" s="2"/>
      <c r="V43" s="6">
        <f t="shared" si="25"/>
        <v>1.7083962796010162E-3</v>
      </c>
      <c r="W43" s="2"/>
      <c r="X43" s="7">
        <f t="shared" si="26"/>
        <v>-700</v>
      </c>
      <c r="Y43" s="2"/>
      <c r="Z43" s="6">
        <f t="shared" si="27"/>
        <v>-1</v>
      </c>
    </row>
    <row r="44" spans="1:26" s="28" customFormat="1" outlineLevel="1" collapsed="1" x14ac:dyDescent="0.3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51.31</v>
      </c>
      <c r="E44" s="1"/>
      <c r="F44" s="5">
        <f t="shared" si="20"/>
        <v>1.5098281544256122E-3</v>
      </c>
      <c r="G44" s="1"/>
      <c r="H44" s="1">
        <f>SUM(OSRRefH22_3x_0)</f>
        <v>2000</v>
      </c>
      <c r="I44" s="1"/>
      <c r="J44" s="5">
        <f t="shared" si="21"/>
        <v>5.7255732730239615E-2</v>
      </c>
      <c r="K44" s="1"/>
      <c r="L44" s="1">
        <f t="shared" si="22"/>
        <v>-1948.69</v>
      </c>
      <c r="M44" s="1"/>
      <c r="N44" s="5">
        <f t="shared" si="23"/>
        <v>-0.97434500000000002</v>
      </c>
      <c r="O44" s="14"/>
      <c r="P44" s="1">
        <f>SUM(OSRRefP22_3x_0)</f>
        <v>670.89</v>
      </c>
      <c r="Q44" s="1"/>
      <c r="R44" s="5">
        <f t="shared" si="24"/>
        <v>1.8149035860367476E-3</v>
      </c>
      <c r="S44" s="1"/>
      <c r="T44" s="1">
        <f>SUM(OSRRefT22_3x_0)</f>
        <v>11700</v>
      </c>
      <c r="U44" s="1"/>
      <c r="V44" s="5">
        <f t="shared" si="25"/>
        <v>2.8554623530474128E-2</v>
      </c>
      <c r="W44" s="1"/>
      <c r="X44" s="1">
        <f t="shared" si="26"/>
        <v>-11029.11</v>
      </c>
      <c r="Y44" s="1"/>
      <c r="Z44" s="5">
        <f t="shared" si="27"/>
        <v>-0.94265897435897439</v>
      </c>
    </row>
    <row r="45" spans="1:26" s="24" customFormat="1" hidden="1" outlineLevel="2" x14ac:dyDescent="0.35">
      <c r="A45" s="29"/>
      <c r="B45" s="11" t="str">
        <f>CONCATENATE("          ", "6381", " - ", "BANK/CREDIT CARD FEES")</f>
        <v xml:space="preserve">          6381 - BANK/CREDIT CARD FEES</v>
      </c>
      <c r="C45" s="11"/>
      <c r="D45" s="7">
        <v>51.31</v>
      </c>
      <c r="E45" s="2"/>
      <c r="F45" s="6">
        <f t="shared" si="20"/>
        <v>1.5098281544256122E-3</v>
      </c>
      <c r="G45" s="2"/>
      <c r="H45" s="7">
        <v>2000</v>
      </c>
      <c r="I45" s="2"/>
      <c r="J45" s="6">
        <f t="shared" si="21"/>
        <v>5.7255732730239615E-2</v>
      </c>
      <c r="K45" s="2"/>
      <c r="L45" s="7">
        <f t="shared" si="22"/>
        <v>-1948.69</v>
      </c>
      <c r="M45" s="2"/>
      <c r="N45" s="6">
        <f t="shared" si="23"/>
        <v>-0.97434500000000002</v>
      </c>
      <c r="O45" s="11"/>
      <c r="P45" s="7">
        <v>670.89</v>
      </c>
      <c r="Q45" s="2"/>
      <c r="R45" s="6">
        <f t="shared" si="24"/>
        <v>1.8149035860367476E-3</v>
      </c>
      <c r="S45" s="2"/>
      <c r="T45" s="7">
        <v>11700</v>
      </c>
      <c r="U45" s="2"/>
      <c r="V45" s="6">
        <f t="shared" si="25"/>
        <v>2.8554623530474128E-2</v>
      </c>
      <c r="W45" s="2"/>
      <c r="X45" s="7">
        <f t="shared" si="26"/>
        <v>-11029.11</v>
      </c>
      <c r="Y45" s="2"/>
      <c r="Z45" s="6">
        <f t="shared" si="27"/>
        <v>-0.94265897435897439</v>
      </c>
    </row>
    <row r="46" spans="1:26" s="28" customFormat="1" outlineLevel="1" collapsed="1" x14ac:dyDescent="0.35">
      <c r="A46" s="27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5.7255732730239614E-4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140</v>
      </c>
      <c r="U46" s="1"/>
      <c r="V46" s="5">
        <f t="shared" si="25"/>
        <v>3.4167925592020328E-4</v>
      </c>
      <c r="W46" s="1"/>
      <c r="X46" s="1">
        <f t="shared" si="26"/>
        <v>-140</v>
      </c>
      <c r="Y46" s="1"/>
      <c r="Z46" s="5">
        <f t="shared" si="27"/>
        <v>-1</v>
      </c>
    </row>
    <row r="47" spans="1:26" s="24" customFormat="1" hidden="1" outlineLevel="2" x14ac:dyDescent="0.35">
      <c r="A47" s="29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0"/>
        <v>0</v>
      </c>
      <c r="G47" s="2"/>
      <c r="H47" s="7">
        <v>20</v>
      </c>
      <c r="I47" s="2"/>
      <c r="J47" s="6">
        <f t="shared" si="21"/>
        <v>5.7255732730239614E-4</v>
      </c>
      <c r="K47" s="2"/>
      <c r="L47" s="7">
        <f t="shared" si="22"/>
        <v>-20</v>
      </c>
      <c r="M47" s="2"/>
      <c r="N47" s="6">
        <f t="shared" si="23"/>
        <v>-1</v>
      </c>
      <c r="O47" s="11"/>
      <c r="P47" s="7"/>
      <c r="Q47" s="2"/>
      <c r="R47" s="6">
        <f t="shared" si="24"/>
        <v>0</v>
      </c>
      <c r="S47" s="2"/>
      <c r="T47" s="7">
        <v>140</v>
      </c>
      <c r="U47" s="2"/>
      <c r="V47" s="6">
        <f t="shared" si="25"/>
        <v>3.4167925592020328E-4</v>
      </c>
      <c r="W47" s="2"/>
      <c r="X47" s="7">
        <f t="shared" si="26"/>
        <v>-140</v>
      </c>
      <c r="Y47" s="2"/>
      <c r="Z47" s="6">
        <f t="shared" si="27"/>
        <v>-1</v>
      </c>
    </row>
    <row r="48" spans="1:26" s="28" customFormat="1" outlineLevel="1" collapsed="1" x14ac:dyDescent="0.35">
      <c r="A48" s="27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0</v>
      </c>
      <c r="E48" s="1"/>
      <c r="F48" s="5">
        <f t="shared" si="20"/>
        <v>0</v>
      </c>
      <c r="G48" s="1"/>
      <c r="H48" s="1">
        <f>SUM(OSRRefH22_5x_0)</f>
        <v>10</v>
      </c>
      <c r="I48" s="1"/>
      <c r="J48" s="5">
        <f t="shared" si="21"/>
        <v>2.8627866365119807E-4</v>
      </c>
      <c r="K48" s="1"/>
      <c r="L48" s="1">
        <f t="shared" si="22"/>
        <v>-10</v>
      </c>
      <c r="M48" s="1"/>
      <c r="N48" s="5">
        <f t="shared" si="23"/>
        <v>-1</v>
      </c>
      <c r="O48" s="14"/>
      <c r="P48" s="1">
        <f>SUM(OSRRefP22_5x_0)</f>
        <v>2.12</v>
      </c>
      <c r="Q48" s="1"/>
      <c r="R48" s="5">
        <f t="shared" si="24"/>
        <v>5.7350617871751037E-6</v>
      </c>
      <c r="S48" s="1"/>
      <c r="T48" s="1">
        <f>SUM(OSRRefT22_5x_0)</f>
        <v>70</v>
      </c>
      <c r="U48" s="1"/>
      <c r="V48" s="5">
        <f t="shared" si="25"/>
        <v>1.7083962796010164E-4</v>
      </c>
      <c r="W48" s="1"/>
      <c r="X48" s="1">
        <f t="shared" si="26"/>
        <v>-67.88</v>
      </c>
      <c r="Y48" s="1"/>
      <c r="Z48" s="5">
        <f t="shared" si="27"/>
        <v>-0.96971428571428564</v>
      </c>
    </row>
    <row r="49" spans="1:26" s="24" customFormat="1" hidden="1" outlineLevel="2" x14ac:dyDescent="0.35">
      <c r="A49" s="29"/>
      <c r="B49" s="11" t="str">
        <f>CONCATENATE("          ", "6305", " - ", "FREIGHT OUT")</f>
        <v xml:space="preserve">          6305 - FREIGHT OUT</v>
      </c>
      <c r="C49" s="11"/>
      <c r="D49" s="7"/>
      <c r="E49" s="2"/>
      <c r="F49" s="6">
        <f t="shared" si="20"/>
        <v>0</v>
      </c>
      <c r="G49" s="2"/>
      <c r="H49" s="7"/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>
        <v>1.62</v>
      </c>
      <c r="Q49" s="2"/>
      <c r="R49" s="6">
        <f t="shared" si="24"/>
        <v>4.3824528751055041E-6</v>
      </c>
      <c r="S49" s="2"/>
      <c r="T49" s="7"/>
      <c r="U49" s="2"/>
      <c r="V49" s="6">
        <f t="shared" si="25"/>
        <v>0</v>
      </c>
      <c r="W49" s="2"/>
      <c r="X49" s="7">
        <f t="shared" si="26"/>
        <v>1.62</v>
      </c>
      <c r="Y49" s="2"/>
      <c r="Z49" s="6">
        <f t="shared" si="27"/>
        <v>0</v>
      </c>
    </row>
    <row r="50" spans="1:26" s="24" customFormat="1" hidden="1" outlineLevel="2" x14ac:dyDescent="0.35">
      <c r="A50" s="29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0"/>
        <v>0</v>
      </c>
      <c r="G50" s="2"/>
      <c r="H50" s="7">
        <v>10</v>
      </c>
      <c r="I50" s="2"/>
      <c r="J50" s="6">
        <f t="shared" si="21"/>
        <v>2.8627866365119807E-4</v>
      </c>
      <c r="K50" s="2"/>
      <c r="L50" s="7">
        <f t="shared" si="22"/>
        <v>-10</v>
      </c>
      <c r="M50" s="2"/>
      <c r="N50" s="6">
        <f t="shared" si="23"/>
        <v>-1</v>
      </c>
      <c r="O50" s="11"/>
      <c r="P50" s="7">
        <v>0.5</v>
      </c>
      <c r="Q50" s="2"/>
      <c r="R50" s="6">
        <f t="shared" si="24"/>
        <v>1.3526089120695998E-6</v>
      </c>
      <c r="S50" s="2"/>
      <c r="T50" s="7">
        <v>70</v>
      </c>
      <c r="U50" s="2"/>
      <c r="V50" s="6">
        <f t="shared" si="25"/>
        <v>1.7083962796010164E-4</v>
      </c>
      <c r="W50" s="2"/>
      <c r="X50" s="7">
        <f t="shared" si="26"/>
        <v>-69.5</v>
      </c>
      <c r="Y50" s="2"/>
      <c r="Z50" s="6">
        <f t="shared" si="27"/>
        <v>-0.99285714285714288</v>
      </c>
    </row>
    <row r="51" spans="1:26" s="28" customFormat="1" outlineLevel="1" collapsed="1" x14ac:dyDescent="0.35">
      <c r="A51" s="27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ref="F51:F61" si="28">IF(D$12=0,0,D51/D$12)</f>
        <v>0</v>
      </c>
      <c r="G51" s="1"/>
      <c r="H51" s="1">
        <f>SUM(OSRRefH22_6x_0)</f>
        <v>50</v>
      </c>
      <c r="I51" s="1"/>
      <c r="J51" s="5">
        <f t="shared" ref="J51:J61" si="29">IF(H$12=0,0,H51/H$12)</f>
        <v>1.4313933182559903E-3</v>
      </c>
      <c r="K51" s="1"/>
      <c r="L51" s="1">
        <f t="shared" ref="L51:L61" si="30">+D51-H51</f>
        <v>-50</v>
      </c>
      <c r="M51" s="1"/>
      <c r="N51" s="5">
        <f t="shared" ref="N51:N61" si="31">IF(H51=0,0,L51/H51)</f>
        <v>-1</v>
      </c>
      <c r="O51" s="14"/>
      <c r="P51" s="1">
        <f>SUM(OSRRefP22_6x_0)</f>
        <v>0</v>
      </c>
      <c r="Q51" s="1"/>
      <c r="R51" s="5">
        <f t="shared" ref="R51:R61" si="32">IF(P$12=0,0,P51/P$12)</f>
        <v>0</v>
      </c>
      <c r="S51" s="1"/>
      <c r="T51" s="1">
        <f>SUM(OSRRefT22_6x_0)</f>
        <v>350</v>
      </c>
      <c r="U51" s="1"/>
      <c r="V51" s="5">
        <f t="shared" ref="V51:V61" si="33">IF(T$12=0,0,T51/T$12)</f>
        <v>8.5419813980050811E-4</v>
      </c>
      <c r="W51" s="1"/>
      <c r="X51" s="1">
        <f t="shared" ref="X51:X61" si="34">+P51-T51</f>
        <v>-350</v>
      </c>
      <c r="Y51" s="1"/>
      <c r="Z51" s="5">
        <f t="shared" ref="Z51:Z61" si="35">IF(T51=0,0,X51/T51)</f>
        <v>-1</v>
      </c>
    </row>
    <row r="52" spans="1:26" s="24" customFormat="1" hidden="1" outlineLevel="2" x14ac:dyDescent="0.35">
      <c r="A52" s="29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8"/>
        <v>0</v>
      </c>
      <c r="G52" s="2"/>
      <c r="H52" s="7">
        <v>50</v>
      </c>
      <c r="I52" s="2"/>
      <c r="J52" s="6">
        <f t="shared" si="29"/>
        <v>1.4313933182559903E-3</v>
      </c>
      <c r="K52" s="2"/>
      <c r="L52" s="7">
        <f t="shared" si="30"/>
        <v>-50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350</v>
      </c>
      <c r="U52" s="2"/>
      <c r="V52" s="6">
        <f t="shared" si="33"/>
        <v>8.5419813980050811E-4</v>
      </c>
      <c r="W52" s="2"/>
      <c r="X52" s="7">
        <f t="shared" si="34"/>
        <v>-350</v>
      </c>
      <c r="Y52" s="2"/>
      <c r="Z52" s="6">
        <f t="shared" si="35"/>
        <v>-1</v>
      </c>
    </row>
    <row r="53" spans="1:26" s="28" customFormat="1" outlineLevel="1" collapsed="1" x14ac:dyDescent="0.35">
      <c r="A53" s="27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SUM(OSRRefD22_7x_0)</f>
        <v>29.01</v>
      </c>
      <c r="E53" s="1"/>
      <c r="F53" s="5">
        <f t="shared" si="28"/>
        <v>8.5363700564971754E-4</v>
      </c>
      <c r="G53" s="1"/>
      <c r="H53" s="1">
        <f>SUM(OSRRefH22_7x_0)</f>
        <v>33</v>
      </c>
      <c r="I53" s="1"/>
      <c r="J53" s="5">
        <f t="shared" si="29"/>
        <v>9.447195900489536E-4</v>
      </c>
      <c r="K53" s="1"/>
      <c r="L53" s="1">
        <f t="shared" si="30"/>
        <v>-3.9899999999999984</v>
      </c>
      <c r="M53" s="1"/>
      <c r="N53" s="5">
        <f t="shared" si="31"/>
        <v>-0.12090909090909085</v>
      </c>
      <c r="O53" s="14"/>
      <c r="P53" s="1">
        <f>SUM(OSRRefP22_7x_0)</f>
        <v>203.07</v>
      </c>
      <c r="Q53" s="1"/>
      <c r="R53" s="5">
        <f t="shared" si="32"/>
        <v>5.4934858354794723E-4</v>
      </c>
      <c r="S53" s="1"/>
      <c r="T53" s="1">
        <f>SUM(OSRRefT22_7x_0)</f>
        <v>231</v>
      </c>
      <c r="U53" s="1"/>
      <c r="V53" s="5">
        <f t="shared" si="33"/>
        <v>5.6377077226833533E-4</v>
      </c>
      <c r="W53" s="1"/>
      <c r="X53" s="1">
        <f t="shared" si="34"/>
        <v>-27.930000000000007</v>
      </c>
      <c r="Y53" s="1"/>
      <c r="Z53" s="5">
        <f t="shared" si="35"/>
        <v>-0.12090909090909094</v>
      </c>
    </row>
    <row r="54" spans="1:26" s="24" customFormat="1" hidden="1" outlineLevel="2" x14ac:dyDescent="0.35">
      <c r="A54" s="29"/>
      <c r="B54" s="11" t="str">
        <f>CONCATENATE("          ", "6314", " - ", "LIABILITY INSURANCE")</f>
        <v xml:space="preserve">          6314 - LIABILITY INSURANCE</v>
      </c>
      <c r="C54" s="11"/>
      <c r="D54" s="7">
        <v>29.01</v>
      </c>
      <c r="E54" s="2"/>
      <c r="F54" s="6">
        <f t="shared" si="28"/>
        <v>8.5363700564971754E-4</v>
      </c>
      <c r="G54" s="2"/>
      <c r="H54" s="7">
        <v>33</v>
      </c>
      <c r="I54" s="2"/>
      <c r="J54" s="6">
        <f t="shared" si="29"/>
        <v>9.447195900489536E-4</v>
      </c>
      <c r="K54" s="2"/>
      <c r="L54" s="7">
        <f t="shared" si="30"/>
        <v>-3.9899999999999984</v>
      </c>
      <c r="M54" s="2"/>
      <c r="N54" s="6">
        <f t="shared" si="31"/>
        <v>-0.12090909090909085</v>
      </c>
      <c r="O54" s="11"/>
      <c r="P54" s="7">
        <v>203.07</v>
      </c>
      <c r="Q54" s="2"/>
      <c r="R54" s="6">
        <f t="shared" si="32"/>
        <v>5.4934858354794723E-4</v>
      </c>
      <c r="S54" s="2"/>
      <c r="T54" s="7">
        <v>231</v>
      </c>
      <c r="U54" s="2"/>
      <c r="V54" s="6">
        <f t="shared" si="33"/>
        <v>5.6377077226833533E-4</v>
      </c>
      <c r="W54" s="2"/>
      <c r="X54" s="7">
        <f t="shared" si="34"/>
        <v>-27.930000000000007</v>
      </c>
      <c r="Y54" s="2"/>
      <c r="Z54" s="6">
        <f t="shared" si="35"/>
        <v>-0.12090909090909094</v>
      </c>
    </row>
    <row r="55" spans="1:26" s="28" customFormat="1" outlineLevel="1" collapsed="1" x14ac:dyDescent="0.35">
      <c r="A55" s="27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800</v>
      </c>
      <c r="E55" s="1"/>
      <c r="F55" s="5">
        <f t="shared" si="28"/>
        <v>2.3540489642184557E-2</v>
      </c>
      <c r="G55" s="1"/>
      <c r="H55" s="1">
        <f>SUM(OSRRefH22_8x_0)</f>
        <v>800</v>
      </c>
      <c r="I55" s="1"/>
      <c r="J55" s="5">
        <f t="shared" si="29"/>
        <v>2.2902293092095845E-2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SUM(OSRRefP22_8x_0)</f>
        <v>5600</v>
      </c>
      <c r="Q55" s="1"/>
      <c r="R55" s="5">
        <f t="shared" si="32"/>
        <v>1.5149219815179518E-2</v>
      </c>
      <c r="S55" s="1"/>
      <c r="T55" s="1">
        <f>SUM(OSRRefT22_8x_0)</f>
        <v>5600</v>
      </c>
      <c r="U55" s="1"/>
      <c r="V55" s="5">
        <f t="shared" si="33"/>
        <v>1.366717023680813E-2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35">
      <c r="A56" s="29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8"/>
        <v>2.3540489642184557E-2</v>
      </c>
      <c r="G56" s="2"/>
      <c r="H56" s="7">
        <v>800</v>
      </c>
      <c r="I56" s="2"/>
      <c r="J56" s="6">
        <f t="shared" si="29"/>
        <v>2.2902293092095845E-2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5600</v>
      </c>
      <c r="Q56" s="2"/>
      <c r="R56" s="6">
        <f t="shared" si="32"/>
        <v>1.5149219815179518E-2</v>
      </c>
      <c r="S56" s="2"/>
      <c r="T56" s="7">
        <v>5600</v>
      </c>
      <c r="U56" s="2"/>
      <c r="V56" s="6">
        <f t="shared" si="33"/>
        <v>1.366717023680813E-2</v>
      </c>
      <c r="W56" s="2"/>
      <c r="X56" s="7">
        <f t="shared" si="34"/>
        <v>0</v>
      </c>
      <c r="Y56" s="2"/>
      <c r="Z56" s="6">
        <f t="shared" si="35"/>
        <v>0</v>
      </c>
    </row>
    <row r="57" spans="1:26" s="28" customFormat="1" outlineLevel="1" collapsed="1" x14ac:dyDescent="0.35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0</v>
      </c>
      <c r="E57" s="1"/>
      <c r="F57" s="5">
        <f t="shared" si="28"/>
        <v>0</v>
      </c>
      <c r="G57" s="1"/>
      <c r="H57" s="1">
        <f>SUM(OSRRefH22_9x_0)</f>
        <v>1500</v>
      </c>
      <c r="I57" s="1"/>
      <c r="J57" s="5">
        <f t="shared" si="29"/>
        <v>4.294179954767971E-2</v>
      </c>
      <c r="K57" s="1"/>
      <c r="L57" s="1">
        <f t="shared" si="30"/>
        <v>-1500</v>
      </c>
      <c r="M57" s="1"/>
      <c r="N57" s="5">
        <f t="shared" si="31"/>
        <v>-1</v>
      </c>
      <c r="O57" s="14"/>
      <c r="P57" s="1">
        <f>SUM(OSRRefP22_9x_0)</f>
        <v>126914.90000000001</v>
      </c>
      <c r="Q57" s="1"/>
      <c r="R57" s="5">
        <f t="shared" si="32"/>
        <v>0.34333244962884413</v>
      </c>
      <c r="S57" s="1"/>
      <c r="T57" s="1">
        <f>SUM(OSRRefT22_9x_0)</f>
        <v>135500</v>
      </c>
      <c r="U57" s="1"/>
      <c r="V57" s="5">
        <f t="shared" si="33"/>
        <v>0.33069670840848242</v>
      </c>
      <c r="W57" s="1"/>
      <c r="X57" s="1">
        <f t="shared" si="34"/>
        <v>-8585.0999999999913</v>
      </c>
      <c r="Y57" s="1"/>
      <c r="Z57" s="5">
        <f t="shared" si="35"/>
        <v>-6.3358671586715806E-2</v>
      </c>
    </row>
    <row r="58" spans="1:26" s="24" customFormat="1" hidden="1" outlineLevel="2" x14ac:dyDescent="0.35">
      <c r="A58" s="29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28"/>
        <v>0</v>
      </c>
      <c r="G58" s="2"/>
      <c r="H58" s="7"/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/>
      <c r="Q58" s="2"/>
      <c r="R58" s="6">
        <f t="shared" si="32"/>
        <v>0</v>
      </c>
      <c r="S58" s="2"/>
      <c r="T58" s="7">
        <v>125000</v>
      </c>
      <c r="U58" s="2"/>
      <c r="V58" s="6">
        <f t="shared" si="33"/>
        <v>0.30507076421446716</v>
      </c>
      <c r="W58" s="2"/>
      <c r="X58" s="7">
        <f t="shared" si="34"/>
        <v>-125000</v>
      </c>
      <c r="Y58" s="2"/>
      <c r="Z58" s="6">
        <f t="shared" si="35"/>
        <v>-1</v>
      </c>
    </row>
    <row r="59" spans="1:26" s="24" customFormat="1" hidden="1" outlineLevel="2" x14ac:dyDescent="0.35">
      <c r="A59" s="29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8"/>
        <v>0</v>
      </c>
      <c r="G59" s="2"/>
      <c r="H59" s="7">
        <v>1500</v>
      </c>
      <c r="I59" s="2"/>
      <c r="J59" s="6">
        <f t="shared" si="29"/>
        <v>4.294179954767971E-2</v>
      </c>
      <c r="K59" s="2"/>
      <c r="L59" s="7">
        <f t="shared" si="30"/>
        <v>-1500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10500</v>
      </c>
      <c r="U59" s="2"/>
      <c r="V59" s="6">
        <f t="shared" si="33"/>
        <v>2.5625944194015243E-2</v>
      </c>
      <c r="W59" s="2"/>
      <c r="X59" s="7">
        <f t="shared" si="34"/>
        <v>-10500</v>
      </c>
      <c r="Y59" s="2"/>
      <c r="Z59" s="6">
        <f t="shared" si="35"/>
        <v>-1</v>
      </c>
    </row>
    <row r="60" spans="1:26" s="24" customFormat="1" hidden="1" outlineLevel="2" x14ac:dyDescent="0.35">
      <c r="A60" s="29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120352.90000000001</v>
      </c>
      <c r="Q60" s="2"/>
      <c r="R60" s="6">
        <f t="shared" si="32"/>
        <v>0.32558081026684271</v>
      </c>
      <c r="S60" s="2"/>
      <c r="T60" s="7"/>
      <c r="U60" s="2"/>
      <c r="V60" s="6">
        <f t="shared" si="33"/>
        <v>0</v>
      </c>
      <c r="W60" s="2"/>
      <c r="X60" s="7">
        <f t="shared" si="34"/>
        <v>120352.90000000001</v>
      </c>
      <c r="Y60" s="2"/>
      <c r="Z60" s="6">
        <f t="shared" si="35"/>
        <v>0</v>
      </c>
    </row>
    <row r="61" spans="1:26" s="24" customFormat="1" hidden="1" outlineLevel="2" x14ac:dyDescent="0.35">
      <c r="A61" s="29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6562</v>
      </c>
      <c r="Q61" s="2"/>
      <c r="R61" s="6">
        <f t="shared" si="32"/>
        <v>1.7751639362001428E-2</v>
      </c>
      <c r="S61" s="2"/>
      <c r="T61" s="7"/>
      <c r="U61" s="2"/>
      <c r="V61" s="6">
        <f t="shared" si="33"/>
        <v>0</v>
      </c>
      <c r="W61" s="2"/>
      <c r="X61" s="7">
        <f t="shared" si="34"/>
        <v>6562</v>
      </c>
      <c r="Y61" s="2"/>
      <c r="Z61" s="6">
        <f t="shared" si="35"/>
        <v>0</v>
      </c>
    </row>
    <row r="62" spans="1:26" s="28" customFormat="1" outlineLevel="1" collapsed="1" x14ac:dyDescent="0.35">
      <c r="A62" s="27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SUM(OSRRefD22_10x_0)</f>
        <v>774.92</v>
      </c>
      <c r="E62" s="1"/>
      <c r="F62" s="5">
        <f t="shared" ref="F62:F64" si="36">IF(D$12=0,0,D62/D$12)</f>
        <v>2.2802495291902071E-2</v>
      </c>
      <c r="G62" s="1"/>
      <c r="H62" s="1">
        <f>SUM(OSRRefH22_10x_0)</f>
        <v>7000</v>
      </c>
      <c r="I62" s="1"/>
      <c r="J62" s="5">
        <f t="shared" ref="J62:J64" si="37">IF(H$12=0,0,H62/H$12)</f>
        <v>0.20039506455583866</v>
      </c>
      <c r="K62" s="1"/>
      <c r="L62" s="1">
        <f t="shared" ref="L62:L64" si="38">+D62-H62</f>
        <v>-6225.08</v>
      </c>
      <c r="M62" s="1"/>
      <c r="N62" s="5">
        <f t="shared" ref="N62:N64" si="39">IF(H62=0,0,L62/H62)</f>
        <v>-0.8892971428571429</v>
      </c>
      <c r="O62" s="14"/>
      <c r="P62" s="1">
        <f>SUM(OSRRefP22_10x_0)</f>
        <v>42046.62</v>
      </c>
      <c r="Q62" s="1"/>
      <c r="R62" s="5">
        <f t="shared" ref="R62:R64" si="40">IF(P$12=0,0,P62/P$12)</f>
        <v>0.11374526586880776</v>
      </c>
      <c r="S62" s="1"/>
      <c r="T62" s="1">
        <f>SUM(OSRRefT22_10x_0)</f>
        <v>49000</v>
      </c>
      <c r="U62" s="1"/>
      <c r="V62" s="5">
        <f t="shared" ref="V62:V64" si="41">IF(T$12=0,0,T62/T$12)</f>
        <v>0.11958773957207114</v>
      </c>
      <c r="W62" s="1"/>
      <c r="X62" s="1">
        <f t="shared" ref="X62:X64" si="42">+P62-T62</f>
        <v>-6953.3799999999974</v>
      </c>
      <c r="Y62" s="1"/>
      <c r="Z62" s="5">
        <f t="shared" ref="Z62:Z64" si="43">IF(T62=0,0,X62/T62)</f>
        <v>-0.14190571428571422</v>
      </c>
    </row>
    <row r="63" spans="1:26" s="24" customFormat="1" hidden="1" outlineLevel="2" x14ac:dyDescent="0.35">
      <c r="A63" s="29"/>
      <c r="B63" s="11" t="str">
        <f>CONCATENATE("          ", "6234", " - ", "EXPENDABLE SUPPLIES &amp; EQUIPMEN")</f>
        <v xml:space="preserve">          6234 - EXPENDABLE SUPPLIES &amp; EQUIPMEN</v>
      </c>
      <c r="C63" s="11"/>
      <c r="D63" s="7"/>
      <c r="E63" s="2"/>
      <c r="F63" s="6">
        <f t="shared" si="36"/>
        <v>0</v>
      </c>
      <c r="G63" s="2"/>
      <c r="H63" s="7">
        <v>7000</v>
      </c>
      <c r="I63" s="2"/>
      <c r="J63" s="6">
        <f t="shared" si="37"/>
        <v>0.20039506455583866</v>
      </c>
      <c r="K63" s="2"/>
      <c r="L63" s="7">
        <f t="shared" si="38"/>
        <v>-7000</v>
      </c>
      <c r="M63" s="2"/>
      <c r="N63" s="6">
        <f t="shared" si="39"/>
        <v>-1</v>
      </c>
      <c r="O63" s="11"/>
      <c r="P63" s="7"/>
      <c r="Q63" s="2"/>
      <c r="R63" s="6">
        <f t="shared" si="40"/>
        <v>0</v>
      </c>
      <c r="S63" s="2"/>
      <c r="T63" s="7">
        <v>49000</v>
      </c>
      <c r="U63" s="2"/>
      <c r="V63" s="6">
        <f t="shared" si="41"/>
        <v>0.11958773957207114</v>
      </c>
      <c r="W63" s="2"/>
      <c r="X63" s="7">
        <f t="shared" si="42"/>
        <v>-49000</v>
      </c>
      <c r="Y63" s="2"/>
      <c r="Z63" s="6">
        <f t="shared" si="43"/>
        <v>-1</v>
      </c>
    </row>
    <row r="64" spans="1:26" s="24" customFormat="1" hidden="1" outlineLevel="2" x14ac:dyDescent="0.35">
      <c r="A64" s="29"/>
      <c r="B64" s="11" t="str">
        <f>CONCATENATE("          ", "6241", " - ", "OFFICE EXPENSE")</f>
        <v xml:space="preserve">          6241 - OFFICE EXPENSE</v>
      </c>
      <c r="C64" s="11"/>
      <c r="D64" s="7">
        <v>774.92</v>
      </c>
      <c r="E64" s="2"/>
      <c r="F64" s="6">
        <f t="shared" si="36"/>
        <v>2.2802495291902071E-2</v>
      </c>
      <c r="G64" s="2"/>
      <c r="H64" s="7"/>
      <c r="I64" s="2"/>
      <c r="J64" s="6">
        <f t="shared" si="37"/>
        <v>0</v>
      </c>
      <c r="K64" s="2"/>
      <c r="L64" s="7">
        <f t="shared" si="38"/>
        <v>774.92</v>
      </c>
      <c r="M64" s="2"/>
      <c r="N64" s="6">
        <f t="shared" si="39"/>
        <v>0</v>
      </c>
      <c r="O64" s="11"/>
      <c r="P64" s="7">
        <v>42046.62</v>
      </c>
      <c r="Q64" s="2"/>
      <c r="R64" s="6">
        <f t="shared" si="40"/>
        <v>0.11374526586880776</v>
      </c>
      <c r="S64" s="2"/>
      <c r="T64" s="7"/>
      <c r="U64" s="2"/>
      <c r="V64" s="6">
        <f t="shared" si="41"/>
        <v>0</v>
      </c>
      <c r="W64" s="2"/>
      <c r="X64" s="7">
        <f t="shared" si="42"/>
        <v>42046.62</v>
      </c>
      <c r="Y64" s="2"/>
      <c r="Z64" s="6">
        <f t="shared" si="43"/>
        <v>0</v>
      </c>
    </row>
    <row r="65" spans="1:26" s="28" customFormat="1" outlineLevel="1" collapsed="1" x14ac:dyDescent="0.35">
      <c r="A65" s="27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SUM(OSRRefD22_11x_0)</f>
        <v>86.55</v>
      </c>
      <c r="E65" s="1"/>
      <c r="F65" s="5">
        <f t="shared" ref="F65:F66" si="44">IF(D$12=0,0,D65/D$12)</f>
        <v>2.5467867231638418E-3</v>
      </c>
      <c r="G65" s="1"/>
      <c r="H65" s="1">
        <f>SUM(OSRRefH22_11x_0)</f>
        <v>700</v>
      </c>
      <c r="I65" s="1"/>
      <c r="J65" s="5">
        <f t="shared" ref="J65:J66" si="45">IF(H$12=0,0,H65/H$12)</f>
        <v>2.0039506455583864E-2</v>
      </c>
      <c r="K65" s="1"/>
      <c r="L65" s="1">
        <f t="shared" ref="L65:L66" si="46">+D65-H65</f>
        <v>-613.45000000000005</v>
      </c>
      <c r="M65" s="1"/>
      <c r="N65" s="5">
        <f t="shared" ref="N65:N66" si="47">IF(H65=0,0,L65/H65)</f>
        <v>-0.87635714285714295</v>
      </c>
      <c r="O65" s="14"/>
      <c r="P65" s="1">
        <f>SUM(OSRRefP22_11x_0)</f>
        <v>1538.38</v>
      </c>
      <c r="Q65" s="1"/>
      <c r="R65" s="5">
        <f t="shared" ref="R65:R66" si="48">IF(P$12=0,0,P65/P$12)</f>
        <v>4.1616529962992619E-3</v>
      </c>
      <c r="S65" s="1"/>
      <c r="T65" s="1">
        <f>SUM(OSRRefT22_11x_0)</f>
        <v>4900</v>
      </c>
      <c r="U65" s="1"/>
      <c r="V65" s="5">
        <f t="shared" ref="V65:V66" si="49">IF(T$12=0,0,T65/T$12)</f>
        <v>1.1958773957207115E-2</v>
      </c>
      <c r="W65" s="1"/>
      <c r="X65" s="1">
        <f t="shared" ref="X65:X66" si="50">+P65-T65</f>
        <v>-3361.62</v>
      </c>
      <c r="Y65" s="1"/>
      <c r="Z65" s="5">
        <f t="shared" ref="Z65:Z66" si="51">IF(T65=0,0,X65/T65)</f>
        <v>-0.68604489795918366</v>
      </c>
    </row>
    <row r="66" spans="1:26" s="24" customFormat="1" hidden="1" outlineLevel="2" x14ac:dyDescent="0.35">
      <c r="A66" s="29"/>
      <c r="B66" s="11" t="str">
        <f>CONCATENATE("          ", "6309", " - ", "TELEPHONE")</f>
        <v xml:space="preserve">          6309 - TELEPHONE</v>
      </c>
      <c r="C66" s="11"/>
      <c r="D66" s="7">
        <v>86.55</v>
      </c>
      <c r="E66" s="2"/>
      <c r="F66" s="6">
        <f t="shared" si="44"/>
        <v>2.5467867231638418E-3</v>
      </c>
      <c r="G66" s="2"/>
      <c r="H66" s="7">
        <v>700</v>
      </c>
      <c r="I66" s="2"/>
      <c r="J66" s="6">
        <f t="shared" si="45"/>
        <v>2.0039506455583864E-2</v>
      </c>
      <c r="K66" s="2"/>
      <c r="L66" s="7">
        <f t="shared" si="46"/>
        <v>-613.45000000000005</v>
      </c>
      <c r="M66" s="2"/>
      <c r="N66" s="6">
        <f t="shared" si="47"/>
        <v>-0.87635714285714295</v>
      </c>
      <c r="O66" s="11"/>
      <c r="P66" s="7">
        <v>1538.38</v>
      </c>
      <c r="Q66" s="2"/>
      <c r="R66" s="6">
        <f t="shared" si="48"/>
        <v>4.1616529962992619E-3</v>
      </c>
      <c r="S66" s="2"/>
      <c r="T66" s="7">
        <v>4900</v>
      </c>
      <c r="U66" s="2"/>
      <c r="V66" s="6">
        <f t="shared" si="49"/>
        <v>1.1958773957207115E-2</v>
      </c>
      <c r="W66" s="2"/>
      <c r="X66" s="7">
        <f t="shared" si="50"/>
        <v>-3361.62</v>
      </c>
      <c r="Y66" s="2"/>
      <c r="Z66" s="6">
        <f t="shared" si="51"/>
        <v>-0.68604489795918366</v>
      </c>
    </row>
    <row r="67" spans="1:26" s="55" customFormat="1" x14ac:dyDescent="0.3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35">
      <c r="A68" s="10"/>
      <c r="B68" s="25" t="s">
        <v>0</v>
      </c>
      <c r="C68" s="10"/>
      <c r="D68" s="4">
        <f>SUM(OSRRefD25x_0)</f>
        <v>237</v>
      </c>
      <c r="E68" s="4"/>
      <c r="F68" s="12">
        <f t="shared" ref="F68:F69" si="52">IF(D$12=0,0,D68/D$12)</f>
        <v>6.9738700564971751E-3</v>
      </c>
      <c r="G68" s="4"/>
      <c r="H68" s="4">
        <f>SUM(OSRRefH25x_0)</f>
        <v>4000</v>
      </c>
      <c r="I68" s="4"/>
      <c r="J68" s="12">
        <f t="shared" ref="J68:J69" si="53">IF(H$12=0,0,H68/H$12)</f>
        <v>0.11451146546047923</v>
      </c>
      <c r="K68" s="4"/>
      <c r="L68" s="4">
        <f t="shared" ref="L68:L69" si="54">+D68-H68</f>
        <v>-3763</v>
      </c>
      <c r="M68" s="4"/>
      <c r="N68" s="12">
        <f t="shared" ref="N68:N69" si="55">IF(H68=0,0,L68/H68)</f>
        <v>-0.94074999999999998</v>
      </c>
      <c r="O68" s="10"/>
      <c r="P68" s="4">
        <f>SUM(OSRRefP25x_0)</f>
        <v>1497.2</v>
      </c>
      <c r="Q68" s="4"/>
      <c r="R68" s="12">
        <f t="shared" ref="R68:R69" si="56">IF(P$12=0,0,P68/P$12)</f>
        <v>4.0502521263012098E-3</v>
      </c>
      <c r="S68" s="4"/>
      <c r="T68" s="4">
        <f>SUM(OSRRefT25x_0)</f>
        <v>19450</v>
      </c>
      <c r="U68" s="4"/>
      <c r="V68" s="12">
        <f t="shared" ref="V68:V69" si="57">IF(T$12=0,0,T68/T$12)</f>
        <v>4.7469010911771095E-2</v>
      </c>
      <c r="W68" s="4"/>
      <c r="X68" s="4">
        <f t="shared" ref="X68:X69" si="58">+P68-T68</f>
        <v>-17952.8</v>
      </c>
      <c r="Y68" s="4"/>
      <c r="Z68" s="12">
        <f t="shared" ref="Z68:Z69" si="59">IF(T68=0,0,X68/T68)</f>
        <v>-0.92302313624678656</v>
      </c>
    </row>
    <row r="69" spans="1:26" s="24" customFormat="1" hidden="1" outlineLevel="1" x14ac:dyDescent="0.35">
      <c r="A69" s="51"/>
      <c r="B69" s="11" t="str">
        <f>CONCATENATE("          ", "9150", " - ", "MISC. INCOME")</f>
        <v xml:space="preserve">          9150 - MISC. INCOME</v>
      </c>
      <c r="C69" s="11"/>
      <c r="D69" s="2">
        <f>--237</f>
        <v>237</v>
      </c>
      <c r="E69" s="2"/>
      <c r="F69" s="22">
        <f t="shared" si="52"/>
        <v>6.9738700564971751E-3</v>
      </c>
      <c r="G69" s="2"/>
      <c r="H69" s="2">
        <v>4000</v>
      </c>
      <c r="I69" s="2"/>
      <c r="J69" s="22">
        <f t="shared" si="53"/>
        <v>0.11451146546047923</v>
      </c>
      <c r="K69" s="2"/>
      <c r="L69" s="2">
        <f t="shared" si="54"/>
        <v>-3763</v>
      </c>
      <c r="M69" s="2"/>
      <c r="N69" s="22">
        <f t="shared" si="55"/>
        <v>-0.94074999999999998</v>
      </c>
      <c r="O69" s="11"/>
      <c r="P69" s="2">
        <f>--1497.2</f>
        <v>1497.2</v>
      </c>
      <c r="Q69" s="2"/>
      <c r="R69" s="22">
        <f t="shared" si="56"/>
        <v>4.0502521263012098E-3</v>
      </c>
      <c r="S69" s="2"/>
      <c r="T69" s="2">
        <v>19450</v>
      </c>
      <c r="U69" s="2"/>
      <c r="V69" s="22">
        <f t="shared" si="57"/>
        <v>4.7469010911771095E-2</v>
      </c>
      <c r="W69" s="2"/>
      <c r="X69" s="2">
        <f t="shared" si="58"/>
        <v>-17952.8</v>
      </c>
      <c r="Y69" s="2"/>
      <c r="Z69" s="22">
        <f t="shared" si="59"/>
        <v>-0.92302313624678656</v>
      </c>
    </row>
    <row r="70" spans="1:26" x14ac:dyDescent="0.3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35">
      <c r="A71" s="10"/>
      <c r="B71" s="26" t="s">
        <v>3</v>
      </c>
      <c r="C71" s="26"/>
      <c r="D71" s="19">
        <f>+D17-D19+D68</f>
        <v>10869.900000000005</v>
      </c>
      <c r="E71" s="13"/>
      <c r="F71" s="21">
        <f>IF(D$12=0,0,D71/D$12)</f>
        <v>0.31985346045197754</v>
      </c>
      <c r="G71" s="13"/>
      <c r="H71" s="19">
        <f>+H17-H19+H68</f>
        <v>5204.5095014807739</v>
      </c>
      <c r="I71" s="13"/>
      <c r="J71" s="21">
        <f>IF(H$12=0,0,H71/H$12)</f>
        <v>0.14899400250438791</v>
      </c>
      <c r="K71" s="16"/>
      <c r="L71" s="19">
        <f>+D71-H71</f>
        <v>5665.3904985192312</v>
      </c>
      <c r="M71" s="16"/>
      <c r="N71" s="21">
        <f>IF(H71=0,0,L71/H71)</f>
        <v>1.0885541657494002</v>
      </c>
      <c r="O71" s="25"/>
      <c r="P71" s="19">
        <f>+P17-P19+P68</f>
        <v>62106.910000000018</v>
      </c>
      <c r="Q71" s="13"/>
      <c r="R71" s="21">
        <f>IF(P$12=0,0,P71/P$12)</f>
        <v>0.16801271993420916</v>
      </c>
      <c r="S71" s="13"/>
      <c r="T71" s="19">
        <f>+T17-T19+T68</f>
        <v>62247.041196730803</v>
      </c>
      <c r="U71" s="13"/>
      <c r="V71" s="21">
        <f>IF(T$12=0,0,T71/T$12)</f>
        <v>0.1519180194238087</v>
      </c>
      <c r="W71" s="16"/>
      <c r="X71" s="19">
        <f>+P71-T71</f>
        <v>-140.13119673078472</v>
      </c>
      <c r="Y71" s="16"/>
      <c r="Z71" s="21">
        <f>IF(T71=0,0,X71/T71)</f>
        <v>-2.2512105641760908E-3</v>
      </c>
    </row>
    <row r="72" spans="1:26" x14ac:dyDescent="0.3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35">
      <c r="A73" s="52"/>
      <c r="B73" s="10" t="s">
        <v>14</v>
      </c>
      <c r="C73" s="10"/>
      <c r="D73" s="4">
        <v>4995.91</v>
      </c>
      <c r="E73" s="4"/>
      <c r="F73" s="12">
        <f>IF(D$12=0,0,D73/D$12)</f>
        <v>0.1470077095103578</v>
      </c>
      <c r="G73" s="4"/>
      <c r="H73" s="4">
        <v>9</v>
      </c>
      <c r="I73" s="4"/>
      <c r="J73" s="12">
        <f>IF(H$12=0,0,H73/H$12)</f>
        <v>2.5765079728607825E-4</v>
      </c>
      <c r="K73" s="4"/>
      <c r="L73" s="4">
        <f>+D73-H73</f>
        <v>4986.91</v>
      </c>
      <c r="M73" s="4"/>
      <c r="N73" s="12">
        <f>IF(H73=0,0,L73/H73)</f>
        <v>554.10111111111109</v>
      </c>
      <c r="O73" s="10"/>
      <c r="P73" s="4">
        <v>67102.34</v>
      </c>
      <c r="Q73" s="4"/>
      <c r="R73" s="12">
        <f>IF(P$12=0,0,P73/P$12)</f>
        <v>0.18152644620944877</v>
      </c>
      <c r="S73" s="4"/>
      <c r="T73" s="4">
        <v>71108</v>
      </c>
      <c r="U73" s="4"/>
      <c r="V73" s="12">
        <f>IF(T$12=0,0,T73/T$12)</f>
        <v>0.17354377521409867</v>
      </c>
      <c r="W73" s="4"/>
      <c r="X73" s="4">
        <f>+P73-T73</f>
        <v>-4005.6600000000035</v>
      </c>
      <c r="Y73" s="4"/>
      <c r="Z73" s="12">
        <f>IF(T73=0,0,X73/T73)</f>
        <v>-5.6332058277549689E-2</v>
      </c>
    </row>
    <row r="74" spans="1:26" x14ac:dyDescent="0.3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" thickBot="1" x14ac:dyDescent="0.4">
      <c r="A75" s="10"/>
      <c r="B75" s="26" t="s">
        <v>4</v>
      </c>
      <c r="C75" s="26"/>
      <c r="D75" s="33">
        <f>+D71-D73</f>
        <v>5873.9900000000052</v>
      </c>
      <c r="E75" s="13"/>
      <c r="F75" s="31">
        <f>IF(D$12=0,0,D75/D$12)</f>
        <v>0.17284575094161975</v>
      </c>
      <c r="G75" s="13"/>
      <c r="H75" s="33">
        <f>+H71-H73</f>
        <v>5195.5095014807739</v>
      </c>
      <c r="I75" s="13"/>
      <c r="J75" s="31">
        <f>IF(H$12=0,0,H75/H$12)</f>
        <v>0.14873635170710184</v>
      </c>
      <c r="K75" s="16"/>
      <c r="L75" s="33">
        <f>D75-H75</f>
        <v>678.48049851923133</v>
      </c>
      <c r="M75" s="16"/>
      <c r="N75" s="31">
        <f>IF(H75=0,0,L75/H75)</f>
        <v>0.130589790727138</v>
      </c>
      <c r="O75" s="25"/>
      <c r="P75" s="33">
        <f>+P71-P73</f>
        <v>-4995.4299999999785</v>
      </c>
      <c r="Q75" s="13"/>
      <c r="R75" s="31">
        <f>IF(P$12=0,0,P75/P$12)</f>
        <v>-1.3513726275239625E-2</v>
      </c>
      <c r="S75" s="13"/>
      <c r="T75" s="33">
        <f>+T71-T73</f>
        <v>-8860.9588032691972</v>
      </c>
      <c r="U75" s="13"/>
      <c r="V75" s="31">
        <f>IF(T$12=0,0,T75/T$12)</f>
        <v>-2.1625755790289958E-2</v>
      </c>
      <c r="W75" s="16"/>
      <c r="X75" s="33">
        <f>P75-T75</f>
        <v>3865.5288032692188</v>
      </c>
      <c r="Y75" s="16"/>
      <c r="Z75" s="31">
        <f>IF(T75=0,0,X75/T75)</f>
        <v>-0.43624272373809653</v>
      </c>
    </row>
    <row r="76" spans="1:26" ht="15" thickTop="1" x14ac:dyDescent="0.3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3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" thickBot="1" x14ac:dyDescent="0.4">
      <c r="A78" s="10"/>
      <c r="B78" s="26" t="s">
        <v>5</v>
      </c>
      <c r="C78" s="26"/>
      <c r="D78" s="34">
        <f>SUM(D75:D77)</f>
        <v>5873.9900000000052</v>
      </c>
      <c r="E78" s="13"/>
      <c r="F78" s="32">
        <f>IF(D$12=0,0,D78/D$12)</f>
        <v>0.17284575094161975</v>
      </c>
      <c r="G78" s="13"/>
      <c r="H78" s="34">
        <f>SUM(H75:H77)</f>
        <v>5195.5095014807739</v>
      </c>
      <c r="I78" s="13"/>
      <c r="J78" s="32">
        <f>IF(H$12=0,0,H78/H$12)</f>
        <v>0.14873635170710184</v>
      </c>
      <c r="K78" s="16"/>
      <c r="L78" s="34">
        <f>+D78-H78</f>
        <v>678.48049851923133</v>
      </c>
      <c r="M78" s="16"/>
      <c r="N78" s="32">
        <f>IF(H78=0,0,L78/H78)</f>
        <v>0.130589790727138</v>
      </c>
      <c r="O78" s="25"/>
      <c r="P78" s="34">
        <f>SUM(P75:P77)</f>
        <v>-4995.4299999999785</v>
      </c>
      <c r="Q78" s="13"/>
      <c r="R78" s="32">
        <f>IF(P$12=0,0,P78/P$12)</f>
        <v>-1.3513726275239625E-2</v>
      </c>
      <c r="S78" s="13"/>
      <c r="T78" s="34">
        <f>SUM(T75:T77)</f>
        <v>-8860.9588032691972</v>
      </c>
      <c r="U78" s="13"/>
      <c r="V78" s="32">
        <f>IF(T$12=0,0,T78/T$12)</f>
        <v>-2.1625755790289958E-2</v>
      </c>
      <c r="W78" s="16"/>
      <c r="X78" s="34">
        <f>+P78-T78</f>
        <v>3865.5288032692188</v>
      </c>
      <c r="Y78" s="16"/>
      <c r="Z78" s="32">
        <f>IF(T78=0,0,X78/T78)</f>
        <v>-0.43624272373809653</v>
      </c>
    </row>
    <row r="79" spans="1:26" ht="15" thickTop="1" x14ac:dyDescent="0.3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35">
      <c r="A80" s="9"/>
      <c r="B80" s="60">
        <v>44238.490922604164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35">
      <c r="A81" s="9"/>
      <c r="B81" s="59" t="s">
        <v>314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35">
      <c r="A82" s="9"/>
      <c r="B82" s="58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3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",_xll.OneStop.ReportPlayer.OSRFunctions.OSRGet("d_dim0","Code"), " - ", _xll.OneStop.ReportPlayer.OSRFunctions.OSRGet("d_dim0","Description"))</f>
        <v>Department [d_dim0.Code] - [d_dim0.Description]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",_xll.OneStop.ReportPlayer.OSRFunctions.OSRGet("d_dim0","Code"), " - ", _xll.OneStop.ReportPlayer.OSRFunctions.OSRGet("d_dim0","Description"))</f>
        <v>Department [d_dim0.Code] - [d_dim0.Description]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5" outlineLevelRow="2" outlineLevelCol="1" x14ac:dyDescent="0.35"/>
  <cols>
    <col min="1" max="1" width="1.81640625" customWidth="1"/>
    <col min="2" max="2" width="33.453125" bestFit="1" customWidth="1"/>
    <col min="3" max="3" width="1.81640625" customWidth="1"/>
    <col min="4" max="4" width="15" customWidth="1"/>
    <col min="5" max="5" width="1.81640625" customWidth="1" outlineLevel="1"/>
    <col min="6" max="6" width="15" style="50" customWidth="1" outlineLevel="1"/>
    <col min="7" max="7" width="1.81640625" customWidth="1" outlineLevel="1"/>
    <col min="8" max="8" width="15" customWidth="1" outlineLevel="1"/>
    <col min="9" max="9" width="1.81640625" customWidth="1" outlineLevel="1"/>
    <col min="10" max="10" width="15" style="37" customWidth="1" outlineLevel="1"/>
    <col min="11" max="11" width="1.81640625" customWidth="1" outlineLevel="1"/>
    <col min="12" max="12" width="15" customWidth="1" outlineLevel="1"/>
    <col min="13" max="13" width="1.81640625" customWidth="1" outlineLevel="1"/>
    <col min="14" max="14" width="15" style="50" customWidth="1" outlineLevel="1"/>
    <col min="15" max="15" width="1.81640625" style="9" customWidth="1"/>
    <col min="16" max="16" width="15" customWidth="1"/>
    <col min="17" max="17" width="1.81640625" customWidth="1" outlineLevel="1"/>
    <col min="18" max="18" width="15" style="37" customWidth="1" outlineLevel="1"/>
    <col min="19" max="19" width="1.81640625" customWidth="1" outlineLevel="1"/>
    <col min="20" max="20" width="15" customWidth="1" outlineLevel="1"/>
    <col min="21" max="21" width="1.81640625" customWidth="1" outlineLevel="1"/>
    <col min="22" max="22" width="15" style="37" customWidth="1" outlineLevel="1"/>
    <col min="23" max="23" width="1.81640625" customWidth="1" outlineLevel="1"/>
    <col min="24" max="24" width="15" customWidth="1" outlineLevel="1"/>
    <col min="25" max="25" width="1.81640625" customWidth="1" outlineLevel="1"/>
    <col min="26" max="26" width="15" style="37" customWidth="1" outlineLevel="1"/>
  </cols>
  <sheetData>
    <row r="2" spans="1:26" x14ac:dyDescent="0.35">
      <c r="D2" s="61" t="s">
        <v>13</v>
      </c>
    </row>
    <row r="3" spans="1:26" x14ac:dyDescent="0.35">
      <c r="D3" s="61" t="s">
        <v>296</v>
      </c>
      <c r="E3" s="17"/>
      <c r="F3" s="44"/>
      <c r="G3" s="17"/>
      <c r="H3" s="17"/>
      <c r="I3" s="17"/>
      <c r="J3" s="40"/>
      <c r="K3" s="17"/>
      <c r="L3" s="17"/>
      <c r="M3" s="17"/>
      <c r="N3" s="44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35">
      <c r="D4" s="61" t="str">
        <f>CONCATENATE("Period ",RIGHT(_xll.OneStop.ReportPlayer.OSRFunctions.OSRGet("Period","PeriodId"),2),", ",_xll.OneStop.ReportPlayer.OSRFunctions.OSRGet("Period","Year"))</f>
        <v>Period d], [Period.Year]</v>
      </c>
      <c r="E4" s="17"/>
      <c r="F4" s="44"/>
      <c r="G4" s="17"/>
      <c r="H4" s="17"/>
      <c r="I4" s="17"/>
      <c r="J4" s="40"/>
      <c r="K4" s="17"/>
      <c r="L4" s="17"/>
      <c r="M4" s="17"/>
      <c r="N4" s="44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35">
      <c r="A5" s="23"/>
      <c r="D5" s="65" t="str">
        <f>_xll.OneStop.ReportPlayer.OSRFunctions.OSRGet("Period","PeriodEnd")</f>
        <v>[Period.PeriodEnd]</v>
      </c>
      <c r="E5" s="17"/>
      <c r="F5" s="44"/>
      <c r="G5" s="17"/>
      <c r="H5" s="17"/>
      <c r="I5" s="17"/>
      <c r="J5" s="40"/>
      <c r="K5" s="17"/>
      <c r="L5" s="17"/>
      <c r="M5" s="17"/>
      <c r="N5" s="44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35">
      <c r="A6" s="23"/>
      <c r="B6" s="45"/>
      <c r="C6" s="45"/>
      <c r="D6" s="23" t="str">
        <f>CONCATENATE("Department ",_xll.OneStop.ReportPlayer.OSRFunctions.OSRGet("d_dim0","Code"), " - ", _xll.OneStop.ReportPlayer.OSRFunctions.OSRGet("d_dim0","Description"))</f>
        <v>Department [d_dim0.Code] - [d_dim0.Description]</v>
      </c>
      <c r="E6" s="17"/>
      <c r="F6" s="44"/>
      <c r="G6" s="17"/>
      <c r="H6" s="17"/>
      <c r="I6" s="17"/>
      <c r="J6" s="40"/>
      <c r="K6" s="17"/>
      <c r="L6" s="17"/>
      <c r="M6" s="17"/>
      <c r="N6" s="44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35">
      <c r="B7" s="63"/>
    </row>
    <row r="8" spans="1:26" x14ac:dyDescent="0.35">
      <c r="B8" s="63"/>
    </row>
    <row r="9" spans="1:26" x14ac:dyDescent="0.35">
      <c r="B9" s="9"/>
      <c r="C9" s="9"/>
      <c r="D9" s="15" t="s">
        <v>294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35">
      <c r="A10" s="10"/>
      <c r="B10" s="53"/>
      <c r="C10" s="10"/>
      <c r="D10" s="42" t="s">
        <v>10</v>
      </c>
      <c r="E10" s="35"/>
      <c r="F10" s="38" t="s">
        <v>15</v>
      </c>
      <c r="G10" s="35"/>
      <c r="H10" s="49" t="s">
        <v>11</v>
      </c>
      <c r="I10" s="35"/>
      <c r="J10" s="46" t="s">
        <v>16</v>
      </c>
      <c r="K10" s="10"/>
      <c r="L10" s="42" t="s">
        <v>12</v>
      </c>
      <c r="M10" s="10"/>
      <c r="N10" s="38" t="s">
        <v>17</v>
      </c>
      <c r="O10" s="10"/>
      <c r="P10" s="56" t="s">
        <v>10</v>
      </c>
      <c r="Q10" s="35"/>
      <c r="R10" s="38" t="s">
        <v>15</v>
      </c>
      <c r="S10" s="35"/>
      <c r="T10" s="49" t="s">
        <v>11</v>
      </c>
      <c r="U10" s="35"/>
      <c r="V10" s="46" t="s">
        <v>16</v>
      </c>
      <c r="W10" s="10"/>
      <c r="X10" s="42" t="s">
        <v>12</v>
      </c>
      <c r="Y10" s="10"/>
      <c r="Z10" s="38" t="s">
        <v>17</v>
      </c>
    </row>
    <row r="11" spans="1:26" ht="15.5" x14ac:dyDescent="0.35">
      <c r="A11" s="9"/>
      <c r="B11" s="62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35">
      <c r="A12" s="10"/>
      <c r="B12" s="25" t="s">
        <v>7</v>
      </c>
      <c r="C12" s="10"/>
      <c r="D12" s="4">
        <f>SUM(_xll.OneStop.ReportPlayer.OSRFunctions.OSRRef(D13))</f>
        <v>0</v>
      </c>
      <c r="E12" s="4"/>
      <c r="F12" s="12"/>
      <c r="G12" s="4"/>
      <c r="H12" s="4">
        <f>SUM(_xll.OneStop.ReportPlayer.OSRFunctions.OSRRef(H13))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SUM(_xll.OneStop.ReportPlayer.OSRFunctions.OSRRef(P13))</f>
        <v>0</v>
      </c>
      <c r="Q12" s="4"/>
      <c r="R12" s="12"/>
      <c r="S12" s="4"/>
      <c r="T12" s="4">
        <f>SUM(_xll.OneStop.ReportPlayer.OSRFunctions.OSRRef(T13))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35">
      <c r="A13" s="51"/>
      <c r="B13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3" s="11"/>
      <c r="D13" s="2" t="e">
        <f>-_xll.OneStop.ReportPlayer.OSRFunctions.OSRGet("GL_F_Trans","Value1")</f>
        <v>#VALUE!</v>
      </c>
      <c r="E13" s="2"/>
      <c r="F13" s="22"/>
      <c r="G13" s="2"/>
      <c r="H13" s="2" t="str">
        <f>_xll.OneStop.ReportPlayer.OSRFunctions.OSRGet("GL_F_Trans","Value1")</f>
        <v>[GL_F_Trans.Value1]</v>
      </c>
      <c r="I13" s="2"/>
      <c r="J13" s="22"/>
      <c r="K13" s="2"/>
      <c r="L13" s="2" t="e">
        <f t="shared" si="0"/>
        <v>#VALUE!</v>
      </c>
      <c r="M13" s="2"/>
      <c r="N13" s="22" t="e">
        <f t="shared" si="1"/>
        <v>#VALUE!</v>
      </c>
      <c r="O13" s="11"/>
      <c r="P13" s="2" t="e">
        <f>-_xll.OneStop.ReportPlayer.OSRFunctions.OSRGet("GL_F_Trans","Value1")</f>
        <v>#VALUE!</v>
      </c>
      <c r="Q13" s="2"/>
      <c r="R13" s="22"/>
      <c r="S13" s="2"/>
      <c r="T13" s="2" t="str">
        <f>_xll.OneStop.ReportPlayer.OSRFunctions.OSRGet("GL_F_Trans","Value1")</f>
        <v>[GL_F_Trans.Value1]</v>
      </c>
      <c r="U13" s="2"/>
      <c r="V13" s="22"/>
      <c r="W13" s="2"/>
      <c r="X13" s="2" t="e">
        <f t="shared" si="2"/>
        <v>#VALUE!</v>
      </c>
      <c r="Y13" s="2"/>
      <c r="Z13" s="22" t="e">
        <f t="shared" si="3"/>
        <v>#VALUE!</v>
      </c>
    </row>
    <row r="14" spans="1:26" x14ac:dyDescent="0.3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5">
      <c r="A15" s="10"/>
      <c r="B15" s="25" t="s">
        <v>8</v>
      </c>
      <c r="C15" s="10"/>
      <c r="D15" s="4">
        <f>SUM(_xll.OneStop.ReportPlayer.OSRFunctions.OSRRef(D16))</f>
        <v>0</v>
      </c>
      <c r="E15" s="4"/>
      <c r="F15" s="12">
        <f t="shared" ref="F15:F16" si="4">IF(D$12=0,0,D15/D$12)</f>
        <v>0</v>
      </c>
      <c r="G15" s="4"/>
      <c r="H15" s="4">
        <f>SUM(_xll.OneStop.ReportPlayer.OSRFunctions.OSRRef(H16))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SUM(_xll.OneStop.ReportPlayer.OSRFunctions.OSRRef(P16))</f>
        <v>0</v>
      </c>
      <c r="Q15" s="4"/>
      <c r="R15" s="12">
        <f t="shared" ref="R15:R16" si="8">IF(P$12=0,0,P15/P$12)</f>
        <v>0</v>
      </c>
      <c r="S15" s="4"/>
      <c r="T15" s="4">
        <f>SUM(_xll.OneStop.ReportPlayer.OSRFunctions.OSRRef(T16))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35">
      <c r="A16" s="51"/>
      <c r="B16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6" s="11"/>
      <c r="D16" s="2" t="str">
        <f>_xll.OneStop.ReportPlayer.OSRFunctions.OSRGet("GL_F_Trans","Value1")</f>
        <v>[GL_F_Trans.Value1]</v>
      </c>
      <c r="E16" s="2"/>
      <c r="F16" s="22">
        <f t="shared" si="4"/>
        <v>0</v>
      </c>
      <c r="G16" s="2"/>
      <c r="H16" s="2" t="str">
        <f>_xll.OneStop.ReportPlayer.OSRFunctions.OSRGet("GL_F_Trans","Value1")</f>
        <v>[GL_F_Trans.Value1]</v>
      </c>
      <c r="I16" s="2"/>
      <c r="J16" s="22">
        <f t="shared" si="5"/>
        <v>0</v>
      </c>
      <c r="K16" s="2"/>
      <c r="L16" s="2" t="e">
        <f t="shared" si="6"/>
        <v>#VALUE!</v>
      </c>
      <c r="M16" s="2"/>
      <c r="N16" s="22" t="e">
        <f t="shared" si="7"/>
        <v>#VALUE!</v>
      </c>
      <c r="O16" s="11"/>
      <c r="P16" s="2" t="str">
        <f>_xll.OneStop.ReportPlayer.OSRFunctions.OSRGet("GL_F_Trans","Value1")</f>
        <v>[GL_F_Trans.Value1]</v>
      </c>
      <c r="Q16" s="2"/>
      <c r="R16" s="22">
        <f t="shared" si="8"/>
        <v>0</v>
      </c>
      <c r="S16" s="2"/>
      <c r="T16" s="2" t="str">
        <f>_xll.OneStop.ReportPlayer.OSRFunctions.OSRGet("GL_F_Trans","Value1")</f>
        <v>[GL_F_Trans.Value1]</v>
      </c>
      <c r="U16" s="2"/>
      <c r="V16" s="22">
        <f t="shared" si="9"/>
        <v>0</v>
      </c>
      <c r="W16" s="2"/>
      <c r="X16" s="2" t="e">
        <f t="shared" si="10"/>
        <v>#VALUE!</v>
      </c>
      <c r="Y16" s="2"/>
      <c r="Z16" s="22" t="e">
        <f t="shared" si="11"/>
        <v>#VALUE!</v>
      </c>
    </row>
    <row r="17" spans="1:26" x14ac:dyDescent="0.3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5">
      <c r="A18" s="10"/>
      <c r="B18" s="26" t="s">
        <v>6</v>
      </c>
      <c r="C18" s="26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6"/>
      <c r="L18" s="19">
        <f>+D18-H18</f>
        <v>0</v>
      </c>
      <c r="M18" s="16"/>
      <c r="N18" s="21">
        <f>IF(H18=0,0,L18/H18)</f>
        <v>0</v>
      </c>
      <c r="O18" s="25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6"/>
      <c r="X18" s="19">
        <f>+P18-T18</f>
        <v>0</v>
      </c>
      <c r="Y18" s="16"/>
      <c r="Z18" s="21">
        <f>IF(T18=0,0,X18/T18)</f>
        <v>0</v>
      </c>
    </row>
    <row r="19" spans="1:26" x14ac:dyDescent="0.3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5">
      <c r="A20" s="10"/>
      <c r="B20" s="25" t="s">
        <v>9</v>
      </c>
      <c r="C20" s="10"/>
      <c r="D20" s="20">
        <f>SUM(_xll.OneStop.ReportPlayer.OSRFunctions.OSRRef(D22))</f>
        <v>0</v>
      </c>
      <c r="E20" s="20"/>
      <c r="F20" s="30">
        <f t="shared" ref="F20:F22" si="12">IF(D$12=0,0,D20/D$12)</f>
        <v>0</v>
      </c>
      <c r="G20" s="20"/>
      <c r="H20" s="20">
        <f>SUM(_xll.OneStop.ReportPlayer.OSRFunctions.OSRRef(H22))</f>
        <v>0</v>
      </c>
      <c r="I20" s="20"/>
      <c r="J20" s="30">
        <f t="shared" ref="J20:J22" si="13">IF(H$12=0,0,H20/H$12)</f>
        <v>0</v>
      </c>
      <c r="K20" s="4"/>
      <c r="L20" s="20">
        <f t="shared" ref="L20:L22" si="14">+D20-H20</f>
        <v>0</v>
      </c>
      <c r="M20" s="4"/>
      <c r="N20" s="30">
        <f t="shared" ref="N20:N22" si="15">IF(H20=0,0,L20/H20)</f>
        <v>0</v>
      </c>
      <c r="O20" s="10"/>
      <c r="P20" s="20">
        <f>SUM(_xll.OneStop.ReportPlayer.OSRFunctions.OSRRef(P22))</f>
        <v>0</v>
      </c>
      <c r="Q20" s="20"/>
      <c r="R20" s="30">
        <f t="shared" ref="R20:R22" si="16">IF(P$12=0,0,P20/P$12)</f>
        <v>0</v>
      </c>
      <c r="S20" s="20"/>
      <c r="T20" s="20">
        <f>SUM(_xll.OneStop.ReportPlayer.OSRFunctions.OSRRef(T22))</f>
        <v>0</v>
      </c>
      <c r="U20" s="20"/>
      <c r="V20" s="30">
        <f t="shared" ref="V20:V22" si="17">IF(T$12=0,0,T20/T$12)</f>
        <v>0</v>
      </c>
      <c r="W20" s="4"/>
      <c r="X20" s="20">
        <f t="shared" ref="X20:X22" si="18">+P20-T20</f>
        <v>0</v>
      </c>
      <c r="Y20" s="4"/>
      <c r="Z20" s="30">
        <f t="shared" ref="Z20:Z22" si="19">IF(T20=0,0,X20/T20)</f>
        <v>0</v>
      </c>
    </row>
    <row r="21" spans="1:26" s="28" customFormat="1" outlineLevel="1" collapsed="1" x14ac:dyDescent="0.35">
      <c r="A21" s="27"/>
      <c r="B21" s="14" t="str">
        <f>CONCATENATE("     ",_xll.OneStop.ReportPlayer.OSRFunctions.OSRGet("d_Account","AccountCategory"))</f>
        <v xml:space="preserve">     [d_Account.AccountCategory]</v>
      </c>
      <c r="C21" s="14"/>
      <c r="D21" s="1">
        <f>SUM(_xll.OneStop.ReportPlayer.OSRFunctions.OSRRef(D22))</f>
        <v>0</v>
      </c>
      <c r="E21" s="1"/>
      <c r="F21" s="5">
        <f t="shared" si="12"/>
        <v>0</v>
      </c>
      <c r="G21" s="1"/>
      <c r="H21" s="1">
        <f>SUM(_xll.OneStop.ReportPlayer.OSRFunctions.OSRRef(H22))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SUM(_xll.OneStop.ReportPlayer.OSRFunctions.OSRRef(P22))</f>
        <v>0</v>
      </c>
      <c r="Q21" s="1"/>
      <c r="R21" s="5">
        <f t="shared" si="16"/>
        <v>0</v>
      </c>
      <c r="S21" s="1"/>
      <c r="T21" s="1">
        <f>SUM(_xll.OneStop.ReportPlayer.OSRFunctions.OSRRef(T22))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35">
      <c r="A22" s="29"/>
      <c r="B22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2" s="11"/>
      <c r="D22" s="7" t="str">
        <f>_xll.OneStop.ReportPlayer.OSRFunctions.OSRGet("GL_F_Trans","Value1")</f>
        <v>[GL_F_Trans.Value1]</v>
      </c>
      <c r="E22" s="2"/>
      <c r="F22" s="6">
        <f t="shared" si="12"/>
        <v>0</v>
      </c>
      <c r="G22" s="2"/>
      <c r="H22" s="7" t="str">
        <f>_xll.OneStop.ReportPlayer.OSRFunctions.OSRGet("GL_F_Trans","Value1")</f>
        <v>[GL_F_Trans.Value1]</v>
      </c>
      <c r="I22" s="2"/>
      <c r="J22" s="6">
        <f t="shared" si="13"/>
        <v>0</v>
      </c>
      <c r="K22" s="2"/>
      <c r="L22" s="7" t="e">
        <f t="shared" si="14"/>
        <v>#VALUE!</v>
      </c>
      <c r="M22" s="2"/>
      <c r="N22" s="6" t="e">
        <f t="shared" si="15"/>
        <v>#VALUE!</v>
      </c>
      <c r="O22" s="11"/>
      <c r="P22" s="7" t="str">
        <f>_xll.OneStop.ReportPlayer.OSRFunctions.OSRGet("GL_F_Trans","Value1")</f>
        <v>[GL_F_Trans.Value1]</v>
      </c>
      <c r="Q22" s="2"/>
      <c r="R22" s="6">
        <f t="shared" si="16"/>
        <v>0</v>
      </c>
      <c r="S22" s="2"/>
      <c r="T22" s="7" t="str">
        <f>_xll.OneStop.ReportPlayer.OSRFunctions.OSRGet("GL_F_Trans","Value1")</f>
        <v>[GL_F_Trans.Value1]</v>
      </c>
      <c r="U22" s="2"/>
      <c r="V22" s="6">
        <f t="shared" si="17"/>
        <v>0</v>
      </c>
      <c r="W22" s="2"/>
      <c r="X22" s="7" t="e">
        <f t="shared" si="18"/>
        <v>#VALUE!</v>
      </c>
      <c r="Y22" s="2"/>
      <c r="Z22" s="6" t="e">
        <f t="shared" si="19"/>
        <v>#VALUE!</v>
      </c>
    </row>
    <row r="23" spans="1:26" s="55" customFormat="1" x14ac:dyDescent="0.3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5">
      <c r="A24" s="10"/>
      <c r="B24" s="25" t="s">
        <v>0</v>
      </c>
      <c r="C24" s="10"/>
      <c r="D24" s="4">
        <f>SUM(_xll.OneStop.ReportPlayer.OSRFunctions.OSRRef(D25))</f>
        <v>0</v>
      </c>
      <c r="E24" s="4"/>
      <c r="F24" s="12">
        <f t="shared" ref="F24:F25" si="20">IF(D$12=0,0,D24/D$12)</f>
        <v>0</v>
      </c>
      <c r="G24" s="4"/>
      <c r="H24" s="4">
        <f>SUM(_xll.OneStop.ReportPlayer.OSRFunctions.OSRRef(H25))</f>
        <v>0</v>
      </c>
      <c r="I24" s="4"/>
      <c r="J24" s="12">
        <f t="shared" ref="J24:J25" si="21">IF(H$12=0,0,H24/H$12)</f>
        <v>0</v>
      </c>
      <c r="K24" s="4"/>
      <c r="L24" s="4">
        <f t="shared" ref="L24:L25" si="22">+D24-H24</f>
        <v>0</v>
      </c>
      <c r="M24" s="4"/>
      <c r="N24" s="12">
        <f t="shared" ref="N24:N25" si="23">IF(H24=0,0,L24/H24)</f>
        <v>0</v>
      </c>
      <c r="O24" s="10"/>
      <c r="P24" s="4">
        <f>SUM(_xll.OneStop.ReportPlayer.OSRFunctions.OSRRef(P25))</f>
        <v>0</v>
      </c>
      <c r="Q24" s="4"/>
      <c r="R24" s="12">
        <f t="shared" ref="R24:R25" si="24">IF(P$12=0,0,P24/P$12)</f>
        <v>0</v>
      </c>
      <c r="S24" s="4"/>
      <c r="T24" s="4">
        <f>SUM(_xll.OneStop.ReportPlayer.OSRFunctions.OSRRef(T25))</f>
        <v>0</v>
      </c>
      <c r="U24" s="4"/>
      <c r="V24" s="12">
        <f t="shared" ref="V24:V25" si="25">IF(T$12=0,0,T24/T$12)</f>
        <v>0</v>
      </c>
      <c r="W24" s="4"/>
      <c r="X24" s="4">
        <f t="shared" ref="X24:X25" si="26">+P24-T24</f>
        <v>0</v>
      </c>
      <c r="Y24" s="4"/>
      <c r="Z24" s="12">
        <f t="shared" ref="Z24:Z25" si="27">IF(T24=0,0,X24/T24)</f>
        <v>0</v>
      </c>
    </row>
    <row r="25" spans="1:26" s="24" customFormat="1" hidden="1" outlineLevel="1" x14ac:dyDescent="0.35">
      <c r="A25" s="51"/>
      <c r="B25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25" s="11"/>
      <c r="D25" s="2" t="e">
        <f>-_xll.OneStop.ReportPlayer.OSRFunctions.OSRGet("GL_F_Trans","Value1")</f>
        <v>#VALUE!</v>
      </c>
      <c r="E25" s="2"/>
      <c r="F25" s="22">
        <f t="shared" si="20"/>
        <v>0</v>
      </c>
      <c r="G25" s="2"/>
      <c r="H25" s="2" t="str">
        <f>_xll.OneStop.ReportPlayer.OSRFunctions.OSRGet("GL_F_Trans","Value1")</f>
        <v>[GL_F_Trans.Value1]</v>
      </c>
      <c r="I25" s="2"/>
      <c r="J25" s="22">
        <f t="shared" si="21"/>
        <v>0</v>
      </c>
      <c r="K25" s="2"/>
      <c r="L25" s="2" t="e">
        <f t="shared" si="22"/>
        <v>#VALUE!</v>
      </c>
      <c r="M25" s="2"/>
      <c r="N25" s="22" t="e">
        <f t="shared" si="23"/>
        <v>#VALUE!</v>
      </c>
      <c r="O25" s="11"/>
      <c r="P25" s="2" t="e">
        <f>-_xll.OneStop.ReportPlayer.OSRFunctions.OSRGet("GL_F_Trans","Value1")</f>
        <v>#VALUE!</v>
      </c>
      <c r="Q25" s="2"/>
      <c r="R25" s="22">
        <f t="shared" si="24"/>
        <v>0</v>
      </c>
      <c r="S25" s="2"/>
      <c r="T25" s="2" t="str">
        <f>_xll.OneStop.ReportPlayer.OSRFunctions.OSRGet("GL_F_Trans","Value1")</f>
        <v>[GL_F_Trans.Value1]</v>
      </c>
      <c r="U25" s="2"/>
      <c r="V25" s="22">
        <f t="shared" si="25"/>
        <v>0</v>
      </c>
      <c r="W25" s="2"/>
      <c r="X25" s="2" t="e">
        <f t="shared" si="26"/>
        <v>#VALUE!</v>
      </c>
      <c r="Y25" s="2"/>
      <c r="Z25" s="22" t="e">
        <f t="shared" si="27"/>
        <v>#VALUE!</v>
      </c>
    </row>
    <row r="26" spans="1:26" x14ac:dyDescent="0.3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5">
      <c r="A27" s="10"/>
      <c r="B27" s="26" t="s">
        <v>3</v>
      </c>
      <c r="C27" s="26"/>
      <c r="D27" s="19">
        <f>+D18-D20+D24</f>
        <v>0</v>
      </c>
      <c r="E27" s="13"/>
      <c r="F27" s="21">
        <f>IF(D$12=0,0,D27/D$12)</f>
        <v>0</v>
      </c>
      <c r="G27" s="13"/>
      <c r="H27" s="19">
        <f>+H18-H20+H24</f>
        <v>0</v>
      </c>
      <c r="I27" s="13"/>
      <c r="J27" s="21">
        <f>IF(H$12=0,0,H27/H$12)</f>
        <v>0</v>
      </c>
      <c r="K27" s="16"/>
      <c r="L27" s="19">
        <f>+D27-H27</f>
        <v>0</v>
      </c>
      <c r="M27" s="16"/>
      <c r="N27" s="21">
        <f>IF(H27=0,0,L27/H27)</f>
        <v>0</v>
      </c>
      <c r="O27" s="25"/>
      <c r="P27" s="19">
        <f>+P18-P20+P24</f>
        <v>0</v>
      </c>
      <c r="Q27" s="13"/>
      <c r="R27" s="21">
        <f>IF(P$12=0,0,P27/P$12)</f>
        <v>0</v>
      </c>
      <c r="S27" s="13"/>
      <c r="T27" s="19">
        <f>+T18-T20+T24</f>
        <v>0</v>
      </c>
      <c r="U27" s="13"/>
      <c r="V27" s="21">
        <f>IF(T$12=0,0,T27/T$12)</f>
        <v>0</v>
      </c>
      <c r="W27" s="16"/>
      <c r="X27" s="19">
        <f>+P27-T27</f>
        <v>0</v>
      </c>
      <c r="Y27" s="16"/>
      <c r="Z27" s="21">
        <f>IF(T27=0,0,X27/T27)</f>
        <v>0</v>
      </c>
    </row>
    <row r="28" spans="1:26" x14ac:dyDescent="0.3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5">
      <c r="A29" s="52"/>
      <c r="B29" s="10" t="s">
        <v>14</v>
      </c>
      <c r="C29" s="10"/>
      <c r="D29" s="4" t="str">
        <f>_xll.OneStop.ReportPlayer.OSRFunctions.OSRGet("GL_F_Trans","Value1")</f>
        <v>[GL_F_Trans.Value1]</v>
      </c>
      <c r="E29" s="4"/>
      <c r="F29" s="12">
        <f>IF(D$12=0,0,D29/D$12)</f>
        <v>0</v>
      </c>
      <c r="G29" s="4"/>
      <c r="H29" s="4" t="str">
        <f>_xll.OneStop.ReportPlayer.OSRFunctions.OSRGet("GL_F_Trans","Value1")</f>
        <v>[GL_F_Trans.Value1]</v>
      </c>
      <c r="I29" s="4"/>
      <c r="J29" s="12">
        <f>IF(H$12=0,0,H29/H$12)</f>
        <v>0</v>
      </c>
      <c r="K29" s="4"/>
      <c r="L29" s="4" t="e">
        <f>+D29-H29</f>
        <v>#VALUE!</v>
      </c>
      <c r="M29" s="4"/>
      <c r="N29" s="12" t="e">
        <f>IF(H29=0,0,L29/H29)</f>
        <v>#VALUE!</v>
      </c>
      <c r="O29" s="10"/>
      <c r="P29" s="4" t="str">
        <f>_xll.OneStop.ReportPlayer.OSRFunctions.OSRGet("GL_F_Trans","Value1")</f>
        <v>[GL_F_Trans.Value1]</v>
      </c>
      <c r="Q29" s="4"/>
      <c r="R29" s="12">
        <f>IF(P$12=0,0,P29/P$12)</f>
        <v>0</v>
      </c>
      <c r="S29" s="4"/>
      <c r="T29" s="4" t="str">
        <f>_xll.OneStop.ReportPlayer.OSRFunctions.OSRGet("GL_F_Trans","Value1")</f>
        <v>[GL_F_Trans.Value1]</v>
      </c>
      <c r="U29" s="4"/>
      <c r="V29" s="12">
        <f>IF(T$12=0,0,T29/T$12)</f>
        <v>0</v>
      </c>
      <c r="W29" s="4"/>
      <c r="X29" s="4" t="e">
        <f>+P29-T29</f>
        <v>#VALUE!</v>
      </c>
      <c r="Y29" s="4"/>
      <c r="Z29" s="12" t="e">
        <f>IF(T29=0,0,X29/T29)</f>
        <v>#VALUE!</v>
      </c>
    </row>
    <row r="30" spans="1:26" x14ac:dyDescent="0.3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4">
      <c r="A31" s="10"/>
      <c r="B31" s="26" t="s">
        <v>4</v>
      </c>
      <c r="C31" s="26"/>
      <c r="D31" s="33" t="e">
        <f>+D27-D29</f>
        <v>#VALUE!</v>
      </c>
      <c r="E31" s="13"/>
      <c r="F31" s="31">
        <f>IF(D$12=0,0,D31/D$12)</f>
        <v>0</v>
      </c>
      <c r="G31" s="13"/>
      <c r="H31" s="33" t="e">
        <f>+H27-H29</f>
        <v>#VALUE!</v>
      </c>
      <c r="I31" s="13"/>
      <c r="J31" s="31">
        <f>IF(H$12=0,0,H31/H$12)</f>
        <v>0</v>
      </c>
      <c r="K31" s="16"/>
      <c r="L31" s="33" t="e">
        <f>D31-H31</f>
        <v>#VALUE!</v>
      </c>
      <c r="M31" s="16"/>
      <c r="N31" s="31" t="e">
        <f>IF(H31=0,0,L31/H31)</f>
        <v>#VALUE!</v>
      </c>
      <c r="O31" s="25"/>
      <c r="P31" s="33" t="e">
        <f>+P27-P29</f>
        <v>#VALUE!</v>
      </c>
      <c r="Q31" s="13"/>
      <c r="R31" s="31">
        <f>IF(P$12=0,0,P31/P$12)</f>
        <v>0</v>
      </c>
      <c r="S31" s="13"/>
      <c r="T31" s="33" t="e">
        <f>+T27-T29</f>
        <v>#VALUE!</v>
      </c>
      <c r="U31" s="13"/>
      <c r="V31" s="31">
        <f>IF(T$12=0,0,T31/T$12)</f>
        <v>0</v>
      </c>
      <c r="W31" s="16"/>
      <c r="X31" s="33" t="e">
        <f>P31-T31</f>
        <v>#VALUE!</v>
      </c>
      <c r="Y31" s="16"/>
      <c r="Z31" s="31" t="e">
        <f>IF(T31=0,0,X31/T31)</f>
        <v>#VALUE!</v>
      </c>
    </row>
    <row r="32" spans="1:26" ht="15" thickTop="1" x14ac:dyDescent="0.3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5">
      <c r="A33" s="52"/>
      <c r="B33" s="10" t="s">
        <v>2</v>
      </c>
      <c r="C33" s="10"/>
      <c r="D33" s="4" t="e">
        <f>-_xll.OneStop.ReportPlayer.OSRFunctions.OSRGet("GL_F_Trans","Value1")</f>
        <v>#VALUE!</v>
      </c>
      <c r="E33" s="4"/>
      <c r="F33" s="12">
        <f t="shared" ref="F33:F34" si="28">IF(D$12=0,0,D33/D$12)</f>
        <v>0</v>
      </c>
      <c r="G33" s="4"/>
      <c r="H33" s="4" t="e">
        <f>-_xll.OneStop.ReportPlayer.OSRFunctions.OSRGet("GL_F_Trans","Value1")</f>
        <v>#VALUE!</v>
      </c>
      <c r="I33" s="4"/>
      <c r="J33" s="12">
        <f t="shared" ref="J33:J34" si="29">IF(H$12=0,0,H33/H$12)</f>
        <v>0</v>
      </c>
      <c r="K33" s="4"/>
      <c r="L33" s="4" t="e">
        <f t="shared" ref="L33:L34" si="30">+D33-H33</f>
        <v>#VALUE!</v>
      </c>
      <c r="M33" s="4"/>
      <c r="N33" s="12" t="e">
        <f t="shared" ref="N33:N34" si="31">IF(H33=0,0,L33/H33)</f>
        <v>#VALUE!</v>
      </c>
      <c r="O33" s="10"/>
      <c r="P33" s="4" t="e">
        <f>-_xll.OneStop.ReportPlayer.OSRFunctions.OSRGet("GL_F_Trans","Value1")</f>
        <v>#VALUE!</v>
      </c>
      <c r="Q33" s="4"/>
      <c r="R33" s="12">
        <f t="shared" ref="R33:R34" si="32">IF(P$12=0,0,P33/P$12)</f>
        <v>0</v>
      </c>
      <c r="S33" s="4"/>
      <c r="T33" s="4" t="e">
        <f>-_xll.OneStop.ReportPlayer.OSRFunctions.OSRGet("GL_F_Trans","Value1")</f>
        <v>#VALUE!</v>
      </c>
      <c r="U33" s="4"/>
      <c r="V33" s="12">
        <f t="shared" ref="V33:V34" si="33">IF(T$12=0,0,T33/T$12)</f>
        <v>0</v>
      </c>
      <c r="W33" s="4"/>
      <c r="X33" s="4" t="e">
        <f t="shared" ref="X33:X34" si="34">+P33-T33</f>
        <v>#VALUE!</v>
      </c>
      <c r="Y33" s="4"/>
      <c r="Z33" s="12" t="e">
        <f t="shared" ref="Z33:Z34" si="35">IF(T33=0,0,X33/T33)</f>
        <v>#VALUE!</v>
      </c>
    </row>
    <row r="34" spans="1:26" s="23" customFormat="1" x14ac:dyDescent="0.35">
      <c r="A34" s="52"/>
      <c r="B34" s="10" t="s">
        <v>1</v>
      </c>
      <c r="C34" s="10"/>
      <c r="D34" s="4" t="e">
        <f>-_xll.OneStop.ReportPlayer.OSRFunctions.OSRGet("GL_F_Trans","Value1")</f>
        <v>#VALUE!</v>
      </c>
      <c r="E34" s="4"/>
      <c r="F34" s="12">
        <f t="shared" si="28"/>
        <v>0</v>
      </c>
      <c r="G34" s="4"/>
      <c r="H34" s="4" t="e">
        <f>-_xll.OneStop.ReportPlayer.OSRFunctions.OSRGet("GL_F_Trans","Value1")</f>
        <v>#VALUE!</v>
      </c>
      <c r="I34" s="4"/>
      <c r="J34" s="12">
        <f t="shared" si="29"/>
        <v>0</v>
      </c>
      <c r="K34" s="4"/>
      <c r="L34" s="4" t="e">
        <f t="shared" si="30"/>
        <v>#VALUE!</v>
      </c>
      <c r="M34" s="4"/>
      <c r="N34" s="12" t="e">
        <f t="shared" si="31"/>
        <v>#VALUE!</v>
      </c>
      <c r="O34" s="10"/>
      <c r="P34" s="4" t="e">
        <f>-_xll.OneStop.ReportPlayer.OSRFunctions.OSRGet("GL_F_Trans","Value1")</f>
        <v>#VALUE!</v>
      </c>
      <c r="Q34" s="4"/>
      <c r="R34" s="12">
        <f t="shared" si="32"/>
        <v>0</v>
      </c>
      <c r="S34" s="4"/>
      <c r="T34" s="4" t="e">
        <f>-_xll.OneStop.ReportPlayer.OSRFunctions.OSRGet("GL_F_Trans","Value1")</f>
        <v>#VALUE!</v>
      </c>
      <c r="U34" s="4"/>
      <c r="V34" s="12">
        <f t="shared" si="33"/>
        <v>0</v>
      </c>
      <c r="W34" s="4"/>
      <c r="X34" s="4" t="e">
        <f t="shared" si="34"/>
        <v>#VALUE!</v>
      </c>
      <c r="Y34" s="4"/>
      <c r="Z34" s="12" t="e">
        <f t="shared" si="35"/>
        <v>#VALUE!</v>
      </c>
    </row>
    <row r="35" spans="1:26" x14ac:dyDescent="0.3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4">
      <c r="A36" s="10"/>
      <c r="B36" s="26" t="s">
        <v>5</v>
      </c>
      <c r="C36" s="26"/>
      <c r="D36" s="34" t="e">
        <f>SUM(D31:D35)</f>
        <v>#VALUE!</v>
      </c>
      <c r="E36" s="13"/>
      <c r="F36" s="32">
        <f>IF(D$12=0,0,D36/D$12)</f>
        <v>0</v>
      </c>
      <c r="G36" s="13"/>
      <c r="H36" s="34" t="e">
        <f>SUM(H31:H35)</f>
        <v>#VALUE!</v>
      </c>
      <c r="I36" s="13"/>
      <c r="J36" s="32">
        <f>IF(H$12=0,0,H36/H$12)</f>
        <v>0</v>
      </c>
      <c r="K36" s="16"/>
      <c r="L36" s="34" t="e">
        <f>+D36-H36</f>
        <v>#VALUE!</v>
      </c>
      <c r="M36" s="16"/>
      <c r="N36" s="32" t="e">
        <f>IF(H36=0,0,L36/H36)</f>
        <v>#VALUE!</v>
      </c>
      <c r="O36" s="25"/>
      <c r="P36" s="34" t="e">
        <f>SUM(P31:P35)</f>
        <v>#VALUE!</v>
      </c>
      <c r="Q36" s="13"/>
      <c r="R36" s="32">
        <f>IF(P$12=0,0,P36/P$12)</f>
        <v>0</v>
      </c>
      <c r="S36" s="13"/>
      <c r="T36" s="34" t="e">
        <f>SUM(T31:T35)</f>
        <v>#VALUE!</v>
      </c>
      <c r="U36" s="13"/>
      <c r="V36" s="32">
        <f>IF(T$12=0,0,T36/T$12)</f>
        <v>0</v>
      </c>
      <c r="W36" s="16"/>
      <c r="X36" s="34" t="e">
        <f>+P36-T36</f>
        <v>#VALUE!</v>
      </c>
      <c r="Y36" s="16"/>
      <c r="Z36" s="32" t="e">
        <f>IF(T36=0,0,X36/T36)</f>
        <v>#VALUE!</v>
      </c>
    </row>
    <row r="37" spans="1:26" ht="15" thickTop="1" x14ac:dyDescent="0.3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5">
      <c r="A38" s="9"/>
      <c r="B38" s="60" t="str">
        <f>_xll.OneStop.ReportPlayer.OSRFunctions.OSRGet("CurrentDate","Date")</f>
        <v>[CurrentDate.Date]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5">
      <c r="A39" s="9"/>
      <c r="B39" s="59" t="str">
        <f>_xll.OneStop.ReportPlayer.OSRFunctions.OSRGet("User","UserId")</f>
        <v>[User.UserId]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9" ma:contentTypeDescription="Create a new document." ma:contentTypeScope="" ma:versionID="d40e98030b3dc663e0d4553b7dcd1867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c520295a271e8254a7ac83f751e3a076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8004C73-A8BA-4753-AE9A-43DF29ECE06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3A62F1A-6A6D-418F-9A8D-BB956C67792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762caf36-b0c2-49b4-ab14-ff4bceb8c0ae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D459BB5-F0FA-4879-AF42-CEB08D5969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98</vt:i4>
      </vt:variant>
      <vt:variant>
        <vt:lpstr>Named Ranges</vt:lpstr>
      </vt:variant>
      <vt:variant>
        <vt:i4>3968</vt:i4>
      </vt:variant>
    </vt:vector>
  </HeadingPairs>
  <TitlesOfParts>
    <vt:vector size="4066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207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'201'!OSRRefD13x_0</vt:lpstr>
      <vt:lpstr>'202'!OSRRefD13x_0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2'!OSRRefD13x_0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'315'!OSRRefD16x_0</vt:lpstr>
      <vt:lpstr>'317'!OSRRefD16x_0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'405'!OSRRefD16x_0</vt:lpstr>
      <vt:lpstr>'412'!OSRRefD16x_0</vt:lpstr>
      <vt:lpstr>'413'!OSRRefD16x_0</vt:lpstr>
      <vt:lpstr>'414'!OSRRefD16x_0</vt:lpstr>
      <vt:lpstr>'415'!OSRRefD16x_0</vt:lpstr>
      <vt:lpstr>'418'!OSRRefD16x_0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'321'!OSRRefD22_0x_0</vt:lpstr>
      <vt:lpstr>'322'!OSRRefD22_0x_0</vt:lpstr>
      <vt:lpstr>'324'!OSRRefD22_0x_0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'204'!OSRRefD22_11x_0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'204'!OSRRefD22_12x_0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'310'!OSRRefD22_12x_0</vt:lpstr>
      <vt:lpstr>'310 &amp; 491'!OSRRefD22_12x_0</vt:lpstr>
      <vt:lpstr>'311'!OSRRefD22_12x_0</vt:lpstr>
      <vt:lpstr>'315'!OSRRefD22_12x_0</vt:lpstr>
      <vt:lpstr>'317'!OSRRefD22_12x_0</vt:lpstr>
      <vt:lpstr>'321'!OSRRefD22_12x_0</vt:lpstr>
      <vt:lpstr>'325'!OSRRefD22_12x_0</vt:lpstr>
      <vt:lpstr>'326'!OSRRefD22_12x_0</vt:lpstr>
      <vt:lpstr>'330'!OSRRefD22_12x_0</vt:lpstr>
      <vt:lpstr>'331'!OSRRefD22_12x_0</vt:lpstr>
      <vt:lpstr>'405'!OSRRefD22_12x_0</vt:lpstr>
      <vt:lpstr>'411'!OSRRefD22_12x_0</vt:lpstr>
      <vt:lpstr>'412'!OSRRefD22_12x_0</vt:lpstr>
      <vt:lpstr>'413'!OSRRefD22_12x_0</vt:lpstr>
      <vt:lpstr>'414'!OSRRefD22_12x_0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'Div 6'!OSRRefD22_12x_0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'321'!OSRRefD22_13x_0</vt:lpstr>
      <vt:lpstr>'325'!OSRRefD22_13x_0</vt:lpstr>
      <vt:lpstr>'326'!OSRRefD22_13x_0</vt:lpstr>
      <vt:lpstr>'330'!OSRRefD22_13x_0</vt:lpstr>
      <vt:lpstr>'331'!OSRRefD22_13x_0</vt:lpstr>
      <vt:lpstr>'405'!OSRRefD22_13x_0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'203'!OSRRefD22_14x_0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'315'!OSRRefD22_14x_0</vt:lpstr>
      <vt:lpstr>'325'!OSRRefD22_14x_0</vt:lpstr>
      <vt:lpstr>'326'!OSRRefD22_14x_0</vt:lpstr>
      <vt:lpstr>'331'!OSRRefD22_14x_0</vt:lpstr>
      <vt:lpstr>'405'!OSRRefD22_14x_0</vt:lpstr>
      <vt:lpstr>'411'!OSRRefD22_14x_0</vt:lpstr>
      <vt:lpstr>'414'!OSRRefD22_14x_0</vt:lpstr>
      <vt:lpstr>'415'!OSRRefD22_14x_0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'201'!OSRRefD22_16x_0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'325'!OSRRefD22_16x_0</vt:lpstr>
      <vt:lpstr>'326'!OSRRefD22_16x_0</vt:lpstr>
      <vt:lpstr>'331'!OSRRefD22_16x_0</vt:lpstr>
      <vt:lpstr>'405'!OSRRefD22_16x_0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'315'!OSRRefD22_17x_0</vt:lpstr>
      <vt:lpstr>'325'!OSRRefD22_17x_0</vt:lpstr>
      <vt:lpstr>'326'!OSRRefD22_17x_0</vt:lpstr>
      <vt:lpstr>'331'!OSRRefD22_17x_0</vt:lpstr>
      <vt:lpstr>'405'!OSRRefD22_17x_0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'415'!OSRRefD22_18x_0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'321'!OSRRefD22_1x_0</vt:lpstr>
      <vt:lpstr>'322'!OSRRefD22_1x_0</vt:lpstr>
      <vt:lpstr>'324'!OSRRefD22_1x_0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'331'!OSRRefD22_22x_0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'423'!OSRRefD22_6x_0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'206'!OSRRefD22_8x_0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'206'!OSRRefD22_9x_0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'321'!OSRRefD22x_0</vt:lpstr>
      <vt:lpstr>'322'!OSRRefD22x_0</vt:lpstr>
      <vt:lpstr>'324'!OSRRefD22x_0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'202'!OSRRefD25x_0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'411'!OSRRefD25x_0</vt:lpstr>
      <vt:lpstr>'418'!OSRRefD25x_0</vt:lpstr>
      <vt:lpstr>'423'!OSRRefD25x_0</vt:lpstr>
      <vt:lpstr>'455'!OSRRefD25x_0</vt:lpstr>
      <vt:lpstr>'491'!OSRRefD25x_0</vt:lpstr>
      <vt:lpstr>'501'!OSRRefD25x_0</vt:lpstr>
      <vt:lpstr>'Div 2'!OSRRefD25x_0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'201'!OSRRefH13x_0</vt:lpstr>
      <vt:lpstr>'202'!OSRRefH13x_0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2'!OSRRefH13x_0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'315'!OSRRefH16x_0</vt:lpstr>
      <vt:lpstr>'317'!OSRRefH16x_0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'405'!OSRRefH16x_0</vt:lpstr>
      <vt:lpstr>'412'!OSRRefH16x_0</vt:lpstr>
      <vt:lpstr>'413'!OSRRefH16x_0</vt:lpstr>
      <vt:lpstr>'414'!OSRRefH16x_0</vt:lpstr>
      <vt:lpstr>'415'!OSRRefH16x_0</vt:lpstr>
      <vt:lpstr>'418'!OSRRefH16x_0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'321'!OSRRefH22_0x_0</vt:lpstr>
      <vt:lpstr>'322'!OSRRefH22_0x_0</vt:lpstr>
      <vt:lpstr>'324'!OSRRefH22_0x_0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'204'!OSRRefH22_11x_0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'204'!OSRRefH22_12x_0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'310'!OSRRefH22_12x_0</vt:lpstr>
      <vt:lpstr>'310 &amp; 491'!OSRRefH22_12x_0</vt:lpstr>
      <vt:lpstr>'311'!OSRRefH22_12x_0</vt:lpstr>
      <vt:lpstr>'315'!OSRRefH22_12x_0</vt:lpstr>
      <vt:lpstr>'317'!OSRRefH22_12x_0</vt:lpstr>
      <vt:lpstr>'321'!OSRRefH22_12x_0</vt:lpstr>
      <vt:lpstr>'325'!OSRRefH22_12x_0</vt:lpstr>
      <vt:lpstr>'326'!OSRRefH22_12x_0</vt:lpstr>
      <vt:lpstr>'330'!OSRRefH22_12x_0</vt:lpstr>
      <vt:lpstr>'331'!OSRRefH22_12x_0</vt:lpstr>
      <vt:lpstr>'405'!OSRRefH22_12x_0</vt:lpstr>
      <vt:lpstr>'411'!OSRRefH22_12x_0</vt:lpstr>
      <vt:lpstr>'412'!OSRRefH22_12x_0</vt:lpstr>
      <vt:lpstr>'413'!OSRRefH22_12x_0</vt:lpstr>
      <vt:lpstr>'414'!OSRRefH22_12x_0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'Div 6'!OSRRefH22_12x_0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'321'!OSRRefH22_13x_0</vt:lpstr>
      <vt:lpstr>'325'!OSRRefH22_13x_0</vt:lpstr>
      <vt:lpstr>'326'!OSRRefH22_13x_0</vt:lpstr>
      <vt:lpstr>'330'!OSRRefH22_13x_0</vt:lpstr>
      <vt:lpstr>'331'!OSRRefH22_13x_0</vt:lpstr>
      <vt:lpstr>'405'!OSRRefH22_13x_0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'203'!OSRRefH22_14x_0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'315'!OSRRefH22_14x_0</vt:lpstr>
      <vt:lpstr>'325'!OSRRefH22_14x_0</vt:lpstr>
      <vt:lpstr>'326'!OSRRefH22_14x_0</vt:lpstr>
      <vt:lpstr>'331'!OSRRefH22_14x_0</vt:lpstr>
      <vt:lpstr>'405'!OSRRefH22_14x_0</vt:lpstr>
      <vt:lpstr>'411'!OSRRefH22_14x_0</vt:lpstr>
      <vt:lpstr>'414'!OSRRefH22_14x_0</vt:lpstr>
      <vt:lpstr>'415'!OSRRefH22_14x_0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'201'!OSRRefH22_16x_0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'325'!OSRRefH22_16x_0</vt:lpstr>
      <vt:lpstr>'326'!OSRRefH22_16x_0</vt:lpstr>
      <vt:lpstr>'331'!OSRRefH22_16x_0</vt:lpstr>
      <vt:lpstr>'405'!OSRRefH22_16x_0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'315'!OSRRefH22_17x_0</vt:lpstr>
      <vt:lpstr>'325'!OSRRefH22_17x_0</vt:lpstr>
      <vt:lpstr>'326'!OSRRefH22_17x_0</vt:lpstr>
      <vt:lpstr>'331'!OSRRefH22_17x_0</vt:lpstr>
      <vt:lpstr>'405'!OSRRefH22_17x_0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'415'!OSRRefH22_18x_0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'321'!OSRRefH22_1x_0</vt:lpstr>
      <vt:lpstr>'322'!OSRRefH22_1x_0</vt:lpstr>
      <vt:lpstr>'324'!OSRRefH22_1x_0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'331'!OSRRefH22_22x_0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'423'!OSRRefH22_6x_0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'206'!OSRRefH22_8x_0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'206'!OSRRefH22_9x_0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'321'!OSRRefH22x_0</vt:lpstr>
      <vt:lpstr>'322'!OSRRefH22x_0</vt:lpstr>
      <vt:lpstr>'324'!OSRRefH22x_0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'202'!OSRRefH25x_0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'411'!OSRRefH25x_0</vt:lpstr>
      <vt:lpstr>'418'!OSRRefH25x_0</vt:lpstr>
      <vt:lpstr>'423'!OSRRefH25x_0</vt:lpstr>
      <vt:lpstr>'455'!OSRRefH25x_0</vt:lpstr>
      <vt:lpstr>'491'!OSRRefH25x_0</vt:lpstr>
      <vt:lpstr>'501'!OSRRefH25x_0</vt:lpstr>
      <vt:lpstr>'Div 2'!OSRRefH25x_0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'201'!OSRRefP13x_0</vt:lpstr>
      <vt:lpstr>'202'!OSRRefP13x_0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2'!OSRRefP13x_0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'315'!OSRRefP16x_0</vt:lpstr>
      <vt:lpstr>'317'!OSRRefP16x_0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'405'!OSRRefP16x_0</vt:lpstr>
      <vt:lpstr>'412'!OSRRefP16x_0</vt:lpstr>
      <vt:lpstr>'413'!OSRRefP16x_0</vt:lpstr>
      <vt:lpstr>'414'!OSRRefP16x_0</vt:lpstr>
      <vt:lpstr>'415'!OSRRefP16x_0</vt:lpstr>
      <vt:lpstr>'418'!OSRRefP16x_0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'321'!OSRRefP22_0x_0</vt:lpstr>
      <vt:lpstr>'322'!OSRRefP22_0x_0</vt:lpstr>
      <vt:lpstr>'324'!OSRRefP22_0x_0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'204'!OSRRefP22_11x_0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'204'!OSRRefP22_12x_0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'310'!OSRRefP22_12x_0</vt:lpstr>
      <vt:lpstr>'310 &amp; 491'!OSRRefP22_12x_0</vt:lpstr>
      <vt:lpstr>'311'!OSRRefP22_12x_0</vt:lpstr>
      <vt:lpstr>'315'!OSRRefP22_12x_0</vt:lpstr>
      <vt:lpstr>'317'!OSRRefP22_12x_0</vt:lpstr>
      <vt:lpstr>'321'!OSRRefP22_12x_0</vt:lpstr>
      <vt:lpstr>'325'!OSRRefP22_12x_0</vt:lpstr>
      <vt:lpstr>'326'!OSRRefP22_12x_0</vt:lpstr>
      <vt:lpstr>'330'!OSRRefP22_12x_0</vt:lpstr>
      <vt:lpstr>'331'!OSRRefP22_12x_0</vt:lpstr>
      <vt:lpstr>'405'!OSRRefP22_12x_0</vt:lpstr>
      <vt:lpstr>'411'!OSRRefP22_12x_0</vt:lpstr>
      <vt:lpstr>'412'!OSRRefP22_12x_0</vt:lpstr>
      <vt:lpstr>'413'!OSRRefP22_12x_0</vt:lpstr>
      <vt:lpstr>'414'!OSRRefP22_12x_0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'Div 6'!OSRRefP22_12x_0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'321'!OSRRefP22_13x_0</vt:lpstr>
      <vt:lpstr>'325'!OSRRefP22_13x_0</vt:lpstr>
      <vt:lpstr>'326'!OSRRefP22_13x_0</vt:lpstr>
      <vt:lpstr>'330'!OSRRefP22_13x_0</vt:lpstr>
      <vt:lpstr>'331'!OSRRefP22_13x_0</vt:lpstr>
      <vt:lpstr>'405'!OSRRefP22_13x_0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'203'!OSRRefP22_14x_0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'315'!OSRRefP22_14x_0</vt:lpstr>
      <vt:lpstr>'325'!OSRRefP22_14x_0</vt:lpstr>
      <vt:lpstr>'326'!OSRRefP22_14x_0</vt:lpstr>
      <vt:lpstr>'331'!OSRRefP22_14x_0</vt:lpstr>
      <vt:lpstr>'405'!OSRRefP22_14x_0</vt:lpstr>
      <vt:lpstr>'411'!OSRRefP22_14x_0</vt:lpstr>
      <vt:lpstr>'414'!OSRRefP22_14x_0</vt:lpstr>
      <vt:lpstr>'415'!OSRRefP22_14x_0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'201'!OSRRefP22_16x_0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'325'!OSRRefP22_16x_0</vt:lpstr>
      <vt:lpstr>'326'!OSRRefP22_16x_0</vt:lpstr>
      <vt:lpstr>'331'!OSRRefP22_16x_0</vt:lpstr>
      <vt:lpstr>'405'!OSRRefP22_16x_0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'315'!OSRRefP22_17x_0</vt:lpstr>
      <vt:lpstr>'325'!OSRRefP22_17x_0</vt:lpstr>
      <vt:lpstr>'326'!OSRRefP22_17x_0</vt:lpstr>
      <vt:lpstr>'331'!OSRRefP22_17x_0</vt:lpstr>
      <vt:lpstr>'405'!OSRRefP22_17x_0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'415'!OSRRefP22_18x_0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'321'!OSRRefP22_1x_0</vt:lpstr>
      <vt:lpstr>'322'!OSRRefP22_1x_0</vt:lpstr>
      <vt:lpstr>'324'!OSRRefP22_1x_0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'331'!OSRRefP22_22x_0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'423'!OSRRefP22_6x_0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'206'!OSRRefP22_8x_0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'206'!OSRRefP22_9x_0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'321'!OSRRefP22x_0</vt:lpstr>
      <vt:lpstr>'322'!OSRRefP22x_0</vt:lpstr>
      <vt:lpstr>'324'!OSRRefP22x_0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'202'!OSRRefP25x_0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'411'!OSRRefP25x_0</vt:lpstr>
      <vt:lpstr>'418'!OSRRefP25x_0</vt:lpstr>
      <vt:lpstr>'423'!OSRRefP25x_0</vt:lpstr>
      <vt:lpstr>'455'!OSRRefP25x_0</vt:lpstr>
      <vt:lpstr>'491'!OSRRefP25x_0</vt:lpstr>
      <vt:lpstr>'501'!OSRRefP25x_0</vt:lpstr>
      <vt:lpstr>'Div 2'!OSRRefP25x_0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'201'!OSRRefT13x_0</vt:lpstr>
      <vt:lpstr>'202'!OSRRefT13x_0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2'!OSRRefT13x_0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'315'!OSRRefT16x_0</vt:lpstr>
      <vt:lpstr>'317'!OSRRefT16x_0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'405'!OSRRefT16x_0</vt:lpstr>
      <vt:lpstr>'412'!OSRRefT16x_0</vt:lpstr>
      <vt:lpstr>'413'!OSRRefT16x_0</vt:lpstr>
      <vt:lpstr>'414'!OSRRefT16x_0</vt:lpstr>
      <vt:lpstr>'415'!OSRRefT16x_0</vt:lpstr>
      <vt:lpstr>'418'!OSRRefT16x_0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'321'!OSRRefT22_0x_0</vt:lpstr>
      <vt:lpstr>'322'!OSRRefT22_0x_0</vt:lpstr>
      <vt:lpstr>'324'!OSRRefT22_0x_0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'204'!OSRRefT22_11x_0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'204'!OSRRefT22_12x_0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'310'!OSRRefT22_12x_0</vt:lpstr>
      <vt:lpstr>'310 &amp; 491'!OSRRefT22_12x_0</vt:lpstr>
      <vt:lpstr>'311'!OSRRefT22_12x_0</vt:lpstr>
      <vt:lpstr>'315'!OSRRefT22_12x_0</vt:lpstr>
      <vt:lpstr>'317'!OSRRefT22_12x_0</vt:lpstr>
      <vt:lpstr>'321'!OSRRefT22_12x_0</vt:lpstr>
      <vt:lpstr>'325'!OSRRefT22_12x_0</vt:lpstr>
      <vt:lpstr>'326'!OSRRefT22_12x_0</vt:lpstr>
      <vt:lpstr>'330'!OSRRefT22_12x_0</vt:lpstr>
      <vt:lpstr>'331'!OSRRefT22_12x_0</vt:lpstr>
      <vt:lpstr>'405'!OSRRefT22_12x_0</vt:lpstr>
      <vt:lpstr>'411'!OSRRefT22_12x_0</vt:lpstr>
      <vt:lpstr>'412'!OSRRefT22_12x_0</vt:lpstr>
      <vt:lpstr>'413'!OSRRefT22_12x_0</vt:lpstr>
      <vt:lpstr>'414'!OSRRefT22_12x_0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'Div 6'!OSRRefT22_12x_0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'321'!OSRRefT22_13x_0</vt:lpstr>
      <vt:lpstr>'325'!OSRRefT22_13x_0</vt:lpstr>
      <vt:lpstr>'326'!OSRRefT22_13x_0</vt:lpstr>
      <vt:lpstr>'330'!OSRRefT22_13x_0</vt:lpstr>
      <vt:lpstr>'331'!OSRRefT22_13x_0</vt:lpstr>
      <vt:lpstr>'405'!OSRRefT22_13x_0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'203'!OSRRefT22_14x_0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'315'!OSRRefT22_14x_0</vt:lpstr>
      <vt:lpstr>'325'!OSRRefT22_14x_0</vt:lpstr>
      <vt:lpstr>'326'!OSRRefT22_14x_0</vt:lpstr>
      <vt:lpstr>'331'!OSRRefT22_14x_0</vt:lpstr>
      <vt:lpstr>'405'!OSRRefT22_14x_0</vt:lpstr>
      <vt:lpstr>'411'!OSRRefT22_14x_0</vt:lpstr>
      <vt:lpstr>'414'!OSRRefT22_14x_0</vt:lpstr>
      <vt:lpstr>'415'!OSRRefT22_14x_0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'201'!OSRRefT22_16x_0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'325'!OSRRefT22_16x_0</vt:lpstr>
      <vt:lpstr>'326'!OSRRefT22_16x_0</vt:lpstr>
      <vt:lpstr>'331'!OSRRefT22_16x_0</vt:lpstr>
      <vt:lpstr>'405'!OSRRefT22_16x_0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'315'!OSRRefT22_17x_0</vt:lpstr>
      <vt:lpstr>'325'!OSRRefT22_17x_0</vt:lpstr>
      <vt:lpstr>'326'!OSRRefT22_17x_0</vt:lpstr>
      <vt:lpstr>'331'!OSRRefT22_17x_0</vt:lpstr>
      <vt:lpstr>'405'!OSRRefT22_17x_0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'415'!OSRRefT22_18x_0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'321'!OSRRefT22_1x_0</vt:lpstr>
      <vt:lpstr>'322'!OSRRefT22_1x_0</vt:lpstr>
      <vt:lpstr>'324'!OSRRefT22_1x_0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'331'!OSRRefT22_22x_0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'423'!OSRRefT22_6x_0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'206'!OSRRefT22_8x_0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'206'!OSRRefT22_9x_0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'321'!OSRRefT22x_0</vt:lpstr>
      <vt:lpstr>'322'!OSRRefT22x_0</vt:lpstr>
      <vt:lpstr>'324'!OSRRefT22x_0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'202'!OSRRefT25x_0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'411'!OSRRefT25x_0</vt:lpstr>
      <vt:lpstr>'418'!OSRRefT25x_0</vt:lpstr>
      <vt:lpstr>'423'!OSRRefT25x_0</vt:lpstr>
      <vt:lpstr>'455'!OSRRefT25x_0</vt:lpstr>
      <vt:lpstr>'491'!OSRRefT25x_0</vt:lpstr>
      <vt:lpstr>'501'!OSRRefT25x_0</vt:lpstr>
      <vt:lpstr>'Div 2'!OSRRefT25x_0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'207'!Print_Area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'207'!Print_Titles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Robert Dewit</cp:lastModifiedBy>
  <dcterms:created xsi:type="dcterms:W3CDTF">2021-02-16T02:44:43Z</dcterms:created>
  <dcterms:modified xsi:type="dcterms:W3CDTF">2021-02-18T00:27:42Z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